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codeName="ThisWorkbook"/>
  <bookViews>
    <workbookView xWindow="240" yWindow="3615" windowWidth="13815" windowHeight="7965" tabRatio="923" activeTab="1"/>
  </bookViews>
  <sheets>
    <sheet name="Paramètres" sheetId="40" r:id="rId1"/>
    <sheet name="Recherche" sheetId="48" r:id="rId2"/>
    <sheet name="A) Base RI" sheetId="42" r:id="rId3"/>
    <sheet name="B) D RI" sheetId="19" r:id="rId4"/>
    <sheet name="C) Prél. conj." sheetId="32" r:id="rId5"/>
    <sheet name="D) Ecrêtage" sheetId="33" r:id="rId6"/>
    <sheet name="E) Fact soc" sheetId="9" r:id="rId7"/>
    <sheet name="F) Population" sheetId="36" r:id="rId8"/>
    <sheet name="G) Solidarité" sheetId="37" r:id="rId9"/>
    <sheet name="H) Péréquation directe" sheetId="34" r:id="rId10"/>
    <sheet name="I) Dépenses thématiques" sheetId="11" r:id="rId11"/>
    <sheet name="J) Plafonnement effort" sheetId="12" r:id="rId12"/>
    <sheet name="K) Plafonnement aide" sheetId="39" r:id="rId13"/>
    <sheet name="L) Plafonnement taux" sheetId="13" r:id="rId14"/>
    <sheet name="M) Police" sheetId="49" r:id="rId15"/>
    <sheet name="Synthèse" sheetId="25" r:id="rId16"/>
  </sheets>
  <externalReferences>
    <externalReference r:id="rId17"/>
    <externalReference r:id="rId18"/>
  </externalReferences>
  <definedNames>
    <definedName name="_xlnm._FilterDatabase" localSheetId="4" hidden="1">'C) Prél. conj.'!$A$3:$H$314</definedName>
    <definedName name="_xlnm._FilterDatabase" localSheetId="6" hidden="1">'E) Fact soc'!$A$9:$G$320</definedName>
    <definedName name="_xlnm._FilterDatabase" localSheetId="9" hidden="1">'H) Péréquation directe'!$A$14:$I$325</definedName>
    <definedName name="_xlnm._FilterDatabase" localSheetId="15" hidden="1">Synthèse!$A$4:$L$317</definedName>
    <definedName name="_xlnm.Database">#REF!</definedName>
    <definedName name="_xlnm.Print_Titles" localSheetId="4">'C) Prél. conj.'!$3:$4</definedName>
    <definedName name="_xlnm.Print_Titles" localSheetId="6">'E) Fact soc'!$9:$10</definedName>
    <definedName name="_xlnm.Print_Titles" localSheetId="10">'I) Dépenses thématiques'!$3:$4</definedName>
    <definedName name="_xlnm.Print_Titles" localSheetId="11">'J) Plafonnement effort'!$3:$4</definedName>
    <definedName name="_xlnm.Print_Titles" localSheetId="13">'L) Plafonnement taux'!$4:$5</definedName>
    <definedName name="_xlnm.Print_Titles" localSheetId="14">'M) Police'!$4:$4</definedName>
    <definedName name="_xlnm.Print_Titles" localSheetId="15">Synthèse!$4:$5</definedName>
    <definedName name="ind">2</definedName>
    <definedName name="_xlnm.Print_Area" localSheetId="2">'A) Base RI'!#REF!</definedName>
    <definedName name="_xlnm.Print_Area" localSheetId="9">'H) Péréquation directe'!$316:$347</definedName>
    <definedName name="_xlnm.Print_Area" localSheetId="13">'L) Plafonnement taux'!$A$1:$R$316</definedName>
    <definedName name="_xlnm.Print_Area" localSheetId="14">'M) Police'!$A$1:$O$315</definedName>
    <definedName name="_xlnm.Print_Area" localSheetId="1">Recherche!$B$6:$F$56</definedName>
    <definedName name="_xlnm.Print_Area" localSheetId="15">Synthèse!$A$1:$N$315</definedName>
  </definedNames>
  <calcPr calcId="145621"/>
</workbook>
</file>

<file path=xl/calcChain.xml><?xml version="1.0" encoding="utf-8"?>
<calcChain xmlns="http://schemas.openxmlformats.org/spreadsheetml/2006/main">
  <c r="D18" i="48" l="1"/>
  <c r="D17" i="34" l="1"/>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64" i="34"/>
  <c r="D65" i="34"/>
  <c r="D66" i="34"/>
  <c r="D67" i="34"/>
  <c r="D68" i="34"/>
  <c r="D69" i="34"/>
  <c r="D70" i="34"/>
  <c r="D71" i="34"/>
  <c r="D72" i="34"/>
  <c r="D73" i="34"/>
  <c r="D74" i="34"/>
  <c r="D75" i="34"/>
  <c r="D76" i="34"/>
  <c r="D77" i="34"/>
  <c r="D78" i="34"/>
  <c r="D79" i="34"/>
  <c r="D80" i="34"/>
  <c r="D81" i="34"/>
  <c r="D82" i="34"/>
  <c r="D83" i="34"/>
  <c r="D84" i="34"/>
  <c r="D85" i="34"/>
  <c r="D86" i="34"/>
  <c r="D87" i="34"/>
  <c r="D88" i="34"/>
  <c r="D89" i="34"/>
  <c r="D90" i="34"/>
  <c r="D91" i="34"/>
  <c r="D92" i="34"/>
  <c r="D93" i="34"/>
  <c r="D94" i="34"/>
  <c r="D95" i="34"/>
  <c r="D96" i="34"/>
  <c r="D97" i="34"/>
  <c r="D98" i="34"/>
  <c r="D99" i="34"/>
  <c r="D100" i="34"/>
  <c r="D101" i="34"/>
  <c r="D102" i="34"/>
  <c r="D103" i="34"/>
  <c r="D104" i="34"/>
  <c r="D105" i="34"/>
  <c r="D106" i="34"/>
  <c r="D107" i="34"/>
  <c r="D108" i="34"/>
  <c r="D109" i="34"/>
  <c r="D110" i="34"/>
  <c r="D111" i="34"/>
  <c r="D112" i="34"/>
  <c r="D113" i="34"/>
  <c r="D114" i="34"/>
  <c r="D115" i="34"/>
  <c r="D116" i="34"/>
  <c r="D117" i="34"/>
  <c r="D118" i="34"/>
  <c r="D119" i="34"/>
  <c r="D120" i="34"/>
  <c r="D121" i="34"/>
  <c r="D122" i="34"/>
  <c r="D123" i="34"/>
  <c r="D124" i="34"/>
  <c r="D125" i="34"/>
  <c r="D126" i="34"/>
  <c r="D127" i="34"/>
  <c r="D128" i="34"/>
  <c r="D129" i="34"/>
  <c r="D130"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D161" i="34"/>
  <c r="D162" i="34"/>
  <c r="D163" i="34"/>
  <c r="D164" i="34"/>
  <c r="D165" i="34"/>
  <c r="D166" i="34"/>
  <c r="D167" i="34"/>
  <c r="D168" i="34"/>
  <c r="D169" i="34"/>
  <c r="D170" i="34"/>
  <c r="D171" i="34"/>
  <c r="D172" i="34"/>
  <c r="D173" i="34"/>
  <c r="D174" i="34"/>
  <c r="D175" i="34"/>
  <c r="D176" i="34"/>
  <c r="D177" i="34"/>
  <c r="D178" i="34"/>
  <c r="D179" i="34"/>
  <c r="D180" i="34"/>
  <c r="D181" i="34"/>
  <c r="D182" i="34"/>
  <c r="D183" i="34"/>
  <c r="D184" i="34"/>
  <c r="D185" i="34"/>
  <c r="D186" i="34"/>
  <c r="D187" i="34"/>
  <c r="D188" i="34"/>
  <c r="D189" i="34"/>
  <c r="D190" i="34"/>
  <c r="D191" i="34"/>
  <c r="D192" i="34"/>
  <c r="D193" i="34"/>
  <c r="D194" i="34"/>
  <c r="D195" i="34"/>
  <c r="D196" i="34"/>
  <c r="D197" i="34"/>
  <c r="D198" i="34"/>
  <c r="D199" i="34"/>
  <c r="D200" i="34"/>
  <c r="D201" i="34"/>
  <c r="D202" i="34"/>
  <c r="D203" i="34"/>
  <c r="D204" i="34"/>
  <c r="D205" i="34"/>
  <c r="D206" i="34"/>
  <c r="D207" i="34"/>
  <c r="D208" i="34"/>
  <c r="D209" i="34"/>
  <c r="D210" i="34"/>
  <c r="D211" i="34"/>
  <c r="D212" i="34"/>
  <c r="D213" i="34"/>
  <c r="D214" i="34"/>
  <c r="D215" i="34"/>
  <c r="D216" i="34"/>
  <c r="D217" i="34"/>
  <c r="D218" i="34"/>
  <c r="D219" i="34"/>
  <c r="D220" i="34"/>
  <c r="D221" i="34"/>
  <c r="D222" i="34"/>
  <c r="D223" i="34"/>
  <c r="D224" i="34"/>
  <c r="D225" i="34"/>
  <c r="D226" i="34"/>
  <c r="D227" i="34"/>
  <c r="D228" i="34"/>
  <c r="D229" i="34"/>
  <c r="D230" i="34"/>
  <c r="D231" i="34"/>
  <c r="D232" i="34"/>
  <c r="D233" i="34"/>
  <c r="D234" i="34"/>
  <c r="D235" i="34"/>
  <c r="D236" i="34"/>
  <c r="D237" i="34"/>
  <c r="D238" i="34"/>
  <c r="D239" i="34"/>
  <c r="D240" i="34"/>
  <c r="D241" i="34"/>
  <c r="D242" i="34"/>
  <c r="D243" i="34"/>
  <c r="D244" i="34"/>
  <c r="D245" i="34"/>
  <c r="D246" i="34"/>
  <c r="D247" i="34"/>
  <c r="D248" i="34"/>
  <c r="D249" i="34"/>
  <c r="D250" i="34"/>
  <c r="D251" i="34"/>
  <c r="D252" i="34"/>
  <c r="D253" i="34"/>
  <c r="D254" i="34"/>
  <c r="D255" i="34"/>
  <c r="D256" i="34"/>
  <c r="D257" i="34"/>
  <c r="D258" i="34"/>
  <c r="D259" i="34"/>
  <c r="D260" i="34"/>
  <c r="D261" i="34"/>
  <c r="D262" i="34"/>
  <c r="D263" i="34"/>
  <c r="D264" i="34"/>
  <c r="D265" i="34"/>
  <c r="D266" i="34"/>
  <c r="D267" i="34"/>
  <c r="D268" i="34"/>
  <c r="D269" i="34"/>
  <c r="D270" i="34"/>
  <c r="D271" i="34"/>
  <c r="D272" i="34"/>
  <c r="D273" i="34"/>
  <c r="D274" i="34"/>
  <c r="D275" i="34"/>
  <c r="D276" i="34"/>
  <c r="D277" i="34"/>
  <c r="D278" i="34"/>
  <c r="D279" i="34"/>
  <c r="D280" i="34"/>
  <c r="D281" i="34"/>
  <c r="D282" i="34"/>
  <c r="D283" i="34"/>
  <c r="D284" i="34"/>
  <c r="D285" i="34"/>
  <c r="D286" i="34"/>
  <c r="D287" i="34"/>
  <c r="D288" i="34"/>
  <c r="D289" i="34"/>
  <c r="D290" i="34"/>
  <c r="D291" i="34"/>
  <c r="D292" i="34"/>
  <c r="D293" i="34"/>
  <c r="D294" i="34"/>
  <c r="D295" i="34"/>
  <c r="D296" i="34"/>
  <c r="D297" i="34"/>
  <c r="D298" i="34"/>
  <c r="D299" i="34"/>
  <c r="D300" i="34"/>
  <c r="D301" i="34"/>
  <c r="D302" i="34"/>
  <c r="D303" i="34"/>
  <c r="D304" i="34"/>
  <c r="D305" i="34"/>
  <c r="D306" i="34"/>
  <c r="D307" i="34"/>
  <c r="D308" i="34"/>
  <c r="D309" i="34"/>
  <c r="D310" i="34"/>
  <c r="D311" i="34"/>
  <c r="D312" i="34"/>
  <c r="D313" i="34"/>
  <c r="D314" i="34"/>
  <c r="D315" i="34"/>
  <c r="D316" i="34"/>
  <c r="D317" i="34"/>
  <c r="D318" i="34"/>
  <c r="D319" i="34"/>
  <c r="D320" i="34"/>
  <c r="D321" i="34"/>
  <c r="D322" i="34"/>
  <c r="D323" i="34"/>
  <c r="D324" i="34"/>
  <c r="C6" i="37"/>
  <c r="G6" i="37"/>
  <c r="C7" i="37"/>
  <c r="G7" i="37"/>
  <c r="C8" i="37"/>
  <c r="G8" i="37"/>
  <c r="C9" i="37"/>
  <c r="G9" i="37"/>
  <c r="C10" i="37"/>
  <c r="G10" i="37"/>
  <c r="C11" i="37"/>
  <c r="G11" i="37"/>
  <c r="C12" i="37"/>
  <c r="G12" i="37"/>
  <c r="C13" i="37"/>
  <c r="G13" i="37"/>
  <c r="C14" i="37"/>
  <c r="G14" i="37"/>
  <c r="C15" i="37"/>
  <c r="G15" i="37"/>
  <c r="C16" i="37"/>
  <c r="G16" i="37"/>
  <c r="C17" i="37"/>
  <c r="G17" i="37"/>
  <c r="C18" i="37"/>
  <c r="G18" i="37"/>
  <c r="C19" i="37"/>
  <c r="G19" i="37"/>
  <c r="C20" i="37"/>
  <c r="G20" i="37"/>
  <c r="C21" i="37"/>
  <c r="G21" i="37"/>
  <c r="C22" i="37"/>
  <c r="G22" i="37"/>
  <c r="C23" i="37"/>
  <c r="G23" i="37"/>
  <c r="C24" i="37"/>
  <c r="G24" i="37"/>
  <c r="C25" i="37"/>
  <c r="G25" i="37"/>
  <c r="C26" i="37"/>
  <c r="G26" i="37"/>
  <c r="C27" i="37"/>
  <c r="G27" i="37"/>
  <c r="C28" i="37"/>
  <c r="G28" i="37"/>
  <c r="C29" i="37"/>
  <c r="G29" i="37"/>
  <c r="C30" i="37"/>
  <c r="G30" i="37"/>
  <c r="C31" i="37"/>
  <c r="G31" i="37"/>
  <c r="C32" i="37"/>
  <c r="G32" i="37"/>
  <c r="C33" i="37"/>
  <c r="G33" i="37"/>
  <c r="C34" i="37"/>
  <c r="G34" i="37"/>
  <c r="C35" i="37"/>
  <c r="G35" i="37"/>
  <c r="C36" i="37"/>
  <c r="G36" i="37"/>
  <c r="C37" i="37"/>
  <c r="G37" i="37"/>
  <c r="C38" i="37"/>
  <c r="G38" i="37"/>
  <c r="C39" i="37"/>
  <c r="G39" i="37"/>
  <c r="C40" i="37"/>
  <c r="G40" i="37"/>
  <c r="C41" i="37"/>
  <c r="G41" i="37"/>
  <c r="C42" i="37"/>
  <c r="G42" i="37"/>
  <c r="C43" i="37"/>
  <c r="G43" i="37"/>
  <c r="C44" i="37"/>
  <c r="G44" i="37"/>
  <c r="C45" i="37"/>
  <c r="G45" i="37"/>
  <c r="C46" i="37"/>
  <c r="G46" i="37"/>
  <c r="C47" i="37"/>
  <c r="G47" i="37"/>
  <c r="C48" i="37"/>
  <c r="G48" i="37"/>
  <c r="C49" i="37"/>
  <c r="G49" i="37"/>
  <c r="C50" i="37"/>
  <c r="G50" i="37"/>
  <c r="C51" i="37"/>
  <c r="G51" i="37"/>
  <c r="C52" i="37"/>
  <c r="G52" i="37"/>
  <c r="C53" i="37"/>
  <c r="G53" i="37"/>
  <c r="C54" i="37"/>
  <c r="G54" i="37"/>
  <c r="C55" i="37"/>
  <c r="G55" i="37"/>
  <c r="C56" i="37"/>
  <c r="G56" i="37"/>
  <c r="C57" i="37"/>
  <c r="G57" i="37"/>
  <c r="C58" i="37"/>
  <c r="G58" i="37"/>
  <c r="C59" i="37"/>
  <c r="G59" i="37"/>
  <c r="C60" i="37"/>
  <c r="G60" i="37"/>
  <c r="C61" i="37"/>
  <c r="G61" i="37"/>
  <c r="C62" i="37"/>
  <c r="G62" i="37"/>
  <c r="C63" i="37"/>
  <c r="G63" i="37"/>
  <c r="C64" i="37"/>
  <c r="G64" i="37"/>
  <c r="C65" i="37"/>
  <c r="G65" i="37"/>
  <c r="C66" i="37"/>
  <c r="G66" i="37"/>
  <c r="C67" i="37"/>
  <c r="G67" i="37"/>
  <c r="C68" i="37"/>
  <c r="G68" i="37"/>
  <c r="C69" i="37"/>
  <c r="G69" i="37"/>
  <c r="C70" i="37"/>
  <c r="G70" i="37"/>
  <c r="C71" i="37"/>
  <c r="G71" i="37"/>
  <c r="C72" i="37"/>
  <c r="G72" i="37"/>
  <c r="C73" i="37"/>
  <c r="G73" i="37"/>
  <c r="C74" i="37"/>
  <c r="G74" i="37"/>
  <c r="C75" i="37"/>
  <c r="G75" i="37"/>
  <c r="C76" i="37"/>
  <c r="G76" i="37"/>
  <c r="C77" i="37"/>
  <c r="G77" i="37"/>
  <c r="C78" i="37"/>
  <c r="G78" i="37"/>
  <c r="C79" i="37"/>
  <c r="G79" i="37"/>
  <c r="C80" i="37"/>
  <c r="G80" i="37"/>
  <c r="C81" i="37"/>
  <c r="G81" i="37"/>
  <c r="C82" i="37"/>
  <c r="G82" i="37"/>
  <c r="C83" i="37"/>
  <c r="G83" i="37"/>
  <c r="C84" i="37"/>
  <c r="G84" i="37"/>
  <c r="C85" i="37"/>
  <c r="G85" i="37"/>
  <c r="C86" i="37"/>
  <c r="G86" i="37"/>
  <c r="C87" i="37"/>
  <c r="G87" i="37"/>
  <c r="C88" i="37"/>
  <c r="G88" i="37"/>
  <c r="C89" i="37"/>
  <c r="G89" i="37"/>
  <c r="C90" i="37"/>
  <c r="G90" i="37"/>
  <c r="C91" i="37"/>
  <c r="G91" i="37"/>
  <c r="C92" i="37"/>
  <c r="G92" i="37"/>
  <c r="C93" i="37"/>
  <c r="G93" i="37"/>
  <c r="C94" i="37"/>
  <c r="G94" i="37"/>
  <c r="C95" i="37"/>
  <c r="G95" i="37"/>
  <c r="C96" i="37"/>
  <c r="G96" i="37"/>
  <c r="C97" i="37"/>
  <c r="G97" i="37"/>
  <c r="C98" i="37"/>
  <c r="G98" i="37"/>
  <c r="C99" i="37"/>
  <c r="G99" i="37"/>
  <c r="C100" i="37"/>
  <c r="G100" i="37"/>
  <c r="C101" i="37"/>
  <c r="G101" i="37"/>
  <c r="C102" i="37"/>
  <c r="G102" i="37"/>
  <c r="C103" i="37"/>
  <c r="G103" i="37"/>
  <c r="C104" i="37"/>
  <c r="G104" i="37"/>
  <c r="C105" i="37"/>
  <c r="G105" i="37"/>
  <c r="C106" i="37"/>
  <c r="G106" i="37"/>
  <c r="C107" i="37"/>
  <c r="G107" i="37"/>
  <c r="C108" i="37"/>
  <c r="G108" i="37"/>
  <c r="C109" i="37"/>
  <c r="G109" i="37"/>
  <c r="C110" i="37"/>
  <c r="G110" i="37"/>
  <c r="C111" i="37"/>
  <c r="G111" i="37"/>
  <c r="C112" i="37"/>
  <c r="G112" i="37"/>
  <c r="C113" i="37"/>
  <c r="G113" i="37"/>
  <c r="C114" i="37"/>
  <c r="G114" i="37"/>
  <c r="C115" i="37"/>
  <c r="G115" i="37"/>
  <c r="C116" i="37"/>
  <c r="G116" i="37"/>
  <c r="C117" i="37"/>
  <c r="G117" i="37"/>
  <c r="C118" i="37"/>
  <c r="G118" i="37"/>
  <c r="C119" i="37"/>
  <c r="G119" i="37"/>
  <c r="C120" i="37"/>
  <c r="G120" i="37"/>
  <c r="C121" i="37"/>
  <c r="G121" i="37"/>
  <c r="C122" i="37"/>
  <c r="G122" i="37"/>
  <c r="C123" i="37"/>
  <c r="G123" i="37"/>
  <c r="C124" i="37"/>
  <c r="G124" i="37"/>
  <c r="C125" i="37"/>
  <c r="G125" i="37"/>
  <c r="C126" i="37"/>
  <c r="G126" i="37"/>
  <c r="C127" i="37"/>
  <c r="G127" i="37"/>
  <c r="C128" i="37"/>
  <c r="G128" i="37"/>
  <c r="C129" i="37"/>
  <c r="G129" i="37"/>
  <c r="C130" i="37"/>
  <c r="G130" i="37"/>
  <c r="C131" i="37"/>
  <c r="G131" i="37"/>
  <c r="C132" i="37"/>
  <c r="G132" i="37"/>
  <c r="C133" i="37"/>
  <c r="G133" i="37"/>
  <c r="C134" i="37"/>
  <c r="G134" i="37"/>
  <c r="C135" i="37"/>
  <c r="G135" i="37"/>
  <c r="C136" i="37"/>
  <c r="G136" i="37"/>
  <c r="C137" i="37"/>
  <c r="G137" i="37"/>
  <c r="C138" i="37"/>
  <c r="G138" i="37"/>
  <c r="C139" i="37"/>
  <c r="G139" i="37"/>
  <c r="C140" i="37"/>
  <c r="G140" i="37"/>
  <c r="C141" i="37"/>
  <c r="G141" i="37"/>
  <c r="C142" i="37"/>
  <c r="G142" i="37"/>
  <c r="C143" i="37"/>
  <c r="G143" i="37"/>
  <c r="C144" i="37"/>
  <c r="G144" i="37"/>
  <c r="C145" i="37"/>
  <c r="G145" i="37"/>
  <c r="C146" i="37"/>
  <c r="G146" i="37"/>
  <c r="C147" i="37"/>
  <c r="G147" i="37"/>
  <c r="C148" i="37"/>
  <c r="G148" i="37"/>
  <c r="C149" i="37"/>
  <c r="G149" i="37"/>
  <c r="C150" i="37"/>
  <c r="G150" i="37"/>
  <c r="C151" i="37"/>
  <c r="G151" i="37"/>
  <c r="C152" i="37"/>
  <c r="G152" i="37"/>
  <c r="C153" i="37"/>
  <c r="G153" i="37"/>
  <c r="C154" i="37"/>
  <c r="G154" i="37"/>
  <c r="C155" i="37"/>
  <c r="G155" i="37"/>
  <c r="C156" i="37"/>
  <c r="G156" i="37"/>
  <c r="C157" i="37"/>
  <c r="G157" i="37"/>
  <c r="C158" i="37"/>
  <c r="G158" i="37"/>
  <c r="C159" i="37"/>
  <c r="G159" i="37"/>
  <c r="C160" i="37"/>
  <c r="G160" i="37"/>
  <c r="C161" i="37"/>
  <c r="G161" i="37"/>
  <c r="C162" i="37"/>
  <c r="G162" i="37"/>
  <c r="C163" i="37"/>
  <c r="G163" i="37"/>
  <c r="C164" i="37"/>
  <c r="G164" i="37"/>
  <c r="C165" i="37"/>
  <c r="G165" i="37"/>
  <c r="C166" i="37"/>
  <c r="G166" i="37"/>
  <c r="C167" i="37"/>
  <c r="G167" i="37"/>
  <c r="C168" i="37"/>
  <c r="G168" i="37"/>
  <c r="C169" i="37"/>
  <c r="G169" i="37"/>
  <c r="C170" i="37"/>
  <c r="G170" i="37"/>
  <c r="C171" i="37"/>
  <c r="G171" i="37"/>
  <c r="C172" i="37"/>
  <c r="G172" i="37"/>
  <c r="C173" i="37"/>
  <c r="G173" i="37"/>
  <c r="C174" i="37"/>
  <c r="G174" i="37"/>
  <c r="C175" i="37"/>
  <c r="G175" i="37"/>
  <c r="C176" i="37"/>
  <c r="G176" i="37"/>
  <c r="C177" i="37"/>
  <c r="G177" i="37"/>
  <c r="C178" i="37"/>
  <c r="G178" i="37"/>
  <c r="C179" i="37"/>
  <c r="G179" i="37"/>
  <c r="C180" i="37"/>
  <c r="G180" i="37"/>
  <c r="C181" i="37"/>
  <c r="G181" i="37"/>
  <c r="C182" i="37"/>
  <c r="G182" i="37"/>
  <c r="C183" i="37"/>
  <c r="G183" i="37"/>
  <c r="C184" i="37"/>
  <c r="G184" i="37"/>
  <c r="C185" i="37"/>
  <c r="G185" i="37"/>
  <c r="C186" i="37"/>
  <c r="G186" i="37"/>
  <c r="C187" i="37"/>
  <c r="G187" i="37"/>
  <c r="C188" i="37"/>
  <c r="G188" i="37"/>
  <c r="C189" i="37"/>
  <c r="G189" i="37"/>
  <c r="C190" i="37"/>
  <c r="G190" i="37"/>
  <c r="C191" i="37"/>
  <c r="G191" i="37"/>
  <c r="C192" i="37"/>
  <c r="G192" i="37"/>
  <c r="C193" i="37"/>
  <c r="G193" i="37"/>
  <c r="C194" i="37"/>
  <c r="G194" i="37"/>
  <c r="C195" i="37"/>
  <c r="G195" i="37"/>
  <c r="C196" i="37"/>
  <c r="G196" i="37"/>
  <c r="C197" i="37"/>
  <c r="G197" i="37"/>
  <c r="C198" i="37"/>
  <c r="G198" i="37"/>
  <c r="C199" i="37"/>
  <c r="G199" i="37"/>
  <c r="C200" i="37"/>
  <c r="G200" i="37"/>
  <c r="C201" i="37"/>
  <c r="G201" i="37"/>
  <c r="C202" i="37"/>
  <c r="G202" i="37"/>
  <c r="C203" i="37"/>
  <c r="G203" i="37"/>
  <c r="C204" i="37"/>
  <c r="G204" i="37"/>
  <c r="C205" i="37"/>
  <c r="G205" i="37"/>
  <c r="C206" i="37"/>
  <c r="G206" i="37"/>
  <c r="C207" i="37"/>
  <c r="G207" i="37"/>
  <c r="C208" i="37"/>
  <c r="G208" i="37"/>
  <c r="C209" i="37"/>
  <c r="G209" i="37"/>
  <c r="C210" i="37"/>
  <c r="G210" i="37"/>
  <c r="C211" i="37"/>
  <c r="G211" i="37"/>
  <c r="C212" i="37"/>
  <c r="G212" i="37"/>
  <c r="C213" i="37"/>
  <c r="G213" i="37"/>
  <c r="C214" i="37"/>
  <c r="G214" i="37"/>
  <c r="C215" i="37"/>
  <c r="G215" i="37"/>
  <c r="C216" i="37"/>
  <c r="G216" i="37"/>
  <c r="C217" i="37"/>
  <c r="G217" i="37"/>
  <c r="C218" i="37"/>
  <c r="G218" i="37"/>
  <c r="C219" i="37"/>
  <c r="G219" i="37"/>
  <c r="C220" i="37"/>
  <c r="G220" i="37"/>
  <c r="C221" i="37"/>
  <c r="G221" i="37"/>
  <c r="C222" i="37"/>
  <c r="G222" i="37"/>
  <c r="C223" i="37"/>
  <c r="G223" i="37"/>
  <c r="C224" i="37"/>
  <c r="G224" i="37"/>
  <c r="C225" i="37"/>
  <c r="G225" i="37"/>
  <c r="C226" i="37"/>
  <c r="G226" i="37"/>
  <c r="C227" i="37"/>
  <c r="G227" i="37"/>
  <c r="C228" i="37"/>
  <c r="G228" i="37"/>
  <c r="C229" i="37"/>
  <c r="G229" i="37"/>
  <c r="C230" i="37"/>
  <c r="G230" i="37"/>
  <c r="C231" i="37"/>
  <c r="G231" i="37"/>
  <c r="C232" i="37"/>
  <c r="G232" i="37"/>
  <c r="C233" i="37"/>
  <c r="G233" i="37"/>
  <c r="C234" i="37"/>
  <c r="G234" i="37"/>
  <c r="C235" i="37"/>
  <c r="G235" i="37"/>
  <c r="C236" i="37"/>
  <c r="G236" i="37"/>
  <c r="C237" i="37"/>
  <c r="G237" i="37"/>
  <c r="C238" i="37"/>
  <c r="G238" i="37"/>
  <c r="C239" i="37"/>
  <c r="G239" i="37"/>
  <c r="C240" i="37"/>
  <c r="G240" i="37"/>
  <c r="C241" i="37"/>
  <c r="G241" i="37"/>
  <c r="C242" i="37"/>
  <c r="G242" i="37"/>
  <c r="C243" i="37"/>
  <c r="G243" i="37"/>
  <c r="C244" i="37"/>
  <c r="G244" i="37"/>
  <c r="C245" i="37"/>
  <c r="G245" i="37"/>
  <c r="C246" i="37"/>
  <c r="G246" i="37"/>
  <c r="C247" i="37"/>
  <c r="G247" i="37"/>
  <c r="C248" i="37"/>
  <c r="G248" i="37"/>
  <c r="C249" i="37"/>
  <c r="G249" i="37"/>
  <c r="C250" i="37"/>
  <c r="G250" i="37"/>
  <c r="C251" i="37"/>
  <c r="G251" i="37"/>
  <c r="C252" i="37"/>
  <c r="G252" i="37"/>
  <c r="C253" i="37"/>
  <c r="G253" i="37"/>
  <c r="C254" i="37"/>
  <c r="G254" i="37"/>
  <c r="C255" i="37"/>
  <c r="G255" i="37"/>
  <c r="C256" i="37"/>
  <c r="G256" i="37"/>
  <c r="C257" i="37"/>
  <c r="G257" i="37"/>
  <c r="C258" i="37"/>
  <c r="G258" i="37"/>
  <c r="C259" i="37"/>
  <c r="G259" i="37"/>
  <c r="C260" i="37"/>
  <c r="G260" i="37"/>
  <c r="C261" i="37"/>
  <c r="G261" i="37"/>
  <c r="C262" i="37"/>
  <c r="G262" i="37"/>
  <c r="C263" i="37"/>
  <c r="G263" i="37"/>
  <c r="C264" i="37"/>
  <c r="G264" i="37"/>
  <c r="C265" i="37"/>
  <c r="G265" i="37"/>
  <c r="C266" i="37"/>
  <c r="G266" i="37"/>
  <c r="C267" i="37"/>
  <c r="G267" i="37"/>
  <c r="C268" i="37"/>
  <c r="G268" i="37"/>
  <c r="C269" i="37"/>
  <c r="G269" i="37"/>
  <c r="C270" i="37"/>
  <c r="G270" i="37"/>
  <c r="C271" i="37"/>
  <c r="G271" i="37"/>
  <c r="C272" i="37"/>
  <c r="G272" i="37"/>
  <c r="C273" i="37"/>
  <c r="G273" i="37"/>
  <c r="C274" i="37"/>
  <c r="G274" i="37"/>
  <c r="C275" i="37"/>
  <c r="G275" i="37"/>
  <c r="C276" i="37"/>
  <c r="G276" i="37"/>
  <c r="C277" i="37"/>
  <c r="G277" i="37"/>
  <c r="C278" i="37"/>
  <c r="G278" i="37"/>
  <c r="C279" i="37"/>
  <c r="G279" i="37"/>
  <c r="C280" i="37"/>
  <c r="G280" i="37"/>
  <c r="C281" i="37"/>
  <c r="G281" i="37"/>
  <c r="C282" i="37"/>
  <c r="G282" i="37"/>
  <c r="C283" i="37"/>
  <c r="G283" i="37"/>
  <c r="C284" i="37"/>
  <c r="G284" i="37"/>
  <c r="C285" i="37"/>
  <c r="G285" i="37"/>
  <c r="C286" i="37"/>
  <c r="G286" i="37"/>
  <c r="C287" i="37"/>
  <c r="G287" i="37"/>
  <c r="C288" i="37"/>
  <c r="G288" i="37"/>
  <c r="C289" i="37"/>
  <c r="G289" i="37"/>
  <c r="C290" i="37"/>
  <c r="G290" i="37"/>
  <c r="C291" i="37"/>
  <c r="G291" i="37"/>
  <c r="C292" i="37"/>
  <c r="G292" i="37"/>
  <c r="C293" i="37"/>
  <c r="G293" i="37"/>
  <c r="C294" i="37"/>
  <c r="G294" i="37"/>
  <c r="C295" i="37"/>
  <c r="G295" i="37"/>
  <c r="C296" i="37"/>
  <c r="G296" i="37"/>
  <c r="C297" i="37"/>
  <c r="G297" i="37"/>
  <c r="C298" i="37"/>
  <c r="G298" i="37"/>
  <c r="C299" i="37"/>
  <c r="G299" i="37"/>
  <c r="C300" i="37"/>
  <c r="G300" i="37"/>
  <c r="C301" i="37"/>
  <c r="G301" i="37"/>
  <c r="C302" i="37"/>
  <c r="G302" i="37"/>
  <c r="C303" i="37"/>
  <c r="G303" i="37"/>
  <c r="C304" i="37"/>
  <c r="G304" i="37"/>
  <c r="C305" i="37"/>
  <c r="G305" i="37"/>
  <c r="C306" i="37"/>
  <c r="G306" i="37"/>
  <c r="C307" i="37"/>
  <c r="G307" i="37"/>
  <c r="C308" i="37"/>
  <c r="G308" i="37"/>
  <c r="C309" i="37"/>
  <c r="G309" i="37"/>
  <c r="C310" i="37"/>
  <c r="G310" i="37"/>
  <c r="C311" i="37"/>
  <c r="G311" i="37"/>
  <c r="C312" i="37"/>
  <c r="G312" i="37"/>
  <c r="C313" i="37"/>
  <c r="G313" i="37"/>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63" i="11"/>
  <c r="G264" i="11"/>
  <c r="G265" i="11"/>
  <c r="G266" i="11"/>
  <c r="G267"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306" i="11"/>
  <c r="G307" i="11"/>
  <c r="G308" i="11"/>
  <c r="G309" i="11"/>
  <c r="G310" i="11"/>
  <c r="G311" i="11"/>
  <c r="G312" i="11"/>
  <c r="G313" i="11"/>
  <c r="C9" i="36"/>
  <c r="G9" i="36" s="1"/>
  <c r="D9" i="36"/>
  <c r="E9" i="36"/>
  <c r="F9" i="36"/>
  <c r="I9" i="36"/>
  <c r="C10" i="36"/>
  <c r="H10" i="36" s="1"/>
  <c r="C11" i="36"/>
  <c r="D11" i="36"/>
  <c r="G11" i="36"/>
  <c r="I11" i="36"/>
  <c r="J11" i="36"/>
  <c r="C12" i="36"/>
  <c r="F12" i="36"/>
  <c r="J12" i="36"/>
  <c r="C13" i="36"/>
  <c r="F13" i="36" s="1"/>
  <c r="D13" i="36"/>
  <c r="E13" i="36"/>
  <c r="G13" i="36"/>
  <c r="H13" i="36"/>
  <c r="I13" i="36"/>
  <c r="J13" i="36"/>
  <c r="C14" i="36"/>
  <c r="D14" i="36"/>
  <c r="F14" i="36"/>
  <c r="G14" i="36"/>
  <c r="H14" i="36"/>
  <c r="C15" i="36"/>
  <c r="F15" i="36"/>
  <c r="G15" i="36"/>
  <c r="H15" i="36"/>
  <c r="C16" i="36"/>
  <c r="D16" i="36"/>
  <c r="E16" i="36"/>
  <c r="F16" i="36"/>
  <c r="G16" i="36"/>
  <c r="H16" i="36"/>
  <c r="I16" i="36"/>
  <c r="J16" i="36"/>
  <c r="C17" i="36"/>
  <c r="H17" i="36" s="1"/>
  <c r="D17" i="36"/>
  <c r="F17" i="36"/>
  <c r="I17" i="36"/>
  <c r="C18" i="36"/>
  <c r="D18" i="36"/>
  <c r="E18" i="36"/>
  <c r="G18" i="36"/>
  <c r="H18" i="36"/>
  <c r="J18" i="36"/>
  <c r="C19" i="36"/>
  <c r="F19" i="36" s="1"/>
  <c r="C20" i="36"/>
  <c r="I20" i="36" s="1"/>
  <c r="H20" i="36"/>
  <c r="C21" i="36"/>
  <c r="F21" i="36" s="1"/>
  <c r="D21" i="36"/>
  <c r="E21" i="36"/>
  <c r="G21" i="36"/>
  <c r="H21" i="36"/>
  <c r="I21" i="36"/>
  <c r="J21" i="36"/>
  <c r="C22" i="36"/>
  <c r="F22" i="36" s="1"/>
  <c r="G22" i="36"/>
  <c r="C23" i="36"/>
  <c r="E23" i="36"/>
  <c r="F23" i="36"/>
  <c r="G23" i="36"/>
  <c r="H23" i="36"/>
  <c r="C24" i="36"/>
  <c r="D24" i="36"/>
  <c r="E24" i="36"/>
  <c r="F24" i="36"/>
  <c r="G24" i="36"/>
  <c r="H24" i="36"/>
  <c r="I24" i="36"/>
  <c r="J24" i="36"/>
  <c r="C25" i="36"/>
  <c r="F25" i="36" s="1"/>
  <c r="I25" i="36"/>
  <c r="C26" i="36"/>
  <c r="D26" i="36"/>
  <c r="G26" i="36"/>
  <c r="H26" i="36"/>
  <c r="J26" i="36"/>
  <c r="C27" i="36"/>
  <c r="D27" i="36"/>
  <c r="F27" i="36"/>
  <c r="G27" i="36"/>
  <c r="I27" i="36"/>
  <c r="J27" i="36"/>
  <c r="C28" i="36"/>
  <c r="F28" i="36" s="1"/>
  <c r="C29" i="36"/>
  <c r="F29" i="36" s="1"/>
  <c r="D29" i="36"/>
  <c r="E29" i="36"/>
  <c r="G29" i="36"/>
  <c r="H29" i="36"/>
  <c r="I29" i="36"/>
  <c r="J29" i="36"/>
  <c r="C30" i="36"/>
  <c r="F30" i="36" s="1"/>
  <c r="D30" i="36"/>
  <c r="C31" i="36"/>
  <c r="G31" i="36" s="1"/>
  <c r="E31" i="36"/>
  <c r="J31" i="36"/>
  <c r="C32" i="36"/>
  <c r="D32" i="36"/>
  <c r="E32" i="36"/>
  <c r="F32" i="36"/>
  <c r="G32" i="36"/>
  <c r="H32" i="36"/>
  <c r="I32" i="36"/>
  <c r="J32" i="36"/>
  <c r="C33" i="36"/>
  <c r="D33" i="36"/>
  <c r="E33" i="36"/>
  <c r="F33" i="36"/>
  <c r="H33" i="36"/>
  <c r="C34" i="36"/>
  <c r="J34" i="36" s="1"/>
  <c r="E34" i="36"/>
  <c r="H34" i="36"/>
  <c r="C35" i="36"/>
  <c r="G35" i="36" s="1"/>
  <c r="I35" i="36"/>
  <c r="C36" i="36"/>
  <c r="E36" i="36"/>
  <c r="F36" i="36"/>
  <c r="H36" i="36"/>
  <c r="I36" i="36"/>
  <c r="J36" i="36"/>
  <c r="C37" i="36"/>
  <c r="F37" i="36" s="1"/>
  <c r="D37" i="36"/>
  <c r="E37" i="36"/>
  <c r="G37" i="36"/>
  <c r="H37" i="36"/>
  <c r="I37" i="36"/>
  <c r="J37" i="36"/>
  <c r="C38" i="36"/>
  <c r="G38" i="36" s="1"/>
  <c r="C39" i="36"/>
  <c r="E39" i="36"/>
  <c r="F39" i="36"/>
  <c r="H39" i="36"/>
  <c r="J39" i="36"/>
  <c r="C40" i="36"/>
  <c r="D40" i="36"/>
  <c r="E40" i="36"/>
  <c r="F40" i="36"/>
  <c r="G40" i="36"/>
  <c r="H40" i="36"/>
  <c r="I40" i="36"/>
  <c r="J40" i="36"/>
  <c r="C41" i="36"/>
  <c r="D41" i="36"/>
  <c r="E41" i="36"/>
  <c r="I41" i="36"/>
  <c r="C42" i="36"/>
  <c r="D42" i="36"/>
  <c r="E42" i="36"/>
  <c r="G42" i="36"/>
  <c r="H42" i="36"/>
  <c r="C43" i="36"/>
  <c r="G43" i="36" s="1"/>
  <c r="F43" i="36"/>
  <c r="C44" i="36"/>
  <c r="E44" i="36" s="1"/>
  <c r="J44" i="36"/>
  <c r="C45" i="36"/>
  <c r="F45" i="36" s="1"/>
  <c r="D45" i="36"/>
  <c r="E45" i="36"/>
  <c r="G45" i="36"/>
  <c r="H45" i="36"/>
  <c r="I45" i="36"/>
  <c r="J45" i="36"/>
  <c r="C46" i="36"/>
  <c r="I46" i="36" s="1"/>
  <c r="G46" i="36"/>
  <c r="C47" i="36"/>
  <c r="E47" i="36"/>
  <c r="G47" i="36"/>
  <c r="H47" i="36"/>
  <c r="C48" i="36"/>
  <c r="D48" i="36"/>
  <c r="E48" i="36"/>
  <c r="F48" i="36"/>
  <c r="G48" i="36"/>
  <c r="H48" i="36"/>
  <c r="I48" i="36"/>
  <c r="J48" i="36"/>
  <c r="C49" i="36"/>
  <c r="E49" i="36" s="1"/>
  <c r="D49" i="36"/>
  <c r="C50" i="36"/>
  <c r="D50" i="36" s="1"/>
  <c r="J50" i="36"/>
  <c r="C51" i="36"/>
  <c r="D51" i="36"/>
  <c r="F51" i="36"/>
  <c r="G51" i="36"/>
  <c r="I51" i="36"/>
  <c r="C52" i="36"/>
  <c r="J52" i="36" s="1"/>
  <c r="F52" i="36"/>
  <c r="I52" i="36"/>
  <c r="C53" i="36"/>
  <c r="F53" i="36" s="1"/>
  <c r="D53" i="36"/>
  <c r="E53" i="36"/>
  <c r="G53" i="36"/>
  <c r="H53" i="36"/>
  <c r="I53" i="36"/>
  <c r="J53" i="36"/>
  <c r="C54" i="36"/>
  <c r="D54" i="36"/>
  <c r="F54" i="36"/>
  <c r="G54" i="36"/>
  <c r="H54" i="36"/>
  <c r="I54" i="36"/>
  <c r="C55" i="36"/>
  <c r="G55" i="36" s="1"/>
  <c r="F55" i="36"/>
  <c r="C56" i="36"/>
  <c r="D56" i="36"/>
  <c r="E56" i="36"/>
  <c r="F56" i="36"/>
  <c r="G56" i="36"/>
  <c r="H56" i="36"/>
  <c r="I56" i="36"/>
  <c r="J56" i="36"/>
  <c r="C57" i="36"/>
  <c r="H57" i="36" s="1"/>
  <c r="D57" i="36"/>
  <c r="C58" i="36"/>
  <c r="H58" i="36" s="1"/>
  <c r="E58" i="36"/>
  <c r="C59" i="36"/>
  <c r="D59" i="36"/>
  <c r="F59" i="36"/>
  <c r="G59" i="36"/>
  <c r="J59" i="36"/>
  <c r="C60" i="36"/>
  <c r="E60" i="36"/>
  <c r="F60" i="36"/>
  <c r="H60" i="36"/>
  <c r="I60" i="36"/>
  <c r="C61" i="36"/>
  <c r="F61" i="36" s="1"/>
  <c r="D61" i="36"/>
  <c r="E61" i="36"/>
  <c r="G61" i="36"/>
  <c r="H61" i="36"/>
  <c r="I61" i="36"/>
  <c r="J61" i="36"/>
  <c r="C62" i="36"/>
  <c r="I62" i="36" s="1"/>
  <c r="G62" i="36"/>
  <c r="H62" i="36"/>
  <c r="C63" i="36"/>
  <c r="E63" i="36"/>
  <c r="F63" i="36"/>
  <c r="G63" i="36"/>
  <c r="H63" i="36"/>
  <c r="J63" i="36"/>
  <c r="C64" i="36"/>
  <c r="D64" i="36"/>
  <c r="E64" i="36"/>
  <c r="F64" i="36"/>
  <c r="G64" i="36"/>
  <c r="H64" i="36"/>
  <c r="I64" i="36"/>
  <c r="J64" i="36"/>
  <c r="C65" i="36"/>
  <c r="E65" i="36"/>
  <c r="F65" i="36"/>
  <c r="I65" i="36"/>
  <c r="C66" i="36"/>
  <c r="D66" i="36"/>
  <c r="G66" i="36"/>
  <c r="C67" i="36"/>
  <c r="D67" i="36"/>
  <c r="I67" i="36"/>
  <c r="J67" i="36"/>
  <c r="C68" i="36"/>
  <c r="F68" i="36"/>
  <c r="H68" i="36"/>
  <c r="J68" i="36"/>
  <c r="C69" i="36"/>
  <c r="F69" i="36" s="1"/>
  <c r="D69" i="36"/>
  <c r="E69" i="36"/>
  <c r="G69" i="36"/>
  <c r="H69" i="36"/>
  <c r="I69" i="36"/>
  <c r="J69" i="36"/>
  <c r="C70" i="36"/>
  <c r="F70" i="36"/>
  <c r="G70" i="36"/>
  <c r="H70" i="36"/>
  <c r="C71" i="36"/>
  <c r="E71" i="36" s="1"/>
  <c r="J71" i="36"/>
  <c r="C72" i="36"/>
  <c r="D72" i="36"/>
  <c r="E72" i="36"/>
  <c r="F72" i="36"/>
  <c r="G72" i="36"/>
  <c r="H72" i="36"/>
  <c r="I72" i="36"/>
  <c r="J72" i="36"/>
  <c r="C73" i="36"/>
  <c r="D73" i="36"/>
  <c r="E73" i="36"/>
  <c r="F73" i="36"/>
  <c r="H73" i="36"/>
  <c r="I73" i="36"/>
  <c r="C74" i="36"/>
  <c r="E74" i="36" s="1"/>
  <c r="C75" i="36"/>
  <c r="G75" i="36" s="1"/>
  <c r="C76" i="36"/>
  <c r="E76" i="36"/>
  <c r="F76" i="36"/>
  <c r="I76" i="36"/>
  <c r="J76" i="36"/>
  <c r="C77" i="36"/>
  <c r="F77" i="36" s="1"/>
  <c r="D77" i="36"/>
  <c r="E77" i="36"/>
  <c r="G77" i="36"/>
  <c r="H77" i="36"/>
  <c r="I77" i="36"/>
  <c r="J77" i="36"/>
  <c r="C78" i="36"/>
  <c r="D78" i="36"/>
  <c r="F78" i="36"/>
  <c r="G78" i="36"/>
  <c r="H78" i="36"/>
  <c r="C79" i="36"/>
  <c r="F79" i="36" s="1"/>
  <c r="C80" i="36"/>
  <c r="D80" i="36"/>
  <c r="E80" i="36"/>
  <c r="F80" i="36"/>
  <c r="G80" i="36"/>
  <c r="H80" i="36"/>
  <c r="I80" i="36"/>
  <c r="J80" i="36"/>
  <c r="C81" i="36"/>
  <c r="I81" i="36" s="1"/>
  <c r="F81" i="36"/>
  <c r="H81" i="36"/>
  <c r="C82" i="36"/>
  <c r="D82" i="36"/>
  <c r="E82" i="36"/>
  <c r="G82" i="36"/>
  <c r="H82" i="36"/>
  <c r="J82" i="36"/>
  <c r="C83" i="36"/>
  <c r="F83" i="36"/>
  <c r="G83" i="36"/>
  <c r="J83" i="36"/>
  <c r="C84" i="36"/>
  <c r="E84" i="36"/>
  <c r="H84" i="36"/>
  <c r="C85" i="36"/>
  <c r="F85" i="36" s="1"/>
  <c r="D85" i="36"/>
  <c r="E85" i="36"/>
  <c r="G85" i="36"/>
  <c r="H85" i="36"/>
  <c r="I85" i="36"/>
  <c r="J85" i="36"/>
  <c r="C86" i="36"/>
  <c r="D86" i="36" s="1"/>
  <c r="C87" i="36"/>
  <c r="E87" i="36"/>
  <c r="F87" i="36"/>
  <c r="G87" i="36"/>
  <c r="H87" i="36"/>
  <c r="C88" i="36"/>
  <c r="D88" i="36"/>
  <c r="E88" i="36"/>
  <c r="F88" i="36"/>
  <c r="G88" i="36"/>
  <c r="H88" i="36"/>
  <c r="I88" i="36"/>
  <c r="J88" i="36"/>
  <c r="C89" i="36"/>
  <c r="E89" i="36" s="1"/>
  <c r="C90" i="36"/>
  <c r="J90" i="36" s="1"/>
  <c r="D90" i="36"/>
  <c r="H90" i="36"/>
  <c r="C91" i="36"/>
  <c r="D91" i="36"/>
  <c r="F91" i="36"/>
  <c r="G91" i="36"/>
  <c r="I91" i="36"/>
  <c r="J91" i="36"/>
  <c r="C92" i="36"/>
  <c r="F92" i="36" s="1"/>
  <c r="C93" i="36"/>
  <c r="J93" i="36" s="1"/>
  <c r="E93" i="36"/>
  <c r="G93" i="36"/>
  <c r="C94" i="36"/>
  <c r="H94" i="36" s="1"/>
  <c r="F94" i="36"/>
  <c r="C95" i="36"/>
  <c r="D95" i="36"/>
  <c r="E95" i="36"/>
  <c r="F95" i="36"/>
  <c r="G95" i="36"/>
  <c r="H95" i="36"/>
  <c r="I95" i="36"/>
  <c r="J95" i="36"/>
  <c r="C96" i="36"/>
  <c r="D96" i="36" s="1"/>
  <c r="C97" i="36"/>
  <c r="E97" i="36"/>
  <c r="F97" i="36"/>
  <c r="H97" i="36"/>
  <c r="J97" i="36"/>
  <c r="C98" i="36"/>
  <c r="H98" i="36" s="1"/>
  <c r="D98" i="36"/>
  <c r="E98" i="36"/>
  <c r="F98" i="36"/>
  <c r="G98" i="36"/>
  <c r="I98" i="36"/>
  <c r="J98" i="36"/>
  <c r="C99" i="36"/>
  <c r="E99" i="36" s="1"/>
  <c r="F99" i="36"/>
  <c r="C100" i="36"/>
  <c r="G100" i="36" s="1"/>
  <c r="D100" i="36"/>
  <c r="C101" i="36"/>
  <c r="D101" i="36" s="1"/>
  <c r="J101" i="36"/>
  <c r="C102" i="36"/>
  <c r="I102" i="36" s="1"/>
  <c r="E102" i="36"/>
  <c r="F102" i="36"/>
  <c r="H102" i="36"/>
  <c r="J102" i="36"/>
  <c r="C103" i="36"/>
  <c r="D103" i="36"/>
  <c r="E103" i="36"/>
  <c r="F103" i="36"/>
  <c r="G103" i="36"/>
  <c r="H103" i="36"/>
  <c r="I103" i="36"/>
  <c r="J103" i="36"/>
  <c r="C104" i="36"/>
  <c r="F104" i="36" s="1"/>
  <c r="C105" i="36"/>
  <c r="E105" i="36"/>
  <c r="G105" i="36"/>
  <c r="H105" i="36"/>
  <c r="J105" i="36"/>
  <c r="C106" i="36"/>
  <c r="H106" i="36" s="1"/>
  <c r="D106" i="36"/>
  <c r="E106" i="36"/>
  <c r="F106" i="36"/>
  <c r="G106" i="36"/>
  <c r="I106" i="36"/>
  <c r="J106" i="36"/>
  <c r="C107" i="36"/>
  <c r="D107" i="36"/>
  <c r="E107" i="36"/>
  <c r="F107" i="36"/>
  <c r="H107" i="36"/>
  <c r="I107" i="36"/>
  <c r="C108" i="36"/>
  <c r="E108" i="36" s="1"/>
  <c r="C109" i="36"/>
  <c r="D109" i="36"/>
  <c r="G109" i="36"/>
  <c r="I109" i="36"/>
  <c r="J109" i="36"/>
  <c r="C110" i="36"/>
  <c r="E110" i="36" s="1"/>
  <c r="F110" i="36"/>
  <c r="C111" i="36"/>
  <c r="D111" i="36"/>
  <c r="E111" i="36"/>
  <c r="F111" i="36"/>
  <c r="G111" i="36"/>
  <c r="H111" i="36"/>
  <c r="I111" i="36"/>
  <c r="J111" i="36"/>
  <c r="C112" i="36"/>
  <c r="H112" i="36" s="1"/>
  <c r="D112" i="36"/>
  <c r="F112" i="36"/>
  <c r="G112" i="36"/>
  <c r="I112" i="36"/>
  <c r="C113" i="36"/>
  <c r="H113" i="36" s="1"/>
  <c r="F113" i="36"/>
  <c r="G113" i="36"/>
  <c r="C114" i="36"/>
  <c r="H114" i="36" s="1"/>
  <c r="D114" i="36"/>
  <c r="E114" i="36"/>
  <c r="F114" i="36"/>
  <c r="G114" i="36"/>
  <c r="I114" i="36"/>
  <c r="J114" i="36"/>
  <c r="C115" i="36"/>
  <c r="D115" i="36" s="1"/>
  <c r="E115" i="36"/>
  <c r="C116" i="36"/>
  <c r="D116" i="36"/>
  <c r="E116" i="36"/>
  <c r="G116" i="36"/>
  <c r="H116" i="36"/>
  <c r="J116" i="36"/>
  <c r="C117" i="36"/>
  <c r="G117" i="36" s="1"/>
  <c r="F117" i="36"/>
  <c r="C118" i="36"/>
  <c r="E118" i="36" s="1"/>
  <c r="J118" i="36"/>
  <c r="C119" i="36"/>
  <c r="D119" i="36"/>
  <c r="E119" i="36"/>
  <c r="F119" i="36"/>
  <c r="G119" i="36"/>
  <c r="H119" i="36"/>
  <c r="I119" i="36"/>
  <c r="J119" i="36"/>
  <c r="C120" i="36"/>
  <c r="I120" i="36" s="1"/>
  <c r="D120" i="36"/>
  <c r="F120" i="36"/>
  <c r="H120" i="36"/>
  <c r="C121" i="36"/>
  <c r="H121" i="36" s="1"/>
  <c r="E121" i="36"/>
  <c r="F121" i="36"/>
  <c r="G121" i="36"/>
  <c r="J121" i="36"/>
  <c r="C122" i="36"/>
  <c r="H122" i="36" s="1"/>
  <c r="D122" i="36"/>
  <c r="E122" i="36"/>
  <c r="F122" i="36"/>
  <c r="G122" i="36"/>
  <c r="I122" i="36"/>
  <c r="J122" i="36"/>
  <c r="C123" i="36"/>
  <c r="E123" i="36"/>
  <c r="F123" i="36"/>
  <c r="H123" i="36"/>
  <c r="J123" i="36"/>
  <c r="C124" i="36"/>
  <c r="G124" i="36" s="1"/>
  <c r="E124" i="36"/>
  <c r="J124" i="36"/>
  <c r="C125" i="36"/>
  <c r="J125" i="36" s="1"/>
  <c r="F125" i="36"/>
  <c r="G125" i="36"/>
  <c r="H125" i="36"/>
  <c r="C126" i="36"/>
  <c r="G126" i="36" s="1"/>
  <c r="F126" i="36"/>
  <c r="C127" i="36"/>
  <c r="D127" i="36"/>
  <c r="E127" i="36"/>
  <c r="F127" i="36"/>
  <c r="G127" i="36"/>
  <c r="H127" i="36"/>
  <c r="I127" i="36"/>
  <c r="J127" i="36"/>
  <c r="C128" i="36"/>
  <c r="E128" i="36"/>
  <c r="F128" i="36"/>
  <c r="G128" i="36"/>
  <c r="I128" i="36"/>
  <c r="J128" i="36"/>
  <c r="C129" i="36"/>
  <c r="G129" i="36" s="1"/>
  <c r="D129" i="36"/>
  <c r="E129" i="36"/>
  <c r="F129" i="36"/>
  <c r="H129" i="36"/>
  <c r="I129" i="36"/>
  <c r="J129" i="36"/>
  <c r="C130" i="36"/>
  <c r="E130" i="36" s="1"/>
  <c r="D130" i="36"/>
  <c r="H130" i="36"/>
  <c r="I130" i="36"/>
  <c r="C131" i="36"/>
  <c r="D131" i="36" s="1"/>
  <c r="F131" i="36"/>
  <c r="J131" i="36"/>
  <c r="C132" i="36"/>
  <c r="I132" i="36" s="1"/>
  <c r="E132" i="36"/>
  <c r="F132" i="36"/>
  <c r="G132" i="36"/>
  <c r="J132" i="36"/>
  <c r="C133" i="36"/>
  <c r="G133" i="36" s="1"/>
  <c r="D133" i="36"/>
  <c r="E133" i="36"/>
  <c r="F133" i="36"/>
  <c r="H133" i="36"/>
  <c r="I133" i="36"/>
  <c r="J133" i="36"/>
  <c r="C134" i="36"/>
  <c r="E134" i="36" s="1"/>
  <c r="D134" i="36"/>
  <c r="C135" i="36"/>
  <c r="G135" i="36" s="1"/>
  <c r="D135" i="36"/>
  <c r="F135" i="36"/>
  <c r="H135" i="36"/>
  <c r="J135" i="36"/>
  <c r="C136" i="36"/>
  <c r="E136" i="36"/>
  <c r="F136" i="36"/>
  <c r="G136" i="36"/>
  <c r="I136" i="36"/>
  <c r="J136" i="36"/>
  <c r="C137" i="36"/>
  <c r="G137" i="36" s="1"/>
  <c r="D137" i="36"/>
  <c r="E137" i="36"/>
  <c r="F137" i="36"/>
  <c r="H137" i="36"/>
  <c r="I137" i="36"/>
  <c r="J137" i="36"/>
  <c r="C138" i="36"/>
  <c r="E138" i="36" s="1"/>
  <c r="D138" i="36"/>
  <c r="H138" i="36"/>
  <c r="I138" i="36"/>
  <c r="C139" i="36"/>
  <c r="D139" i="36" s="1"/>
  <c r="F139" i="36"/>
  <c r="J139" i="36"/>
  <c r="C140" i="36"/>
  <c r="I140" i="36" s="1"/>
  <c r="E140" i="36"/>
  <c r="F140" i="36"/>
  <c r="G140" i="36"/>
  <c r="J140" i="36"/>
  <c r="C141" i="36"/>
  <c r="G141" i="36" s="1"/>
  <c r="D141" i="36"/>
  <c r="E141" i="36"/>
  <c r="F141" i="36"/>
  <c r="H141" i="36"/>
  <c r="I141" i="36"/>
  <c r="J141" i="36"/>
  <c r="C142" i="36"/>
  <c r="E142" i="36" s="1"/>
  <c r="D142" i="36"/>
  <c r="C143" i="36"/>
  <c r="G143" i="36" s="1"/>
  <c r="D143" i="36"/>
  <c r="F143" i="36"/>
  <c r="H143" i="36"/>
  <c r="J143" i="36"/>
  <c r="C144" i="36"/>
  <c r="E144" i="36"/>
  <c r="F144" i="36"/>
  <c r="G144" i="36"/>
  <c r="I144" i="36"/>
  <c r="J144" i="36"/>
  <c r="C145" i="36"/>
  <c r="D145" i="36"/>
  <c r="E145" i="36"/>
  <c r="F145" i="36"/>
  <c r="G145" i="36"/>
  <c r="H145" i="36"/>
  <c r="I145" i="36"/>
  <c r="J145" i="36"/>
  <c r="C146" i="36"/>
  <c r="D146" i="36" s="1"/>
  <c r="G146" i="36"/>
  <c r="H146" i="36"/>
  <c r="C147" i="36"/>
  <c r="F147" i="36" s="1"/>
  <c r="D147" i="36"/>
  <c r="H147" i="36"/>
  <c r="J147" i="36"/>
  <c r="C148" i="36"/>
  <c r="E148" i="36" s="1"/>
  <c r="F148" i="36"/>
  <c r="J148" i="36"/>
  <c r="C149" i="36"/>
  <c r="G149" i="36" s="1"/>
  <c r="D149" i="36"/>
  <c r="E149" i="36"/>
  <c r="F149" i="36"/>
  <c r="H149" i="36"/>
  <c r="I149" i="36"/>
  <c r="J149" i="36"/>
  <c r="C150" i="36"/>
  <c r="D150" i="36" s="1"/>
  <c r="C151" i="36"/>
  <c r="F151" i="36" s="1"/>
  <c r="D151" i="36"/>
  <c r="C152" i="36"/>
  <c r="G152" i="36" s="1"/>
  <c r="E152" i="36"/>
  <c r="F152" i="36"/>
  <c r="I152" i="36"/>
  <c r="J152" i="36"/>
  <c r="C153" i="36"/>
  <c r="D153" i="36"/>
  <c r="E153" i="36"/>
  <c r="F153" i="36"/>
  <c r="G153" i="36"/>
  <c r="H153" i="36"/>
  <c r="I153" i="36"/>
  <c r="J153" i="36"/>
  <c r="C154" i="36"/>
  <c r="D154" i="36"/>
  <c r="E154" i="36"/>
  <c r="G154" i="36"/>
  <c r="H154" i="36"/>
  <c r="I154" i="36"/>
  <c r="C155" i="36"/>
  <c r="D155" i="36" s="1"/>
  <c r="G155" i="36"/>
  <c r="H155" i="36"/>
  <c r="C156" i="36"/>
  <c r="F156" i="36" s="1"/>
  <c r="E156" i="36"/>
  <c r="I156" i="36"/>
  <c r="J156" i="36"/>
  <c r="C157" i="36"/>
  <c r="G157" i="36" s="1"/>
  <c r="D157" i="36"/>
  <c r="E157" i="36"/>
  <c r="F157" i="36"/>
  <c r="H157" i="36"/>
  <c r="I157" i="36"/>
  <c r="J157" i="36"/>
  <c r="C158" i="36"/>
  <c r="H158" i="36" s="1"/>
  <c r="D158" i="36"/>
  <c r="E158" i="36"/>
  <c r="G158" i="36"/>
  <c r="I158" i="36"/>
  <c r="C159" i="36"/>
  <c r="C160" i="36"/>
  <c r="E160" i="36" s="1"/>
  <c r="C161" i="36"/>
  <c r="G161" i="36" s="1"/>
  <c r="D161" i="36"/>
  <c r="E161" i="36"/>
  <c r="F161" i="36"/>
  <c r="H161" i="36"/>
  <c r="I161" i="36"/>
  <c r="J161" i="36"/>
  <c r="C162" i="36"/>
  <c r="D162" i="36"/>
  <c r="E162" i="36"/>
  <c r="G162" i="36"/>
  <c r="H162" i="36"/>
  <c r="I162" i="36"/>
  <c r="C163" i="36"/>
  <c r="D163" i="36" s="1"/>
  <c r="G163" i="36"/>
  <c r="H163" i="36"/>
  <c r="C164" i="36"/>
  <c r="D164" i="36" s="1"/>
  <c r="E164" i="36"/>
  <c r="H164" i="36"/>
  <c r="I164" i="36"/>
  <c r="C165" i="36"/>
  <c r="F165" i="36" s="1"/>
  <c r="D165" i="36"/>
  <c r="G165" i="36"/>
  <c r="H165" i="36"/>
  <c r="J165" i="36"/>
  <c r="C166" i="36"/>
  <c r="F166" i="36" s="1"/>
  <c r="C167" i="36"/>
  <c r="D167" i="36"/>
  <c r="E167" i="36"/>
  <c r="F167" i="36"/>
  <c r="G167" i="36"/>
  <c r="H167" i="36"/>
  <c r="I167" i="36"/>
  <c r="J167" i="36"/>
  <c r="C168" i="36"/>
  <c r="F168" i="36" s="1"/>
  <c r="D168" i="36"/>
  <c r="E168" i="36"/>
  <c r="G168" i="36"/>
  <c r="H168" i="36"/>
  <c r="I168" i="36"/>
  <c r="C169" i="36"/>
  <c r="H169" i="36" s="1"/>
  <c r="D169" i="36"/>
  <c r="F169" i="36"/>
  <c r="C170" i="36"/>
  <c r="E170" i="36" s="1"/>
  <c r="C171" i="36"/>
  <c r="G171" i="36" s="1"/>
  <c r="D171" i="36"/>
  <c r="E171" i="36"/>
  <c r="F171" i="36"/>
  <c r="H171" i="36"/>
  <c r="I171" i="36"/>
  <c r="J171" i="36"/>
  <c r="C172" i="36"/>
  <c r="H172" i="36" s="1"/>
  <c r="E172" i="36"/>
  <c r="C173" i="36"/>
  <c r="F173" i="36" s="1"/>
  <c r="D173" i="36"/>
  <c r="G173" i="36"/>
  <c r="H173" i="36"/>
  <c r="J173" i="36"/>
  <c r="C174" i="36"/>
  <c r="I174" i="36" s="1"/>
  <c r="F174" i="36"/>
  <c r="G174" i="36"/>
  <c r="J174" i="36"/>
  <c r="C175" i="36"/>
  <c r="D175" i="36"/>
  <c r="E175" i="36"/>
  <c r="F175" i="36"/>
  <c r="G175" i="36"/>
  <c r="H175" i="36"/>
  <c r="I175" i="36"/>
  <c r="J175" i="36"/>
  <c r="C176" i="36"/>
  <c r="F176" i="36" s="1"/>
  <c r="D176" i="36"/>
  <c r="E176" i="36"/>
  <c r="G176" i="36"/>
  <c r="H176" i="36"/>
  <c r="I176" i="36"/>
  <c r="C177" i="36"/>
  <c r="G177" i="36" s="1"/>
  <c r="D177" i="36"/>
  <c r="F177" i="36"/>
  <c r="C178" i="36"/>
  <c r="E178" i="36" s="1"/>
  <c r="G178" i="36"/>
  <c r="J178" i="36"/>
  <c r="C179" i="36"/>
  <c r="G179" i="36" s="1"/>
  <c r="D179" i="36"/>
  <c r="E179" i="36"/>
  <c r="F179" i="36"/>
  <c r="H179" i="36"/>
  <c r="I179" i="36"/>
  <c r="J179" i="36"/>
  <c r="C180" i="36"/>
  <c r="I180" i="36" s="1"/>
  <c r="D180" i="36"/>
  <c r="E180" i="36"/>
  <c r="H180" i="36"/>
  <c r="C181" i="36"/>
  <c r="G181" i="36" s="1"/>
  <c r="D181" i="36"/>
  <c r="J181" i="36"/>
  <c r="C182" i="36"/>
  <c r="F182" i="36"/>
  <c r="G182" i="36"/>
  <c r="I182" i="36"/>
  <c r="J182" i="36"/>
  <c r="C183" i="36"/>
  <c r="D183" i="36"/>
  <c r="E183" i="36"/>
  <c r="F183" i="36"/>
  <c r="G183" i="36"/>
  <c r="H183" i="36"/>
  <c r="I183" i="36"/>
  <c r="J183" i="36"/>
  <c r="C184" i="36"/>
  <c r="D184" i="36" s="1"/>
  <c r="C185" i="36"/>
  <c r="G185" i="36" s="1"/>
  <c r="D185" i="36"/>
  <c r="F185" i="36"/>
  <c r="H185" i="36"/>
  <c r="J185" i="36"/>
  <c r="C186" i="36"/>
  <c r="I186" i="36" s="1"/>
  <c r="E186" i="36"/>
  <c r="F186" i="36"/>
  <c r="G186" i="36"/>
  <c r="J186" i="36"/>
  <c r="C187" i="36"/>
  <c r="G187" i="36" s="1"/>
  <c r="D187" i="36"/>
  <c r="E187" i="36"/>
  <c r="F187" i="36"/>
  <c r="H187" i="36"/>
  <c r="I187" i="36"/>
  <c r="J187" i="36"/>
  <c r="C188" i="36"/>
  <c r="E188" i="36" s="1"/>
  <c r="D188" i="36"/>
  <c r="H188" i="36"/>
  <c r="I188" i="36"/>
  <c r="C189" i="36"/>
  <c r="G189" i="36" s="1"/>
  <c r="D189" i="36"/>
  <c r="F189" i="36"/>
  <c r="H189" i="36"/>
  <c r="J189" i="36"/>
  <c r="C190" i="36"/>
  <c r="E190" i="36"/>
  <c r="F190" i="36"/>
  <c r="G190" i="36"/>
  <c r="I190" i="36"/>
  <c r="J190" i="36"/>
  <c r="C191" i="36"/>
  <c r="D191" i="36"/>
  <c r="E191" i="36"/>
  <c r="F191" i="36"/>
  <c r="G191" i="36"/>
  <c r="H191" i="36"/>
  <c r="I191" i="36"/>
  <c r="J191" i="36"/>
  <c r="C192" i="36"/>
  <c r="D192" i="36" s="1"/>
  <c r="G192" i="36"/>
  <c r="H192" i="36"/>
  <c r="C193" i="36"/>
  <c r="D193" i="36" s="1"/>
  <c r="C194" i="36"/>
  <c r="G194" i="36" s="1"/>
  <c r="E194" i="36"/>
  <c r="F194" i="36"/>
  <c r="J194" i="36"/>
  <c r="C195" i="36"/>
  <c r="G195" i="36" s="1"/>
  <c r="D195" i="36"/>
  <c r="E195" i="36"/>
  <c r="F195" i="36"/>
  <c r="H195" i="36"/>
  <c r="I195" i="36"/>
  <c r="J195" i="36"/>
  <c r="C196" i="36"/>
  <c r="D196" i="36" s="1"/>
  <c r="G196" i="36"/>
  <c r="C197" i="36"/>
  <c r="F197" i="36" s="1"/>
  <c r="D197" i="36"/>
  <c r="H197" i="36"/>
  <c r="C198" i="36"/>
  <c r="G198" i="36" s="1"/>
  <c r="E198" i="36"/>
  <c r="F198" i="36"/>
  <c r="I198" i="36"/>
  <c r="J198" i="36"/>
  <c r="C199" i="36"/>
  <c r="D199" i="36"/>
  <c r="E199" i="36"/>
  <c r="F199" i="36"/>
  <c r="G199" i="36"/>
  <c r="H199" i="36"/>
  <c r="I199" i="36"/>
  <c r="J199" i="36"/>
  <c r="C200" i="36"/>
  <c r="D200" i="36"/>
  <c r="E200" i="36"/>
  <c r="G200" i="36"/>
  <c r="H200" i="36"/>
  <c r="I200" i="36"/>
  <c r="C201" i="36"/>
  <c r="D201" i="36" s="1"/>
  <c r="G201" i="36"/>
  <c r="H201" i="36"/>
  <c r="C202" i="36"/>
  <c r="E202" i="36" s="1"/>
  <c r="C203" i="36"/>
  <c r="G203" i="36" s="1"/>
  <c r="D203" i="36"/>
  <c r="E203" i="36"/>
  <c r="F203" i="36"/>
  <c r="H203" i="36"/>
  <c r="I203" i="36"/>
  <c r="J203" i="36"/>
  <c r="C204" i="36"/>
  <c r="H204" i="36" s="1"/>
  <c r="D204" i="36"/>
  <c r="E204" i="36"/>
  <c r="G204" i="36"/>
  <c r="I204" i="36"/>
  <c r="C205" i="36"/>
  <c r="D205" i="36" s="1"/>
  <c r="G205" i="36"/>
  <c r="C206" i="36"/>
  <c r="E206" i="36" s="1"/>
  <c r="I206" i="36"/>
  <c r="C207" i="36"/>
  <c r="D207" i="36"/>
  <c r="E207" i="36"/>
  <c r="F207" i="36"/>
  <c r="G207" i="36"/>
  <c r="H207" i="36"/>
  <c r="I207" i="36"/>
  <c r="J207" i="36"/>
  <c r="C208" i="36"/>
  <c r="G208" i="36" s="1"/>
  <c r="D208" i="36"/>
  <c r="E208" i="36"/>
  <c r="I208" i="36"/>
  <c r="C209" i="36"/>
  <c r="D209" i="36"/>
  <c r="F209" i="36"/>
  <c r="G209" i="36"/>
  <c r="H209" i="36"/>
  <c r="J209" i="36"/>
  <c r="C210" i="36"/>
  <c r="E210" i="36" s="1"/>
  <c r="G210" i="36"/>
  <c r="I210" i="36"/>
  <c r="C211" i="36"/>
  <c r="G211" i="36" s="1"/>
  <c r="D211" i="36"/>
  <c r="E211" i="36"/>
  <c r="F211" i="36"/>
  <c r="H211" i="36"/>
  <c r="I211" i="36"/>
  <c r="J211" i="36"/>
  <c r="C212" i="36"/>
  <c r="G212" i="36" s="1"/>
  <c r="D212" i="36"/>
  <c r="E212" i="36"/>
  <c r="H212" i="36"/>
  <c r="I212" i="36"/>
  <c r="C213" i="36"/>
  <c r="H213" i="36" s="1"/>
  <c r="D213" i="36"/>
  <c r="F213" i="36"/>
  <c r="G213" i="36"/>
  <c r="J213" i="36"/>
  <c r="C214" i="36"/>
  <c r="E214" i="36" s="1"/>
  <c r="G214" i="36"/>
  <c r="C215" i="36"/>
  <c r="D215" i="36"/>
  <c r="E215" i="36"/>
  <c r="F215" i="36"/>
  <c r="G215" i="36"/>
  <c r="H215" i="36"/>
  <c r="I215" i="36"/>
  <c r="J215" i="36"/>
  <c r="C216" i="36"/>
  <c r="E216" i="36" s="1"/>
  <c r="D216" i="36"/>
  <c r="H216" i="36"/>
  <c r="C217" i="36"/>
  <c r="G217" i="36" s="1"/>
  <c r="D217" i="36"/>
  <c r="F217" i="36"/>
  <c r="H217" i="36"/>
  <c r="J217" i="36"/>
  <c r="C218" i="36"/>
  <c r="E218" i="36"/>
  <c r="F218" i="36"/>
  <c r="G218" i="36"/>
  <c r="I218" i="36"/>
  <c r="J218" i="36"/>
  <c r="C219" i="36"/>
  <c r="G219" i="36" s="1"/>
  <c r="D219" i="36"/>
  <c r="E219" i="36"/>
  <c r="F219" i="36"/>
  <c r="H219" i="36"/>
  <c r="I219" i="36"/>
  <c r="J219" i="36"/>
  <c r="C220" i="36"/>
  <c r="D220" i="36" s="1"/>
  <c r="C221" i="36"/>
  <c r="G221" i="36" s="1"/>
  <c r="D221" i="36"/>
  <c r="F221" i="36"/>
  <c r="J221" i="36"/>
  <c r="C222" i="36"/>
  <c r="E222" i="36"/>
  <c r="F222" i="36"/>
  <c r="G222" i="36"/>
  <c r="I222" i="36"/>
  <c r="J222" i="36"/>
  <c r="C223" i="36"/>
  <c r="D223" i="36"/>
  <c r="E223" i="36"/>
  <c r="F223" i="36"/>
  <c r="G223" i="36"/>
  <c r="H223" i="36"/>
  <c r="I223" i="36"/>
  <c r="J223" i="36"/>
  <c r="C224" i="36"/>
  <c r="D224" i="36" s="1"/>
  <c r="G224" i="36"/>
  <c r="C225" i="36"/>
  <c r="F225" i="36" s="1"/>
  <c r="D225" i="36"/>
  <c r="H225" i="36"/>
  <c r="C226" i="36"/>
  <c r="G226" i="36" s="1"/>
  <c r="E226" i="36"/>
  <c r="F226" i="36"/>
  <c r="I226" i="36"/>
  <c r="J226" i="36"/>
  <c r="C227" i="36"/>
  <c r="G227" i="36" s="1"/>
  <c r="D227" i="36"/>
  <c r="E227" i="36"/>
  <c r="F227" i="36"/>
  <c r="H227" i="36"/>
  <c r="I227" i="36"/>
  <c r="J227" i="36"/>
  <c r="C228" i="36"/>
  <c r="D228" i="36" s="1"/>
  <c r="G228" i="36"/>
  <c r="H228" i="36"/>
  <c r="C229" i="36"/>
  <c r="D229" i="36" s="1"/>
  <c r="C230" i="36"/>
  <c r="G230" i="36" s="1"/>
  <c r="E230" i="36"/>
  <c r="F230" i="36"/>
  <c r="J230" i="36"/>
  <c r="C231" i="36"/>
  <c r="D231" i="36"/>
  <c r="E231" i="36"/>
  <c r="F231" i="36"/>
  <c r="G231" i="36"/>
  <c r="H231" i="36"/>
  <c r="I231" i="36"/>
  <c r="J231" i="36"/>
  <c r="C232" i="36"/>
  <c r="H232" i="36" s="1"/>
  <c r="D232" i="36"/>
  <c r="E232" i="36"/>
  <c r="G232" i="36"/>
  <c r="I232" i="36"/>
  <c r="C233" i="36"/>
  <c r="D233" i="36" s="1"/>
  <c r="G233" i="36"/>
  <c r="C234" i="36"/>
  <c r="F234" i="36" s="1"/>
  <c r="E234" i="36"/>
  <c r="I234" i="36"/>
  <c r="C235" i="36"/>
  <c r="G235" i="36" s="1"/>
  <c r="D235" i="36"/>
  <c r="E235" i="36"/>
  <c r="F235" i="36"/>
  <c r="H235" i="36"/>
  <c r="I235" i="36"/>
  <c r="J235" i="36"/>
  <c r="C236" i="36"/>
  <c r="D236" i="36"/>
  <c r="E236" i="36"/>
  <c r="G236" i="36"/>
  <c r="H236" i="36"/>
  <c r="I236" i="36"/>
  <c r="C237" i="36"/>
  <c r="D237" i="36" s="1"/>
  <c r="G237" i="36"/>
  <c r="H237" i="36"/>
  <c r="C238" i="36"/>
  <c r="E238" i="36" s="1"/>
  <c r="C239" i="36"/>
  <c r="D239" i="36"/>
  <c r="E239" i="36"/>
  <c r="F239" i="36"/>
  <c r="G239" i="36"/>
  <c r="H239" i="36"/>
  <c r="I239" i="36"/>
  <c r="J239" i="36"/>
  <c r="C240" i="36"/>
  <c r="G240" i="36" s="1"/>
  <c r="D240" i="36"/>
  <c r="E240" i="36"/>
  <c r="I240" i="36"/>
  <c r="C241" i="36"/>
  <c r="H241" i="36" s="1"/>
  <c r="D241" i="36"/>
  <c r="F241" i="36"/>
  <c r="G241" i="36"/>
  <c r="J241" i="36"/>
  <c r="C242" i="36"/>
  <c r="E242" i="36" s="1"/>
  <c r="G242" i="36"/>
  <c r="C243" i="36"/>
  <c r="G243" i="36" s="1"/>
  <c r="D243" i="36"/>
  <c r="E243" i="36"/>
  <c r="F243" i="36"/>
  <c r="H243" i="36"/>
  <c r="I243" i="36"/>
  <c r="J243" i="36"/>
  <c r="C244" i="36"/>
  <c r="G244" i="36" s="1"/>
  <c r="D244" i="36"/>
  <c r="E244" i="36"/>
  <c r="H244" i="36"/>
  <c r="I244" i="36"/>
  <c r="C245" i="36"/>
  <c r="D245" i="36"/>
  <c r="F245" i="36"/>
  <c r="G245" i="36"/>
  <c r="H245" i="36"/>
  <c r="J245" i="36"/>
  <c r="C246" i="36"/>
  <c r="E246" i="36" s="1"/>
  <c r="G246" i="36"/>
  <c r="I246" i="36"/>
  <c r="C247" i="36"/>
  <c r="D247" i="36"/>
  <c r="E247" i="36"/>
  <c r="F247" i="36"/>
  <c r="G247" i="36"/>
  <c r="H247" i="36"/>
  <c r="I247" i="36"/>
  <c r="J247" i="36"/>
  <c r="C248" i="36"/>
  <c r="D248" i="36" s="1"/>
  <c r="C249" i="36"/>
  <c r="G249" i="36" s="1"/>
  <c r="D249" i="36"/>
  <c r="F249" i="36"/>
  <c r="J249" i="36"/>
  <c r="C250" i="36"/>
  <c r="I250" i="36" s="1"/>
  <c r="E250" i="36"/>
  <c r="F250" i="36"/>
  <c r="G250" i="36"/>
  <c r="J250" i="36"/>
  <c r="C251" i="36"/>
  <c r="G251" i="36" s="1"/>
  <c r="D251" i="36"/>
  <c r="E251" i="36"/>
  <c r="F251" i="36"/>
  <c r="H251" i="36"/>
  <c r="I251" i="36"/>
  <c r="J251" i="36"/>
  <c r="C252" i="36"/>
  <c r="E252" i="36" s="1"/>
  <c r="D252" i="36"/>
  <c r="H252" i="36"/>
  <c r="C253" i="36"/>
  <c r="G253" i="36" s="1"/>
  <c r="D253" i="36"/>
  <c r="F253" i="36"/>
  <c r="H253" i="36"/>
  <c r="J253" i="36"/>
  <c r="C254" i="36"/>
  <c r="E254" i="36"/>
  <c r="F254" i="36"/>
  <c r="G254" i="36"/>
  <c r="I254" i="36"/>
  <c r="J254" i="36"/>
  <c r="C255" i="36"/>
  <c r="D255" i="36"/>
  <c r="E255" i="36"/>
  <c r="F255" i="36"/>
  <c r="G255" i="36"/>
  <c r="H255" i="36"/>
  <c r="I255" i="36"/>
  <c r="J255" i="36"/>
  <c r="C256" i="36"/>
  <c r="D256" i="36" s="1"/>
  <c r="G256" i="36"/>
  <c r="H256" i="36"/>
  <c r="C257" i="36"/>
  <c r="D257" i="36" s="1"/>
  <c r="C258" i="36"/>
  <c r="G258" i="36" s="1"/>
  <c r="E258" i="36"/>
  <c r="F258" i="36"/>
  <c r="J258" i="36"/>
  <c r="C259" i="36"/>
  <c r="G259" i="36" s="1"/>
  <c r="D259" i="36"/>
  <c r="E259" i="36"/>
  <c r="F259" i="36"/>
  <c r="H259" i="36"/>
  <c r="I259" i="36"/>
  <c r="J259" i="36"/>
  <c r="C260" i="36"/>
  <c r="D260" i="36" s="1"/>
  <c r="G260" i="36"/>
  <c r="C261" i="36"/>
  <c r="F261" i="36" s="1"/>
  <c r="D261" i="36"/>
  <c r="H261" i="36"/>
  <c r="C262" i="36"/>
  <c r="G262" i="36" s="1"/>
  <c r="E262" i="36"/>
  <c r="F262" i="36"/>
  <c r="I262" i="36"/>
  <c r="J262" i="36"/>
  <c r="C263" i="36"/>
  <c r="D263" i="36"/>
  <c r="E263" i="36"/>
  <c r="F263" i="36"/>
  <c r="G263" i="36"/>
  <c r="H263" i="36"/>
  <c r="I263" i="36"/>
  <c r="J263" i="36"/>
  <c r="C264" i="36"/>
  <c r="D264" i="36"/>
  <c r="E264" i="36"/>
  <c r="G264" i="36"/>
  <c r="H264" i="36"/>
  <c r="I264" i="36"/>
  <c r="C265" i="36"/>
  <c r="D265" i="36" s="1"/>
  <c r="G265" i="36"/>
  <c r="H265" i="36"/>
  <c r="C266" i="36"/>
  <c r="E266" i="36" s="1"/>
  <c r="C267" i="36"/>
  <c r="G267" i="36" s="1"/>
  <c r="D267" i="36"/>
  <c r="E267" i="36"/>
  <c r="F267" i="36"/>
  <c r="H267" i="36"/>
  <c r="I267" i="36"/>
  <c r="J267" i="36"/>
  <c r="C268" i="36"/>
  <c r="H268" i="36" s="1"/>
  <c r="D268" i="36"/>
  <c r="E268" i="36"/>
  <c r="G268" i="36"/>
  <c r="I268" i="36"/>
  <c r="C269" i="36"/>
  <c r="D269" i="36" s="1"/>
  <c r="G269" i="36"/>
  <c r="C270" i="36"/>
  <c r="F270" i="36" s="1"/>
  <c r="E270" i="36"/>
  <c r="I270" i="36"/>
  <c r="C271" i="36"/>
  <c r="D271" i="36"/>
  <c r="E271" i="36"/>
  <c r="F271" i="36"/>
  <c r="G271" i="36"/>
  <c r="H271" i="36"/>
  <c r="I271" i="36"/>
  <c r="J271" i="36"/>
  <c r="C272" i="36"/>
  <c r="J272" i="36" s="1"/>
  <c r="D272" i="36"/>
  <c r="E272" i="36"/>
  <c r="G272" i="36"/>
  <c r="H272" i="36"/>
  <c r="I272" i="36"/>
  <c r="C273" i="36"/>
  <c r="I273" i="36" s="1"/>
  <c r="D273" i="36"/>
  <c r="E273" i="36"/>
  <c r="G273" i="36"/>
  <c r="H273" i="36"/>
  <c r="J273" i="36"/>
  <c r="C274" i="36"/>
  <c r="H274" i="36" s="1"/>
  <c r="D274" i="36"/>
  <c r="E274" i="36"/>
  <c r="G274" i="36"/>
  <c r="I274" i="36"/>
  <c r="J274" i="36"/>
  <c r="C275" i="36"/>
  <c r="G275" i="36" s="1"/>
  <c r="D275" i="36"/>
  <c r="E275" i="36"/>
  <c r="H275" i="36"/>
  <c r="I275" i="36"/>
  <c r="J275" i="36"/>
  <c r="C276" i="36"/>
  <c r="F276" i="36" s="1"/>
  <c r="D276" i="36"/>
  <c r="E276" i="36"/>
  <c r="H276" i="36"/>
  <c r="I276" i="36"/>
  <c r="J276" i="36"/>
  <c r="C277" i="36"/>
  <c r="E277" i="36" s="1"/>
  <c r="D277" i="36"/>
  <c r="F277" i="36"/>
  <c r="H277" i="36"/>
  <c r="I277" i="36"/>
  <c r="J277" i="36"/>
  <c r="C278" i="36"/>
  <c r="D278" i="36" s="1"/>
  <c r="E278" i="36"/>
  <c r="F278" i="36"/>
  <c r="H278" i="36"/>
  <c r="I278" i="36"/>
  <c r="J278" i="36"/>
  <c r="C279" i="36"/>
  <c r="D279" i="36"/>
  <c r="E279" i="36"/>
  <c r="F279" i="36"/>
  <c r="G279" i="36"/>
  <c r="H279" i="36"/>
  <c r="I279" i="36"/>
  <c r="J279" i="36"/>
  <c r="C280" i="36"/>
  <c r="F280" i="36" s="1"/>
  <c r="D280" i="36"/>
  <c r="E280" i="36"/>
  <c r="G280" i="36"/>
  <c r="H280" i="36"/>
  <c r="I280" i="36"/>
  <c r="C281" i="36"/>
  <c r="J281" i="36" s="1"/>
  <c r="D281" i="36"/>
  <c r="G281" i="36"/>
  <c r="C282" i="36"/>
  <c r="I282" i="36" s="1"/>
  <c r="F282" i="36"/>
  <c r="C283" i="36"/>
  <c r="G283" i="36" s="1"/>
  <c r="D283" i="36"/>
  <c r="E283" i="36"/>
  <c r="F283" i="36"/>
  <c r="H283" i="36"/>
  <c r="I283" i="36"/>
  <c r="J283" i="36"/>
  <c r="C284" i="36"/>
  <c r="G284" i="36" s="1"/>
  <c r="D284" i="36"/>
  <c r="E284" i="36"/>
  <c r="H284" i="36"/>
  <c r="I284" i="36"/>
  <c r="C285" i="36"/>
  <c r="F285" i="36" s="1"/>
  <c r="C286" i="36"/>
  <c r="E286" i="36" s="1"/>
  <c r="F286" i="36"/>
  <c r="G286" i="36"/>
  <c r="J286" i="36"/>
  <c r="C287" i="36"/>
  <c r="D287" i="36"/>
  <c r="E287" i="36"/>
  <c r="F287" i="36"/>
  <c r="G287" i="36"/>
  <c r="H287" i="36"/>
  <c r="I287" i="36"/>
  <c r="J287" i="36"/>
  <c r="C288" i="36"/>
  <c r="F288" i="36" s="1"/>
  <c r="D288" i="36"/>
  <c r="E288" i="36"/>
  <c r="G288" i="36"/>
  <c r="H288" i="36"/>
  <c r="I288" i="36"/>
  <c r="C289" i="36"/>
  <c r="J289" i="36" s="1"/>
  <c r="D289" i="36"/>
  <c r="G289" i="36"/>
  <c r="C290" i="36"/>
  <c r="I290" i="36" s="1"/>
  <c r="F290" i="36"/>
  <c r="C291" i="36"/>
  <c r="G291" i="36" s="1"/>
  <c r="D291" i="36"/>
  <c r="E291" i="36"/>
  <c r="F291" i="36"/>
  <c r="H291" i="36"/>
  <c r="I291" i="36"/>
  <c r="J291" i="36"/>
  <c r="C292" i="36"/>
  <c r="G292" i="36" s="1"/>
  <c r="D292" i="36"/>
  <c r="E292" i="36"/>
  <c r="H292" i="36"/>
  <c r="I292" i="36"/>
  <c r="C293" i="36"/>
  <c r="F293" i="36" s="1"/>
  <c r="C294" i="36"/>
  <c r="E294" i="36" s="1"/>
  <c r="F294" i="36"/>
  <c r="G294" i="36"/>
  <c r="J294" i="36"/>
  <c r="C295" i="36"/>
  <c r="D295" i="36"/>
  <c r="E295" i="36"/>
  <c r="F295" i="36"/>
  <c r="G295" i="36"/>
  <c r="H295" i="36"/>
  <c r="I295" i="36"/>
  <c r="J295" i="36"/>
  <c r="C296" i="36"/>
  <c r="F296" i="36" s="1"/>
  <c r="D296" i="36"/>
  <c r="E296" i="36"/>
  <c r="G296" i="36"/>
  <c r="H296" i="36"/>
  <c r="I296" i="36"/>
  <c r="C297" i="36"/>
  <c r="J297" i="36" s="1"/>
  <c r="D297" i="36"/>
  <c r="G297" i="36"/>
  <c r="C298" i="36"/>
  <c r="I298" i="36" s="1"/>
  <c r="F298" i="36"/>
  <c r="C299" i="36"/>
  <c r="G299" i="36" s="1"/>
  <c r="D299" i="36"/>
  <c r="E299" i="36"/>
  <c r="F299" i="36"/>
  <c r="H299" i="36"/>
  <c r="I299" i="36"/>
  <c r="J299" i="36"/>
  <c r="C300" i="36"/>
  <c r="G300" i="36" s="1"/>
  <c r="D300" i="36"/>
  <c r="E300" i="36"/>
  <c r="H300" i="36"/>
  <c r="I300" i="36"/>
  <c r="C301" i="36"/>
  <c r="F301" i="36" s="1"/>
  <c r="C302" i="36"/>
  <c r="E302" i="36" s="1"/>
  <c r="F302" i="36"/>
  <c r="G302" i="36"/>
  <c r="J302" i="36"/>
  <c r="C303" i="36"/>
  <c r="D303" i="36"/>
  <c r="E303" i="36"/>
  <c r="F303" i="36"/>
  <c r="G303" i="36"/>
  <c r="H303" i="36"/>
  <c r="I303" i="36"/>
  <c r="J303" i="36"/>
  <c r="C304" i="36"/>
  <c r="F304" i="36" s="1"/>
  <c r="D304" i="36"/>
  <c r="E304" i="36"/>
  <c r="G304" i="36"/>
  <c r="H304" i="36"/>
  <c r="I304" i="36"/>
  <c r="C305" i="36"/>
  <c r="J305" i="36" s="1"/>
  <c r="D305" i="36"/>
  <c r="G305" i="36"/>
  <c r="C306" i="36"/>
  <c r="I306" i="36" s="1"/>
  <c r="F306" i="36"/>
  <c r="C307" i="36"/>
  <c r="G307" i="36" s="1"/>
  <c r="D307" i="36"/>
  <c r="E307" i="36"/>
  <c r="F307" i="36"/>
  <c r="H307" i="36"/>
  <c r="I307" i="36"/>
  <c r="J307" i="36"/>
  <c r="C308" i="36"/>
  <c r="G308" i="36" s="1"/>
  <c r="D308" i="36"/>
  <c r="E308" i="36"/>
  <c r="H308" i="36"/>
  <c r="I308" i="36"/>
  <c r="C309" i="36"/>
  <c r="F309" i="36" s="1"/>
  <c r="C310" i="36"/>
  <c r="E310" i="36" s="1"/>
  <c r="F310" i="36"/>
  <c r="G310" i="36"/>
  <c r="J310" i="36"/>
  <c r="C311" i="36"/>
  <c r="D311" i="36"/>
  <c r="E311" i="36"/>
  <c r="F311" i="36"/>
  <c r="G311" i="36"/>
  <c r="H311" i="36"/>
  <c r="I311" i="36"/>
  <c r="J311" i="36"/>
  <c r="C312" i="36"/>
  <c r="F312" i="36" s="1"/>
  <c r="D312" i="36"/>
  <c r="E312" i="36"/>
  <c r="G312" i="36"/>
  <c r="H312" i="36"/>
  <c r="I312" i="36"/>
  <c r="C313" i="36"/>
  <c r="J313" i="36" s="1"/>
  <c r="D313" i="36"/>
  <c r="G313" i="36"/>
  <c r="C314" i="36"/>
  <c r="I314" i="36" s="1"/>
  <c r="F314" i="36"/>
  <c r="C315" i="36"/>
  <c r="G315" i="36" s="1"/>
  <c r="D315" i="36"/>
  <c r="E315" i="36"/>
  <c r="F315" i="36"/>
  <c r="H315" i="36"/>
  <c r="I315" i="36"/>
  <c r="J315" i="36"/>
  <c r="C316" i="36"/>
  <c r="G316" i="36" s="1"/>
  <c r="D316" i="36"/>
  <c r="E316" i="36"/>
  <c r="H316" i="36"/>
  <c r="I316" i="36"/>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C69" i="9"/>
  <c r="D69" i="9"/>
  <c r="C70" i="9"/>
  <c r="D70" i="9"/>
  <c r="C71" i="9"/>
  <c r="D71" i="9"/>
  <c r="C72" i="9"/>
  <c r="D72"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C105" i="9"/>
  <c r="D105" i="9"/>
  <c r="C106" i="9"/>
  <c r="D106" i="9"/>
  <c r="C107" i="9"/>
  <c r="D107" i="9"/>
  <c r="C108" i="9"/>
  <c r="D108" i="9"/>
  <c r="C109" i="9"/>
  <c r="D109" i="9"/>
  <c r="C110" i="9"/>
  <c r="D110" i="9"/>
  <c r="C111" i="9"/>
  <c r="D111" i="9"/>
  <c r="C112" i="9"/>
  <c r="D112" i="9"/>
  <c r="C113" i="9"/>
  <c r="D113" i="9"/>
  <c r="C114" i="9"/>
  <c r="D114" i="9"/>
  <c r="C115" i="9"/>
  <c r="D115" i="9"/>
  <c r="C116" i="9"/>
  <c r="D116" i="9"/>
  <c r="C117" i="9"/>
  <c r="D117" i="9"/>
  <c r="C118" i="9"/>
  <c r="D118" i="9"/>
  <c r="C119" i="9"/>
  <c r="D119" i="9"/>
  <c r="C120" i="9"/>
  <c r="D120" i="9"/>
  <c r="C121" i="9"/>
  <c r="D121" i="9"/>
  <c r="C122" i="9"/>
  <c r="D122" i="9"/>
  <c r="C123" i="9"/>
  <c r="D123" i="9"/>
  <c r="C124" i="9"/>
  <c r="D124" i="9"/>
  <c r="C125" i="9"/>
  <c r="D125" i="9"/>
  <c r="C126" i="9"/>
  <c r="D126" i="9"/>
  <c r="C127" i="9"/>
  <c r="D127" i="9"/>
  <c r="C128" i="9"/>
  <c r="D128" i="9"/>
  <c r="C129" i="9"/>
  <c r="D129" i="9"/>
  <c r="C130" i="9"/>
  <c r="D130" i="9"/>
  <c r="C131" i="9"/>
  <c r="D131" i="9"/>
  <c r="C132" i="9"/>
  <c r="D132" i="9"/>
  <c r="C133" i="9"/>
  <c r="D133" i="9"/>
  <c r="C134" i="9"/>
  <c r="D134" i="9"/>
  <c r="C135" i="9"/>
  <c r="D135" i="9"/>
  <c r="C136" i="9"/>
  <c r="D136" i="9"/>
  <c r="C137" i="9"/>
  <c r="D137" i="9"/>
  <c r="C138" i="9"/>
  <c r="D138" i="9"/>
  <c r="C139" i="9"/>
  <c r="D139" i="9"/>
  <c r="C140" i="9"/>
  <c r="D140" i="9"/>
  <c r="C141" i="9"/>
  <c r="D141" i="9"/>
  <c r="C142" i="9"/>
  <c r="D142" i="9"/>
  <c r="C143" i="9"/>
  <c r="D143" i="9"/>
  <c r="C144" i="9"/>
  <c r="D144" i="9"/>
  <c r="C145" i="9"/>
  <c r="D145" i="9"/>
  <c r="C146" i="9"/>
  <c r="D146" i="9"/>
  <c r="C147" i="9"/>
  <c r="D147" i="9"/>
  <c r="C148" i="9"/>
  <c r="D148" i="9"/>
  <c r="C149" i="9"/>
  <c r="D149" i="9"/>
  <c r="C150" i="9"/>
  <c r="D150" i="9"/>
  <c r="C151" i="9"/>
  <c r="D151" i="9"/>
  <c r="C152" i="9"/>
  <c r="D152" i="9"/>
  <c r="C153" i="9"/>
  <c r="D153" i="9"/>
  <c r="C154" i="9"/>
  <c r="D154" i="9"/>
  <c r="C155" i="9"/>
  <c r="D155" i="9"/>
  <c r="C156" i="9"/>
  <c r="D156" i="9"/>
  <c r="C157" i="9"/>
  <c r="D157" i="9"/>
  <c r="C158" i="9"/>
  <c r="D158" i="9"/>
  <c r="C159" i="9"/>
  <c r="D159" i="9"/>
  <c r="C160" i="9"/>
  <c r="D160" i="9"/>
  <c r="C161" i="9"/>
  <c r="D161" i="9"/>
  <c r="C162" i="9"/>
  <c r="D162" i="9"/>
  <c r="C163" i="9"/>
  <c r="D163" i="9"/>
  <c r="C164" i="9"/>
  <c r="D164" i="9"/>
  <c r="C165" i="9"/>
  <c r="D165" i="9"/>
  <c r="C166" i="9"/>
  <c r="D166" i="9"/>
  <c r="C167" i="9"/>
  <c r="D167" i="9"/>
  <c r="C168" i="9"/>
  <c r="D168" i="9"/>
  <c r="C169" i="9"/>
  <c r="D169" i="9"/>
  <c r="C170" i="9"/>
  <c r="D170" i="9"/>
  <c r="C171" i="9"/>
  <c r="D171" i="9"/>
  <c r="C172" i="9"/>
  <c r="D172" i="9"/>
  <c r="C173" i="9"/>
  <c r="D173" i="9"/>
  <c r="C174" i="9"/>
  <c r="D174" i="9"/>
  <c r="C175" i="9"/>
  <c r="D175" i="9"/>
  <c r="C176" i="9"/>
  <c r="D176" i="9"/>
  <c r="C177" i="9"/>
  <c r="D177" i="9"/>
  <c r="C178" i="9"/>
  <c r="D178" i="9"/>
  <c r="C179" i="9"/>
  <c r="D179" i="9"/>
  <c r="C180" i="9"/>
  <c r="D180" i="9"/>
  <c r="C181" i="9"/>
  <c r="D181" i="9"/>
  <c r="C182" i="9"/>
  <c r="D182" i="9"/>
  <c r="C183" i="9"/>
  <c r="D183" i="9"/>
  <c r="C184" i="9"/>
  <c r="D184" i="9"/>
  <c r="C185" i="9"/>
  <c r="D185" i="9"/>
  <c r="C186" i="9"/>
  <c r="D186" i="9"/>
  <c r="C187" i="9"/>
  <c r="D187" i="9"/>
  <c r="C188" i="9"/>
  <c r="D188" i="9"/>
  <c r="C189" i="9"/>
  <c r="D189" i="9"/>
  <c r="C190" i="9"/>
  <c r="D190" i="9"/>
  <c r="C191" i="9"/>
  <c r="D191" i="9"/>
  <c r="C192" i="9"/>
  <c r="D192" i="9"/>
  <c r="C193" i="9"/>
  <c r="D193" i="9"/>
  <c r="C194" i="9"/>
  <c r="D194" i="9"/>
  <c r="C195" i="9"/>
  <c r="D195" i="9"/>
  <c r="C196" i="9"/>
  <c r="D196" i="9"/>
  <c r="C197" i="9"/>
  <c r="D197" i="9"/>
  <c r="C198" i="9"/>
  <c r="D198" i="9"/>
  <c r="C199" i="9"/>
  <c r="D199" i="9"/>
  <c r="C200" i="9"/>
  <c r="D200" i="9"/>
  <c r="C201" i="9"/>
  <c r="D201" i="9"/>
  <c r="C202" i="9"/>
  <c r="D202" i="9"/>
  <c r="C203" i="9"/>
  <c r="D203" i="9"/>
  <c r="C204" i="9"/>
  <c r="D204" i="9"/>
  <c r="C205" i="9"/>
  <c r="D205" i="9"/>
  <c r="C206" i="9"/>
  <c r="D206" i="9"/>
  <c r="C207" i="9"/>
  <c r="D207" i="9"/>
  <c r="C208" i="9"/>
  <c r="D208" i="9"/>
  <c r="C209" i="9"/>
  <c r="D209" i="9"/>
  <c r="C210" i="9"/>
  <c r="D210" i="9"/>
  <c r="C211" i="9"/>
  <c r="D211" i="9"/>
  <c r="C212" i="9"/>
  <c r="D212" i="9"/>
  <c r="C213" i="9"/>
  <c r="D213" i="9"/>
  <c r="C214" i="9"/>
  <c r="D214" i="9"/>
  <c r="C215" i="9"/>
  <c r="D215" i="9"/>
  <c r="C216" i="9"/>
  <c r="D216" i="9"/>
  <c r="C217" i="9"/>
  <c r="D217" i="9"/>
  <c r="C218" i="9"/>
  <c r="D218" i="9"/>
  <c r="C219" i="9"/>
  <c r="D219" i="9"/>
  <c r="C220" i="9"/>
  <c r="D220" i="9"/>
  <c r="C221" i="9"/>
  <c r="D221" i="9"/>
  <c r="C222" i="9"/>
  <c r="D222" i="9"/>
  <c r="C223" i="9"/>
  <c r="D223" i="9"/>
  <c r="C224" i="9"/>
  <c r="D224" i="9"/>
  <c r="C225" i="9"/>
  <c r="D225" i="9"/>
  <c r="C226" i="9"/>
  <c r="D226" i="9"/>
  <c r="C227" i="9"/>
  <c r="D227" i="9"/>
  <c r="C228" i="9"/>
  <c r="D228" i="9"/>
  <c r="C229" i="9"/>
  <c r="D229" i="9"/>
  <c r="C230" i="9"/>
  <c r="D230" i="9"/>
  <c r="C231" i="9"/>
  <c r="D231" i="9"/>
  <c r="C232" i="9"/>
  <c r="D232" i="9"/>
  <c r="C233" i="9"/>
  <c r="D233" i="9"/>
  <c r="C234" i="9"/>
  <c r="D234" i="9"/>
  <c r="C235" i="9"/>
  <c r="D235" i="9"/>
  <c r="C236" i="9"/>
  <c r="D236" i="9"/>
  <c r="C237" i="9"/>
  <c r="D237" i="9"/>
  <c r="C238" i="9"/>
  <c r="D238" i="9"/>
  <c r="C239" i="9"/>
  <c r="D239" i="9"/>
  <c r="C240" i="9"/>
  <c r="D240" i="9"/>
  <c r="C241" i="9"/>
  <c r="D241" i="9"/>
  <c r="C242" i="9"/>
  <c r="D242" i="9"/>
  <c r="C243" i="9"/>
  <c r="D243" i="9"/>
  <c r="C244" i="9"/>
  <c r="D244" i="9"/>
  <c r="C245" i="9"/>
  <c r="D245" i="9"/>
  <c r="C246" i="9"/>
  <c r="D246" i="9"/>
  <c r="C247" i="9"/>
  <c r="D247" i="9"/>
  <c r="C248" i="9"/>
  <c r="D248" i="9"/>
  <c r="C249" i="9"/>
  <c r="D249" i="9"/>
  <c r="C250" i="9"/>
  <c r="D250" i="9"/>
  <c r="C251" i="9"/>
  <c r="D251" i="9"/>
  <c r="C252" i="9"/>
  <c r="D252" i="9"/>
  <c r="C253" i="9"/>
  <c r="D253" i="9"/>
  <c r="C254" i="9"/>
  <c r="D254" i="9"/>
  <c r="C255" i="9"/>
  <c r="D255" i="9"/>
  <c r="C256" i="9"/>
  <c r="D256" i="9"/>
  <c r="C257" i="9"/>
  <c r="D257" i="9"/>
  <c r="C258" i="9"/>
  <c r="D258" i="9"/>
  <c r="C259" i="9"/>
  <c r="D259" i="9"/>
  <c r="C260" i="9"/>
  <c r="D260" i="9"/>
  <c r="C261" i="9"/>
  <c r="D261" i="9"/>
  <c r="C262" i="9"/>
  <c r="D262" i="9"/>
  <c r="C263" i="9"/>
  <c r="D263" i="9"/>
  <c r="C264" i="9"/>
  <c r="D264" i="9"/>
  <c r="C265" i="9"/>
  <c r="D265" i="9"/>
  <c r="C266" i="9"/>
  <c r="D266" i="9"/>
  <c r="C267" i="9"/>
  <c r="D267" i="9"/>
  <c r="C268" i="9"/>
  <c r="D268" i="9"/>
  <c r="C269" i="9"/>
  <c r="D269" i="9"/>
  <c r="C270" i="9"/>
  <c r="D270" i="9"/>
  <c r="C271" i="9"/>
  <c r="D271" i="9"/>
  <c r="C272" i="9"/>
  <c r="D272" i="9"/>
  <c r="C273" i="9"/>
  <c r="D273" i="9"/>
  <c r="C274" i="9"/>
  <c r="D274" i="9"/>
  <c r="C275" i="9"/>
  <c r="D275" i="9"/>
  <c r="C276" i="9"/>
  <c r="D276" i="9"/>
  <c r="C277" i="9"/>
  <c r="D277" i="9"/>
  <c r="C278" i="9"/>
  <c r="D278" i="9"/>
  <c r="C279" i="9"/>
  <c r="D279" i="9"/>
  <c r="C280" i="9"/>
  <c r="D280" i="9"/>
  <c r="C281" i="9"/>
  <c r="D281" i="9"/>
  <c r="C282" i="9"/>
  <c r="D282" i="9"/>
  <c r="C283" i="9"/>
  <c r="D283" i="9"/>
  <c r="C284" i="9"/>
  <c r="D284" i="9"/>
  <c r="C285" i="9"/>
  <c r="D285" i="9"/>
  <c r="C286" i="9"/>
  <c r="D286" i="9"/>
  <c r="C287" i="9"/>
  <c r="D287" i="9"/>
  <c r="C288" i="9"/>
  <c r="D288" i="9"/>
  <c r="C289" i="9"/>
  <c r="D289" i="9"/>
  <c r="C290" i="9"/>
  <c r="D290" i="9"/>
  <c r="C291" i="9"/>
  <c r="D291" i="9"/>
  <c r="C292" i="9"/>
  <c r="D292" i="9"/>
  <c r="C293" i="9"/>
  <c r="D293" i="9"/>
  <c r="C294" i="9"/>
  <c r="D294" i="9"/>
  <c r="C295" i="9"/>
  <c r="D295" i="9"/>
  <c r="C296" i="9"/>
  <c r="D296" i="9"/>
  <c r="C297" i="9"/>
  <c r="D297" i="9"/>
  <c r="C298" i="9"/>
  <c r="D298" i="9"/>
  <c r="C299" i="9"/>
  <c r="D299" i="9"/>
  <c r="C300" i="9"/>
  <c r="D300" i="9"/>
  <c r="C301" i="9"/>
  <c r="D301" i="9"/>
  <c r="C302" i="9"/>
  <c r="D302" i="9"/>
  <c r="C303" i="9"/>
  <c r="D303" i="9"/>
  <c r="C304" i="9"/>
  <c r="D304" i="9"/>
  <c r="C305" i="9"/>
  <c r="D305" i="9"/>
  <c r="C306" i="9"/>
  <c r="D306" i="9"/>
  <c r="C307" i="9"/>
  <c r="D307" i="9"/>
  <c r="C308" i="9"/>
  <c r="D308" i="9"/>
  <c r="C309" i="9"/>
  <c r="D309" i="9"/>
  <c r="C310" i="9"/>
  <c r="D310" i="9"/>
  <c r="C311" i="9"/>
  <c r="D311" i="9"/>
  <c r="C312" i="9"/>
  <c r="D312" i="9"/>
  <c r="C313" i="9"/>
  <c r="D313" i="9"/>
  <c r="C314" i="9"/>
  <c r="D314" i="9"/>
  <c r="C315" i="9"/>
  <c r="D315" i="9"/>
  <c r="C316" i="9"/>
  <c r="D316" i="9"/>
  <c r="C317" i="9"/>
  <c r="D317" i="9"/>
  <c r="C318" i="9"/>
  <c r="D318" i="9"/>
  <c r="C319" i="9"/>
  <c r="D319" i="9"/>
  <c r="D6" i="33"/>
  <c r="D7" i="33"/>
  <c r="D8" i="33"/>
  <c r="D9" i="33"/>
  <c r="D10" i="33"/>
  <c r="D11" i="33"/>
  <c r="D12" i="33"/>
  <c r="D13" i="33"/>
  <c r="D14" i="33"/>
  <c r="D15" i="33"/>
  <c r="D16" i="33"/>
  <c r="D17" i="33"/>
  <c r="D18" i="33"/>
  <c r="D19" i="33"/>
  <c r="D20" i="33"/>
  <c r="D21" i="33"/>
  <c r="D22" i="33"/>
  <c r="D23" i="33"/>
  <c r="D24" i="33"/>
  <c r="D25" i="33"/>
  <c r="D26" i="33"/>
  <c r="D27" i="33"/>
  <c r="D28" i="33"/>
  <c r="D29" i="33"/>
  <c r="D30" i="33"/>
  <c r="D31" i="33"/>
  <c r="D32" i="33"/>
  <c r="D33" i="33"/>
  <c r="D34" i="33"/>
  <c r="D35" i="33"/>
  <c r="D36" i="33"/>
  <c r="D37" i="33"/>
  <c r="D38" i="33"/>
  <c r="D39" i="33"/>
  <c r="D40" i="33"/>
  <c r="D41" i="33"/>
  <c r="D42" i="33"/>
  <c r="D43" i="33"/>
  <c r="D44" i="33"/>
  <c r="D45" i="33"/>
  <c r="D46" i="33"/>
  <c r="D47" i="33"/>
  <c r="D48" i="33"/>
  <c r="D49" i="33"/>
  <c r="D50" i="33"/>
  <c r="D51" i="33"/>
  <c r="D52" i="33"/>
  <c r="D53" i="33"/>
  <c r="D54" i="33"/>
  <c r="D55" i="33"/>
  <c r="D56" i="33"/>
  <c r="D57" i="33"/>
  <c r="D58" i="33"/>
  <c r="D59" i="33"/>
  <c r="D60" i="33"/>
  <c r="D61" i="33"/>
  <c r="D62" i="33"/>
  <c r="D63" i="33"/>
  <c r="D64" i="33"/>
  <c r="D65" i="33"/>
  <c r="D66" i="33"/>
  <c r="D67" i="33"/>
  <c r="D68" i="33"/>
  <c r="D69" i="33"/>
  <c r="D70" i="33"/>
  <c r="D71" i="33"/>
  <c r="D72" i="33"/>
  <c r="D73" i="33"/>
  <c r="D74" i="33"/>
  <c r="D75" i="33"/>
  <c r="D76" i="33"/>
  <c r="D77" i="33"/>
  <c r="D78" i="33"/>
  <c r="D79" i="33"/>
  <c r="D80" i="33"/>
  <c r="D81" i="33"/>
  <c r="D82" i="33"/>
  <c r="D83" i="33"/>
  <c r="D84" i="33"/>
  <c r="D85" i="33"/>
  <c r="D86" i="33"/>
  <c r="D87" i="33"/>
  <c r="D88" i="33"/>
  <c r="D89" i="33"/>
  <c r="D90" i="33"/>
  <c r="D91" i="33"/>
  <c r="D92" i="33"/>
  <c r="D93" i="33"/>
  <c r="D94" i="33"/>
  <c r="D95" i="33"/>
  <c r="D96" i="33"/>
  <c r="D97" i="33"/>
  <c r="D98" i="33"/>
  <c r="D99" i="33"/>
  <c r="D100" i="33"/>
  <c r="D101" i="33"/>
  <c r="D102" i="33"/>
  <c r="D103" i="33"/>
  <c r="D104" i="33"/>
  <c r="D105" i="33"/>
  <c r="D106" i="33"/>
  <c r="D107" i="33"/>
  <c r="D108" i="33"/>
  <c r="D109" i="33"/>
  <c r="D110" i="33"/>
  <c r="D111" i="33"/>
  <c r="D112" i="33"/>
  <c r="D113" i="33"/>
  <c r="D114" i="33"/>
  <c r="D115" i="33"/>
  <c r="D116" i="33"/>
  <c r="D117" i="33"/>
  <c r="D118" i="33"/>
  <c r="D119" i="33"/>
  <c r="D120" i="33"/>
  <c r="D121" i="33"/>
  <c r="D122" i="33"/>
  <c r="D123" i="33"/>
  <c r="D124" i="33"/>
  <c r="D125" i="33"/>
  <c r="D126" i="33"/>
  <c r="D127" i="33"/>
  <c r="D128" i="33"/>
  <c r="D129" i="33"/>
  <c r="D130" i="33"/>
  <c r="D131" i="33"/>
  <c r="D132" i="33"/>
  <c r="D133" i="33"/>
  <c r="D134" i="33"/>
  <c r="D135" i="33"/>
  <c r="D136" i="33"/>
  <c r="D137" i="33"/>
  <c r="D138" i="33"/>
  <c r="D139" i="33"/>
  <c r="D140" i="33"/>
  <c r="D141" i="33"/>
  <c r="D142" i="33"/>
  <c r="D143" i="33"/>
  <c r="D144" i="33"/>
  <c r="D145" i="33"/>
  <c r="D146" i="33"/>
  <c r="D147" i="33"/>
  <c r="D148" i="33"/>
  <c r="D149" i="33"/>
  <c r="D150" i="33"/>
  <c r="D151" i="33"/>
  <c r="D152" i="33"/>
  <c r="D153" i="33"/>
  <c r="D154" i="33"/>
  <c r="D155" i="33"/>
  <c r="D156" i="33"/>
  <c r="D157" i="33"/>
  <c r="D158" i="33"/>
  <c r="D159" i="33"/>
  <c r="D160" i="33"/>
  <c r="D161" i="33"/>
  <c r="D162" i="33"/>
  <c r="D163" i="33"/>
  <c r="D164" i="33"/>
  <c r="D165" i="33"/>
  <c r="D166" i="33"/>
  <c r="D167" i="33"/>
  <c r="D168" i="33"/>
  <c r="D169" i="33"/>
  <c r="D170" i="33"/>
  <c r="D171" i="33"/>
  <c r="D172" i="33"/>
  <c r="D173" i="33"/>
  <c r="D174" i="33"/>
  <c r="D175" i="33"/>
  <c r="D176" i="33"/>
  <c r="D177" i="33"/>
  <c r="D178" i="33"/>
  <c r="D179" i="33"/>
  <c r="D180" i="33"/>
  <c r="D181" i="33"/>
  <c r="D182" i="33"/>
  <c r="D183" i="33"/>
  <c r="D184" i="33"/>
  <c r="D185" i="33"/>
  <c r="D186" i="33"/>
  <c r="D187" i="33"/>
  <c r="D188" i="33"/>
  <c r="D189" i="33"/>
  <c r="D190" i="33"/>
  <c r="D191" i="33"/>
  <c r="D192" i="33"/>
  <c r="D193" i="33"/>
  <c r="D194" i="33"/>
  <c r="D195" i="33"/>
  <c r="D196" i="33"/>
  <c r="D197" i="33"/>
  <c r="D198" i="33"/>
  <c r="D199" i="33"/>
  <c r="D200" i="33"/>
  <c r="D201" i="33"/>
  <c r="D202" i="33"/>
  <c r="D203" i="33"/>
  <c r="D204" i="33"/>
  <c r="D205" i="33"/>
  <c r="D206" i="33"/>
  <c r="D207" i="33"/>
  <c r="D208" i="33"/>
  <c r="D209" i="33"/>
  <c r="D210" i="33"/>
  <c r="D211" i="33"/>
  <c r="D212" i="33"/>
  <c r="D213" i="33"/>
  <c r="D214" i="33"/>
  <c r="D215" i="33"/>
  <c r="D216" i="33"/>
  <c r="D217" i="33"/>
  <c r="D218" i="33"/>
  <c r="D219" i="33"/>
  <c r="D220" i="33"/>
  <c r="D221" i="33"/>
  <c r="D222" i="33"/>
  <c r="D223" i="33"/>
  <c r="D224" i="33"/>
  <c r="D225" i="33"/>
  <c r="D226" i="33"/>
  <c r="D227" i="33"/>
  <c r="D228" i="33"/>
  <c r="D229" i="33"/>
  <c r="D230" i="33"/>
  <c r="D231" i="33"/>
  <c r="D232" i="33"/>
  <c r="D233" i="33"/>
  <c r="D234" i="33"/>
  <c r="D235" i="33"/>
  <c r="D236" i="33"/>
  <c r="D237" i="33"/>
  <c r="D238" i="33"/>
  <c r="D239" i="33"/>
  <c r="D240" i="33"/>
  <c r="D241" i="33"/>
  <c r="D242" i="33"/>
  <c r="D243" i="33"/>
  <c r="D244" i="33"/>
  <c r="D245" i="33"/>
  <c r="D246" i="33"/>
  <c r="D247" i="33"/>
  <c r="D248" i="33"/>
  <c r="D249" i="33"/>
  <c r="D250" i="33"/>
  <c r="D251" i="33"/>
  <c r="D252" i="33"/>
  <c r="D253" i="33"/>
  <c r="D254" i="33"/>
  <c r="D255" i="33"/>
  <c r="D256" i="33"/>
  <c r="D257" i="33"/>
  <c r="D258" i="33"/>
  <c r="D259" i="33"/>
  <c r="D260" i="33"/>
  <c r="D261" i="33"/>
  <c r="D262" i="33"/>
  <c r="D263" i="33"/>
  <c r="D264" i="33"/>
  <c r="D265" i="33"/>
  <c r="D266" i="33"/>
  <c r="D267" i="33"/>
  <c r="D268" i="33"/>
  <c r="D269" i="33"/>
  <c r="D270" i="33"/>
  <c r="D271" i="33"/>
  <c r="D272" i="33"/>
  <c r="D273" i="33"/>
  <c r="D274" i="33"/>
  <c r="D275" i="33"/>
  <c r="D276" i="33"/>
  <c r="D277" i="33"/>
  <c r="D278" i="33"/>
  <c r="D279" i="33"/>
  <c r="D280" i="33"/>
  <c r="D281" i="33"/>
  <c r="D282" i="33"/>
  <c r="D283" i="33"/>
  <c r="D284" i="33"/>
  <c r="D285" i="33"/>
  <c r="D286" i="33"/>
  <c r="D287" i="33"/>
  <c r="D288" i="33"/>
  <c r="D289" i="33"/>
  <c r="D290" i="33"/>
  <c r="D291" i="33"/>
  <c r="D292" i="33"/>
  <c r="D293" i="33"/>
  <c r="D294" i="33"/>
  <c r="D295" i="33"/>
  <c r="D296" i="33"/>
  <c r="D297" i="33"/>
  <c r="D298" i="33"/>
  <c r="D299" i="33"/>
  <c r="D300" i="33"/>
  <c r="D301" i="33"/>
  <c r="D302" i="33"/>
  <c r="D303" i="33"/>
  <c r="D304" i="33"/>
  <c r="D305" i="33"/>
  <c r="D306" i="33"/>
  <c r="D307" i="33"/>
  <c r="D308" i="33"/>
  <c r="D309" i="33"/>
  <c r="D310" i="33"/>
  <c r="D311" i="33"/>
  <c r="D312" i="33"/>
  <c r="D313" i="33"/>
  <c r="C6" i="32"/>
  <c r="D6" i="32"/>
  <c r="H6" i="32" s="1"/>
  <c r="E6" i="32"/>
  <c r="C7" i="32"/>
  <c r="E7" i="32" s="1"/>
  <c r="D7" i="32"/>
  <c r="C8" i="32"/>
  <c r="D8" i="32"/>
  <c r="E8" i="32"/>
  <c r="H8" i="32"/>
  <c r="C9" i="32"/>
  <c r="E9" i="32" s="1"/>
  <c r="D9" i="32"/>
  <c r="C10" i="32"/>
  <c r="D10" i="32"/>
  <c r="H10" i="32" s="1"/>
  <c r="E10" i="32"/>
  <c r="C11" i="32"/>
  <c r="E11" i="32" s="1"/>
  <c r="D11" i="32"/>
  <c r="C12" i="32"/>
  <c r="D12" i="32"/>
  <c r="E12" i="32"/>
  <c r="H12" i="32"/>
  <c r="C13" i="32"/>
  <c r="E13" i="32" s="1"/>
  <c r="D13" i="32"/>
  <c r="C14" i="32"/>
  <c r="D14" i="32"/>
  <c r="H14" i="32" s="1"/>
  <c r="E14" i="32"/>
  <c r="C15" i="32"/>
  <c r="E15" i="32" s="1"/>
  <c r="D15" i="32"/>
  <c r="C16" i="32"/>
  <c r="D16" i="32"/>
  <c r="E16" i="32"/>
  <c r="H16" i="32"/>
  <c r="C17" i="32"/>
  <c r="E17" i="32" s="1"/>
  <c r="D17" i="32"/>
  <c r="C18" i="32"/>
  <c r="D18" i="32"/>
  <c r="H18" i="32" s="1"/>
  <c r="E18" i="32"/>
  <c r="C19" i="32"/>
  <c r="E19" i="32" s="1"/>
  <c r="D19" i="32"/>
  <c r="C20" i="32"/>
  <c r="D20" i="32"/>
  <c r="E20" i="32"/>
  <c r="H20" i="32"/>
  <c r="C21" i="32"/>
  <c r="E21" i="32" s="1"/>
  <c r="D21" i="32"/>
  <c r="C22" i="32"/>
  <c r="D22" i="32"/>
  <c r="H22" i="32" s="1"/>
  <c r="E22" i="32"/>
  <c r="C23" i="32"/>
  <c r="E23" i="32" s="1"/>
  <c r="D23" i="32"/>
  <c r="C24" i="32"/>
  <c r="D24" i="32"/>
  <c r="E24" i="32"/>
  <c r="H24" i="32"/>
  <c r="C25" i="32"/>
  <c r="E25" i="32" s="1"/>
  <c r="D25" i="32"/>
  <c r="C26" i="32"/>
  <c r="D26" i="32"/>
  <c r="H26" i="32" s="1"/>
  <c r="E26" i="32"/>
  <c r="C27" i="32"/>
  <c r="E27" i="32" s="1"/>
  <c r="D27" i="32"/>
  <c r="C28" i="32"/>
  <c r="D28" i="32"/>
  <c r="E28" i="32"/>
  <c r="H28" i="32"/>
  <c r="C29" i="32"/>
  <c r="E29" i="32" s="1"/>
  <c r="D29" i="32"/>
  <c r="C30" i="32"/>
  <c r="D30" i="32"/>
  <c r="H30" i="32" s="1"/>
  <c r="E30" i="32"/>
  <c r="C31" i="32"/>
  <c r="E31" i="32" s="1"/>
  <c r="D31" i="32"/>
  <c r="C32" i="32"/>
  <c r="D32" i="32"/>
  <c r="E32" i="32"/>
  <c r="H32" i="32"/>
  <c r="C33" i="32"/>
  <c r="E33" i="32" s="1"/>
  <c r="D33" i="32"/>
  <c r="C34" i="32"/>
  <c r="D34" i="32"/>
  <c r="H34" i="32" s="1"/>
  <c r="E34" i="32"/>
  <c r="C35" i="32"/>
  <c r="E35" i="32" s="1"/>
  <c r="D35" i="32"/>
  <c r="C36" i="32"/>
  <c r="D36" i="32"/>
  <c r="E36" i="32"/>
  <c r="H36" i="32"/>
  <c r="C37" i="32"/>
  <c r="D37" i="32"/>
  <c r="C38" i="32"/>
  <c r="D38" i="32"/>
  <c r="H38" i="32" s="1"/>
  <c r="E38" i="32"/>
  <c r="C39" i="32"/>
  <c r="E39" i="32" s="1"/>
  <c r="D39" i="32"/>
  <c r="C40" i="32"/>
  <c r="D40" i="32"/>
  <c r="E40" i="32"/>
  <c r="H40" i="32"/>
  <c r="C41" i="32"/>
  <c r="D41" i="32"/>
  <c r="C42" i="32"/>
  <c r="D42" i="32"/>
  <c r="H42" i="32" s="1"/>
  <c r="E42" i="32"/>
  <c r="C43" i="32"/>
  <c r="E43" i="32" s="1"/>
  <c r="D43" i="32"/>
  <c r="C44" i="32"/>
  <c r="D44" i="32"/>
  <c r="E44" i="32"/>
  <c r="H44" i="32"/>
  <c r="C45" i="32"/>
  <c r="D45" i="32"/>
  <c r="C46" i="32"/>
  <c r="D46" i="32"/>
  <c r="H46" i="32" s="1"/>
  <c r="E46" i="32"/>
  <c r="C47" i="32"/>
  <c r="E47" i="32" s="1"/>
  <c r="D47" i="32"/>
  <c r="C48" i="32"/>
  <c r="D48" i="32"/>
  <c r="E48" i="32"/>
  <c r="H48" i="32"/>
  <c r="C49" i="32"/>
  <c r="D49" i="32"/>
  <c r="C50" i="32"/>
  <c r="D50" i="32"/>
  <c r="H50" i="32" s="1"/>
  <c r="E50" i="32"/>
  <c r="C51" i="32"/>
  <c r="E51" i="32" s="1"/>
  <c r="D51" i="32"/>
  <c r="C52" i="32"/>
  <c r="D52" i="32"/>
  <c r="E52" i="32"/>
  <c r="H52" i="32"/>
  <c r="C53" i="32"/>
  <c r="D53" i="32"/>
  <c r="C54" i="32"/>
  <c r="D54" i="32"/>
  <c r="H54" i="32" s="1"/>
  <c r="E54" i="32"/>
  <c r="C55" i="32"/>
  <c r="E55" i="32" s="1"/>
  <c r="D55" i="32"/>
  <c r="C56" i="32"/>
  <c r="D56" i="32"/>
  <c r="E56" i="32"/>
  <c r="H56" i="32"/>
  <c r="C57" i="32"/>
  <c r="D57" i="32"/>
  <c r="C58" i="32"/>
  <c r="D58" i="32"/>
  <c r="H58" i="32" s="1"/>
  <c r="E58" i="32"/>
  <c r="C59" i="32"/>
  <c r="E59" i="32" s="1"/>
  <c r="D59" i="32"/>
  <c r="C60" i="32"/>
  <c r="D60" i="32"/>
  <c r="E60" i="32"/>
  <c r="H60" i="32"/>
  <c r="C61" i="32"/>
  <c r="D61" i="32"/>
  <c r="C62" i="32"/>
  <c r="D62" i="32"/>
  <c r="H62" i="32" s="1"/>
  <c r="E62" i="32"/>
  <c r="C63" i="32"/>
  <c r="E63" i="32" s="1"/>
  <c r="D63" i="32"/>
  <c r="C64" i="32"/>
  <c r="D64" i="32"/>
  <c r="E64" i="32"/>
  <c r="H64" i="32"/>
  <c r="C65" i="32"/>
  <c r="D65" i="32"/>
  <c r="C66" i="32"/>
  <c r="D66" i="32"/>
  <c r="C67" i="32"/>
  <c r="E67" i="32" s="1"/>
  <c r="D67" i="32"/>
  <c r="C68" i="32"/>
  <c r="D68" i="32"/>
  <c r="E68" i="32"/>
  <c r="H68" i="32"/>
  <c r="C69" i="32"/>
  <c r="D69" i="32"/>
  <c r="C70" i="32"/>
  <c r="D70" i="32"/>
  <c r="C71" i="32"/>
  <c r="E71" i="32" s="1"/>
  <c r="D71" i="32"/>
  <c r="C72" i="32"/>
  <c r="D72" i="32"/>
  <c r="C73" i="32"/>
  <c r="D73" i="32"/>
  <c r="C74" i="32"/>
  <c r="D74" i="32"/>
  <c r="E74" i="32"/>
  <c r="H74" i="32"/>
  <c r="C75" i="32"/>
  <c r="D75" i="32"/>
  <c r="C76" i="32"/>
  <c r="D76" i="32"/>
  <c r="H76" i="32" s="1"/>
  <c r="E76" i="32"/>
  <c r="C77" i="32"/>
  <c r="D77" i="32"/>
  <c r="C78" i="32"/>
  <c r="D78" i="32"/>
  <c r="H78" i="32" s="1"/>
  <c r="E78" i="32"/>
  <c r="C79" i="32"/>
  <c r="D79" i="32"/>
  <c r="C80" i="32"/>
  <c r="D80" i="32"/>
  <c r="C81" i="32"/>
  <c r="D81" i="32"/>
  <c r="C82" i="32"/>
  <c r="D82" i="32"/>
  <c r="E82" i="32"/>
  <c r="H82" i="32"/>
  <c r="C83" i="32"/>
  <c r="D83" i="32"/>
  <c r="C84" i="32"/>
  <c r="D84" i="32"/>
  <c r="H84" i="32" s="1"/>
  <c r="E84" i="32"/>
  <c r="C85" i="32"/>
  <c r="D85" i="32"/>
  <c r="C86" i="32"/>
  <c r="D86" i="32"/>
  <c r="H86" i="32" s="1"/>
  <c r="E86" i="32"/>
  <c r="C87" i="32"/>
  <c r="D87" i="32"/>
  <c r="C88" i="32"/>
  <c r="D88" i="32"/>
  <c r="E88" i="32" s="1"/>
  <c r="C89" i="32"/>
  <c r="D89" i="32"/>
  <c r="C90" i="32"/>
  <c r="D90" i="32"/>
  <c r="E90" i="32"/>
  <c r="H90" i="32"/>
  <c r="C91" i="32"/>
  <c r="D91" i="32"/>
  <c r="C92" i="32"/>
  <c r="D92" i="32"/>
  <c r="H92" i="32" s="1"/>
  <c r="E92" i="32"/>
  <c r="C93" i="32"/>
  <c r="D93" i="32"/>
  <c r="C94" i="32"/>
  <c r="D94" i="32"/>
  <c r="H94" i="32" s="1"/>
  <c r="E94" i="32"/>
  <c r="C95" i="32"/>
  <c r="D95" i="32"/>
  <c r="C96" i="32"/>
  <c r="D96" i="32"/>
  <c r="E96" i="32" s="1"/>
  <c r="H96" i="32"/>
  <c r="C97" i="32"/>
  <c r="D97" i="32"/>
  <c r="C98" i="32"/>
  <c r="D98" i="32"/>
  <c r="E98" i="32"/>
  <c r="H98" i="32"/>
  <c r="C99" i="32"/>
  <c r="D99" i="32"/>
  <c r="C100" i="32"/>
  <c r="D100" i="32"/>
  <c r="H100" i="32" s="1"/>
  <c r="E100" i="32"/>
  <c r="C101" i="32"/>
  <c r="D101" i="32"/>
  <c r="C102" i="32"/>
  <c r="D102" i="32"/>
  <c r="H102" i="32" s="1"/>
  <c r="E102" i="32"/>
  <c r="C103" i="32"/>
  <c r="D103" i="32"/>
  <c r="C104" i="32"/>
  <c r="D104" i="32"/>
  <c r="C105" i="32"/>
  <c r="D105" i="32"/>
  <c r="C106" i="32"/>
  <c r="D106" i="32"/>
  <c r="E106" i="32"/>
  <c r="H106" i="32"/>
  <c r="C107" i="32"/>
  <c r="D107" i="32"/>
  <c r="C108" i="32"/>
  <c r="D108" i="32"/>
  <c r="H108" i="32" s="1"/>
  <c r="E108" i="32"/>
  <c r="C109" i="32"/>
  <c r="D109" i="32"/>
  <c r="C110" i="32"/>
  <c r="D110" i="32"/>
  <c r="C111" i="32"/>
  <c r="D111" i="32"/>
  <c r="C112" i="32"/>
  <c r="D112" i="32"/>
  <c r="C113" i="32"/>
  <c r="D113" i="32"/>
  <c r="C114" i="32"/>
  <c r="D114" i="32"/>
  <c r="E114" i="32"/>
  <c r="H114" i="32"/>
  <c r="C115" i="32"/>
  <c r="D115" i="32"/>
  <c r="C116" i="32"/>
  <c r="D116" i="32"/>
  <c r="H116" i="32" s="1"/>
  <c r="E116" i="32"/>
  <c r="C117" i="32"/>
  <c r="D117" i="32"/>
  <c r="C118" i="32"/>
  <c r="D118" i="32"/>
  <c r="H118" i="32" s="1"/>
  <c r="C119" i="32"/>
  <c r="D119" i="32"/>
  <c r="C120" i="32"/>
  <c r="D120" i="32"/>
  <c r="E120" i="32" s="1"/>
  <c r="H120" i="32"/>
  <c r="C121" i="32"/>
  <c r="D121" i="32"/>
  <c r="C122" i="32"/>
  <c r="D122" i="32"/>
  <c r="E122" i="32"/>
  <c r="H122" i="32"/>
  <c r="C123" i="32"/>
  <c r="D123" i="32"/>
  <c r="C124" i="32"/>
  <c r="D124" i="32"/>
  <c r="H124" i="32" s="1"/>
  <c r="E124" i="32"/>
  <c r="C125" i="32"/>
  <c r="D125" i="32"/>
  <c r="C126" i="32"/>
  <c r="D126" i="32"/>
  <c r="H126" i="32" s="1"/>
  <c r="E126" i="32"/>
  <c r="C127" i="32"/>
  <c r="D127" i="32"/>
  <c r="C128" i="32"/>
  <c r="D128" i="32"/>
  <c r="E128" i="32" s="1"/>
  <c r="H128" i="32"/>
  <c r="C129" i="32"/>
  <c r="D129" i="32"/>
  <c r="C130" i="32"/>
  <c r="D130" i="32"/>
  <c r="E130" i="32"/>
  <c r="H130" i="32"/>
  <c r="C131" i="32"/>
  <c r="D131" i="32"/>
  <c r="C132" i="32"/>
  <c r="D132" i="32"/>
  <c r="H132" i="32" s="1"/>
  <c r="E132" i="32"/>
  <c r="C133" i="32"/>
  <c r="D133" i="32"/>
  <c r="C134" i="32"/>
  <c r="D134" i="32"/>
  <c r="H134" i="32" s="1"/>
  <c r="E134" i="32"/>
  <c r="C135" i="32"/>
  <c r="D135" i="32"/>
  <c r="C136" i="32"/>
  <c r="D136" i="32"/>
  <c r="C137" i="32"/>
  <c r="D137" i="32"/>
  <c r="C138" i="32"/>
  <c r="D138" i="32"/>
  <c r="E138" i="32"/>
  <c r="H138" i="32"/>
  <c r="C139" i="32"/>
  <c r="D139" i="32"/>
  <c r="C140" i="32"/>
  <c r="D140" i="32"/>
  <c r="H140" i="32" s="1"/>
  <c r="E140" i="32"/>
  <c r="C141" i="32"/>
  <c r="D141" i="32"/>
  <c r="C142" i="32"/>
  <c r="D142" i="32"/>
  <c r="C143" i="32"/>
  <c r="D143" i="32"/>
  <c r="C144" i="32"/>
  <c r="D144" i="32"/>
  <c r="C145" i="32"/>
  <c r="D145" i="32"/>
  <c r="C146" i="32"/>
  <c r="D146" i="32"/>
  <c r="E146" i="32"/>
  <c r="H146" i="32"/>
  <c r="C147" i="32"/>
  <c r="D147" i="32"/>
  <c r="C148" i="32"/>
  <c r="D148" i="32"/>
  <c r="H148" i="32" s="1"/>
  <c r="E148" i="32"/>
  <c r="C149" i="32"/>
  <c r="D149" i="32"/>
  <c r="C150" i="32"/>
  <c r="D150" i="32"/>
  <c r="H150" i="32" s="1"/>
  <c r="E150" i="32"/>
  <c r="C151" i="32"/>
  <c r="D151" i="32"/>
  <c r="C152" i="32"/>
  <c r="D152" i="32"/>
  <c r="E152" i="32" s="1"/>
  <c r="H152" i="32"/>
  <c r="C153" i="32"/>
  <c r="D153" i="32"/>
  <c r="C154" i="32"/>
  <c r="D154" i="32"/>
  <c r="E154" i="32"/>
  <c r="H154" i="32"/>
  <c r="C155" i="32"/>
  <c r="D155" i="32"/>
  <c r="C156" i="32"/>
  <c r="D156" i="32"/>
  <c r="H156" i="32" s="1"/>
  <c r="E156" i="32"/>
  <c r="C157" i="32"/>
  <c r="D157" i="32"/>
  <c r="C158" i="32"/>
  <c r="D158" i="32"/>
  <c r="H158" i="32" s="1"/>
  <c r="E158" i="32"/>
  <c r="C159" i="32"/>
  <c r="D159" i="32"/>
  <c r="C160" i="32"/>
  <c r="D160" i="32"/>
  <c r="C161" i="32"/>
  <c r="D161" i="32"/>
  <c r="C162" i="32"/>
  <c r="D162" i="32"/>
  <c r="E162" i="32"/>
  <c r="H162" i="32"/>
  <c r="C163" i="32"/>
  <c r="D163" i="32"/>
  <c r="C164" i="32"/>
  <c r="D164" i="32"/>
  <c r="C165" i="32"/>
  <c r="D165" i="32"/>
  <c r="C166" i="32"/>
  <c r="D166" i="32"/>
  <c r="H166" i="32" s="1"/>
  <c r="E166" i="32"/>
  <c r="C167" i="32"/>
  <c r="D167" i="32"/>
  <c r="C168" i="32"/>
  <c r="D168" i="32"/>
  <c r="C169" i="32"/>
  <c r="D169" i="32"/>
  <c r="C170" i="32"/>
  <c r="D170" i="32"/>
  <c r="E170" i="32"/>
  <c r="H170" i="32"/>
  <c r="C171" i="32"/>
  <c r="D171" i="32"/>
  <c r="C172" i="32"/>
  <c r="D172" i="32"/>
  <c r="H172" i="32" s="1"/>
  <c r="E172" i="32"/>
  <c r="C173" i="32"/>
  <c r="D173" i="32"/>
  <c r="C174" i="32"/>
  <c r="D174" i="32"/>
  <c r="E174" i="32"/>
  <c r="H174" i="32"/>
  <c r="C175" i="32"/>
  <c r="E175" i="32" s="1"/>
  <c r="D175" i="32"/>
  <c r="C176" i="32"/>
  <c r="E176" i="32" s="1"/>
  <c r="D176" i="32"/>
  <c r="H176" i="32"/>
  <c r="C177" i="32"/>
  <c r="D177" i="32"/>
  <c r="H177" i="32" s="1"/>
  <c r="E177" i="32"/>
  <c r="C178" i="32"/>
  <c r="D178" i="32"/>
  <c r="H178" i="32"/>
  <c r="C179" i="32"/>
  <c r="D179" i="32"/>
  <c r="E179" i="32" s="1"/>
  <c r="H179" i="32"/>
  <c r="C180" i="32"/>
  <c r="E180" i="32" s="1"/>
  <c r="D180" i="32"/>
  <c r="C181" i="32"/>
  <c r="D181" i="32"/>
  <c r="H181" i="32" s="1"/>
  <c r="C182" i="32"/>
  <c r="H182" i="32" s="1"/>
  <c r="D182" i="32"/>
  <c r="C183" i="32"/>
  <c r="D183" i="32"/>
  <c r="E183" i="32" s="1"/>
  <c r="C184" i="32"/>
  <c r="E184" i="32" s="1"/>
  <c r="D184" i="32"/>
  <c r="H184" i="32"/>
  <c r="C185" i="32"/>
  <c r="D185" i="32"/>
  <c r="H185" i="32" s="1"/>
  <c r="C186" i="32"/>
  <c r="H186" i="32" s="1"/>
  <c r="D186" i="32"/>
  <c r="C187" i="32"/>
  <c r="D187" i="32"/>
  <c r="E187" i="32" s="1"/>
  <c r="C188" i="32"/>
  <c r="E188" i="32" s="1"/>
  <c r="D188" i="32"/>
  <c r="H188" i="32"/>
  <c r="C189" i="32"/>
  <c r="D189" i="32"/>
  <c r="H189" i="32" s="1"/>
  <c r="E189" i="32"/>
  <c r="C190" i="32"/>
  <c r="E190" i="32" s="1"/>
  <c r="D190" i="32"/>
  <c r="C191" i="32"/>
  <c r="D191" i="32"/>
  <c r="E191" i="32" s="1"/>
  <c r="H191" i="32"/>
  <c r="C192" i="32"/>
  <c r="E192" i="32" s="1"/>
  <c r="D192" i="32"/>
  <c r="C193" i="32"/>
  <c r="D193" i="32"/>
  <c r="H193" i="32" s="1"/>
  <c r="E193" i="32"/>
  <c r="C194" i="32"/>
  <c r="D194" i="32"/>
  <c r="H194" i="32"/>
  <c r="C195" i="32"/>
  <c r="D195" i="32"/>
  <c r="E195" i="32" s="1"/>
  <c r="H195" i="32"/>
  <c r="C196" i="32"/>
  <c r="E196" i="32" s="1"/>
  <c r="D196" i="32"/>
  <c r="H196" i="32"/>
  <c r="C197" i="32"/>
  <c r="D197" i="32"/>
  <c r="H197" i="32" s="1"/>
  <c r="E197" i="32"/>
  <c r="C198" i="32"/>
  <c r="H198" i="32" s="1"/>
  <c r="D198" i="32"/>
  <c r="C199" i="32"/>
  <c r="D199" i="32"/>
  <c r="E199" i="32" s="1"/>
  <c r="C200" i="32"/>
  <c r="E200" i="32" s="1"/>
  <c r="D200" i="32"/>
  <c r="H200" i="32"/>
  <c r="C201" i="32"/>
  <c r="D201" i="32"/>
  <c r="H201" i="32" s="1"/>
  <c r="C202" i="32"/>
  <c r="E202" i="32" s="1"/>
  <c r="D202" i="32"/>
  <c r="C203" i="32"/>
  <c r="D203" i="32"/>
  <c r="E203" i="32" s="1"/>
  <c r="C204" i="32"/>
  <c r="E204" i="32" s="1"/>
  <c r="D204" i="32"/>
  <c r="H204" i="32"/>
  <c r="C205" i="32"/>
  <c r="D205" i="32"/>
  <c r="H205" i="32" s="1"/>
  <c r="E205" i="32"/>
  <c r="C206" i="32"/>
  <c r="E206" i="32" s="1"/>
  <c r="D206" i="32"/>
  <c r="H206" i="32"/>
  <c r="C207" i="32"/>
  <c r="D207" i="32"/>
  <c r="E207" i="32" s="1"/>
  <c r="H207" i="32"/>
  <c r="C208" i="32"/>
  <c r="E208" i="32" s="1"/>
  <c r="D208" i="32"/>
  <c r="H208" i="32"/>
  <c r="C209" i="32"/>
  <c r="D209" i="32"/>
  <c r="H209" i="32" s="1"/>
  <c r="E209" i="32"/>
  <c r="C210" i="32"/>
  <c r="D210" i="32"/>
  <c r="H210" i="32"/>
  <c r="C211" i="32"/>
  <c r="D211" i="32"/>
  <c r="E211" i="32" s="1"/>
  <c r="H211" i="32"/>
  <c r="C212" i="32"/>
  <c r="E212" i="32" s="1"/>
  <c r="D212" i="32"/>
  <c r="C213" i="32"/>
  <c r="D213" i="32"/>
  <c r="H213" i="32" s="1"/>
  <c r="C214" i="32"/>
  <c r="H214" i="32" s="1"/>
  <c r="D214" i="32"/>
  <c r="C215" i="32"/>
  <c r="D215" i="32"/>
  <c r="E215" i="32" s="1"/>
  <c r="C216" i="32"/>
  <c r="E216" i="32" s="1"/>
  <c r="D216" i="32"/>
  <c r="H216" i="32"/>
  <c r="C217" i="32"/>
  <c r="D217" i="32"/>
  <c r="H217" i="32" s="1"/>
  <c r="C218" i="32"/>
  <c r="H218" i="32" s="1"/>
  <c r="D218" i="32"/>
  <c r="C219" i="32"/>
  <c r="D219" i="32"/>
  <c r="E219" i="32" s="1"/>
  <c r="C220" i="32"/>
  <c r="E220" i="32" s="1"/>
  <c r="D220" i="32"/>
  <c r="H220" i="32"/>
  <c r="C221" i="32"/>
  <c r="D221" i="32"/>
  <c r="H221" i="32" s="1"/>
  <c r="E221" i="32"/>
  <c r="C222" i="32"/>
  <c r="E222" i="32" s="1"/>
  <c r="D222" i="32"/>
  <c r="C223" i="32"/>
  <c r="D223" i="32"/>
  <c r="E223" i="32" s="1"/>
  <c r="H223" i="32"/>
  <c r="C224" i="32"/>
  <c r="E224" i="32" s="1"/>
  <c r="D224" i="32"/>
  <c r="C225" i="32"/>
  <c r="D225" i="32"/>
  <c r="H225" i="32" s="1"/>
  <c r="E225" i="32"/>
  <c r="C226" i="32"/>
  <c r="D226" i="32"/>
  <c r="H226" i="32"/>
  <c r="C227" i="32"/>
  <c r="D227" i="32"/>
  <c r="E227" i="32" s="1"/>
  <c r="H227" i="32"/>
  <c r="C228" i="32"/>
  <c r="E228" i="32" s="1"/>
  <c r="D228" i="32"/>
  <c r="H228" i="32"/>
  <c r="C229" i="32"/>
  <c r="D229" i="32"/>
  <c r="H229" i="32" s="1"/>
  <c r="E229" i="32"/>
  <c r="C230" i="32"/>
  <c r="H230" i="32" s="1"/>
  <c r="D230" i="32"/>
  <c r="C231" i="32"/>
  <c r="D231" i="32"/>
  <c r="E231" i="32" s="1"/>
  <c r="C232" i="32"/>
  <c r="E232" i="32" s="1"/>
  <c r="D232" i="32"/>
  <c r="C233" i="32"/>
  <c r="D233" i="32"/>
  <c r="H233" i="32" s="1"/>
  <c r="C234" i="32"/>
  <c r="E234" i="32" s="1"/>
  <c r="D234" i="32"/>
  <c r="C235" i="32"/>
  <c r="D235" i="32"/>
  <c r="E235" i="32" s="1"/>
  <c r="C236" i="32"/>
  <c r="E236" i="32" s="1"/>
  <c r="D236" i="32"/>
  <c r="C237" i="32"/>
  <c r="D237" i="32"/>
  <c r="H237" i="32" s="1"/>
  <c r="E237" i="32"/>
  <c r="C238" i="32"/>
  <c r="E238" i="32" s="1"/>
  <c r="D238" i="32"/>
  <c r="H238" i="32"/>
  <c r="C239" i="32"/>
  <c r="D239" i="32"/>
  <c r="E239" i="32" s="1"/>
  <c r="H239" i="32"/>
  <c r="C240" i="32"/>
  <c r="E240" i="32" s="1"/>
  <c r="D240" i="32"/>
  <c r="H240" i="32"/>
  <c r="C241" i="32"/>
  <c r="D241" i="32"/>
  <c r="H241" i="32" s="1"/>
  <c r="E241" i="32"/>
  <c r="C242" i="32"/>
  <c r="D242" i="32"/>
  <c r="H242" i="32"/>
  <c r="C243" i="32"/>
  <c r="D243" i="32"/>
  <c r="E243" i="32" s="1"/>
  <c r="H243" i="32"/>
  <c r="C244" i="32"/>
  <c r="E244" i="32" s="1"/>
  <c r="D244" i="32"/>
  <c r="C245" i="32"/>
  <c r="D245" i="32"/>
  <c r="H245" i="32" s="1"/>
  <c r="C246" i="32"/>
  <c r="D246" i="32"/>
  <c r="C247" i="32"/>
  <c r="D247" i="32"/>
  <c r="E247" i="32" s="1"/>
  <c r="C248" i="32"/>
  <c r="E248" i="32" s="1"/>
  <c r="D248" i="32"/>
  <c r="H248" i="32"/>
  <c r="C249" i="32"/>
  <c r="D249" i="32"/>
  <c r="H249" i="32" s="1"/>
  <c r="C250" i="32"/>
  <c r="H250" i="32" s="1"/>
  <c r="D250" i="32"/>
  <c r="C251" i="32"/>
  <c r="D251" i="32"/>
  <c r="E251" i="32" s="1"/>
  <c r="C252" i="32"/>
  <c r="E252" i="32" s="1"/>
  <c r="D252" i="32"/>
  <c r="H252" i="32"/>
  <c r="C253" i="32"/>
  <c r="D253" i="32"/>
  <c r="H253" i="32" s="1"/>
  <c r="E253" i="32"/>
  <c r="C254" i="32"/>
  <c r="E254" i="32" s="1"/>
  <c r="D254" i="32"/>
  <c r="H254" i="32"/>
  <c r="C255" i="32"/>
  <c r="D255" i="32"/>
  <c r="E255" i="32" s="1"/>
  <c r="H255" i="32"/>
  <c r="C256" i="32"/>
  <c r="E256" i="32" s="1"/>
  <c r="D256" i="32"/>
  <c r="C257" i="32"/>
  <c r="D257" i="32"/>
  <c r="H257" i="32" s="1"/>
  <c r="E257" i="32"/>
  <c r="C258" i="32"/>
  <c r="D258" i="32"/>
  <c r="H258" i="32"/>
  <c r="C259" i="32"/>
  <c r="D259" i="32"/>
  <c r="E259" i="32" s="1"/>
  <c r="H259" i="32"/>
  <c r="C260" i="32"/>
  <c r="E260" i="32" s="1"/>
  <c r="D260" i="32"/>
  <c r="H260" i="32"/>
  <c r="C261" i="32"/>
  <c r="D261" i="32"/>
  <c r="H261" i="32" s="1"/>
  <c r="C262" i="32"/>
  <c r="H262" i="32" s="1"/>
  <c r="D262" i="32"/>
  <c r="C263" i="32"/>
  <c r="D263" i="32"/>
  <c r="E263" i="32" s="1"/>
  <c r="C264" i="32"/>
  <c r="E264" i="32" s="1"/>
  <c r="D264" i="32"/>
  <c r="C265" i="32"/>
  <c r="D265" i="32"/>
  <c r="H265" i="32" s="1"/>
  <c r="C266" i="32"/>
  <c r="E266" i="32" s="1"/>
  <c r="D266" i="32"/>
  <c r="C267" i="32"/>
  <c r="D267" i="32"/>
  <c r="E267" i="32" s="1"/>
  <c r="C268" i="32"/>
  <c r="E268" i="32" s="1"/>
  <c r="D268" i="32"/>
  <c r="C269" i="32"/>
  <c r="D269" i="32"/>
  <c r="H269" i="32" s="1"/>
  <c r="E269" i="32"/>
  <c r="C270" i="32"/>
  <c r="E270" i="32" s="1"/>
  <c r="D270" i="32"/>
  <c r="C271" i="32"/>
  <c r="D271" i="32"/>
  <c r="E271" i="32" s="1"/>
  <c r="H271" i="32"/>
  <c r="C272" i="32"/>
  <c r="E272" i="32" s="1"/>
  <c r="D272" i="32"/>
  <c r="H272" i="32"/>
  <c r="C273" i="32"/>
  <c r="D273" i="32"/>
  <c r="H273" i="32" s="1"/>
  <c r="E273" i="32"/>
  <c r="C274" i="32"/>
  <c r="D274" i="32"/>
  <c r="H274" i="32"/>
  <c r="C275" i="32"/>
  <c r="D275" i="32"/>
  <c r="E275" i="32" s="1"/>
  <c r="H275" i="32"/>
  <c r="C276" i="32"/>
  <c r="E276" i="32" s="1"/>
  <c r="D276" i="32"/>
  <c r="C277" i="32"/>
  <c r="D277" i="32"/>
  <c r="H277" i="32" s="1"/>
  <c r="C278" i="32"/>
  <c r="D278" i="32"/>
  <c r="C279" i="32"/>
  <c r="D279" i="32"/>
  <c r="E279" i="32" s="1"/>
  <c r="C280" i="32"/>
  <c r="E280" i="32" s="1"/>
  <c r="D280" i="32"/>
  <c r="H280" i="32"/>
  <c r="C281" i="32"/>
  <c r="D281" i="32"/>
  <c r="H281" i="32" s="1"/>
  <c r="C282" i="32"/>
  <c r="H282" i="32" s="1"/>
  <c r="D282" i="32"/>
  <c r="C283" i="32"/>
  <c r="D283" i="32"/>
  <c r="E283" i="32" s="1"/>
  <c r="C284" i="32"/>
  <c r="E284" i="32" s="1"/>
  <c r="D284" i="32"/>
  <c r="H284" i="32"/>
  <c r="C285" i="32"/>
  <c r="D285" i="32"/>
  <c r="H285" i="32" s="1"/>
  <c r="E285" i="32"/>
  <c r="C286" i="32"/>
  <c r="E286" i="32" s="1"/>
  <c r="D286" i="32"/>
  <c r="C287" i="32"/>
  <c r="D287" i="32"/>
  <c r="E287" i="32" s="1"/>
  <c r="H287" i="32"/>
  <c r="C288" i="32"/>
  <c r="E288" i="32" s="1"/>
  <c r="D288" i="32"/>
  <c r="C289" i="32"/>
  <c r="D289" i="32"/>
  <c r="H289" i="32" s="1"/>
  <c r="E289" i="32"/>
  <c r="C290" i="32"/>
  <c r="D290" i="32"/>
  <c r="H290" i="32"/>
  <c r="C291" i="32"/>
  <c r="D291" i="32"/>
  <c r="E291" i="32" s="1"/>
  <c r="H291" i="32"/>
  <c r="C292" i="32"/>
  <c r="E292" i="32" s="1"/>
  <c r="D292" i="32"/>
  <c r="H292" i="32"/>
  <c r="C293" i="32"/>
  <c r="D293" i="32"/>
  <c r="H293" i="32" s="1"/>
  <c r="E293" i="32"/>
  <c r="C294" i="32"/>
  <c r="H294" i="32" s="1"/>
  <c r="D294" i="32"/>
  <c r="C295" i="32"/>
  <c r="D295" i="32"/>
  <c r="E295" i="32" s="1"/>
  <c r="C296" i="32"/>
  <c r="E296" i="32" s="1"/>
  <c r="D296" i="32"/>
  <c r="C297" i="32"/>
  <c r="D297" i="32"/>
  <c r="H297" i="32" s="1"/>
  <c r="C298" i="32"/>
  <c r="D298" i="32"/>
  <c r="C299" i="32"/>
  <c r="H299" i="32" s="1"/>
  <c r="D299" i="32"/>
  <c r="C300" i="32"/>
  <c r="H300" i="32" s="1"/>
  <c r="D300" i="32"/>
  <c r="C301" i="32"/>
  <c r="D301" i="32"/>
  <c r="E301" i="32"/>
  <c r="H301" i="32"/>
  <c r="C302" i="32"/>
  <c r="H302" i="32" s="1"/>
  <c r="D302" i="32"/>
  <c r="E302" i="32"/>
  <c r="C303" i="32"/>
  <c r="E303" i="32" s="1"/>
  <c r="D303" i="32"/>
  <c r="H303" i="32"/>
  <c r="C304" i="32"/>
  <c r="H304" i="32" s="1"/>
  <c r="D304" i="32"/>
  <c r="E304" i="32"/>
  <c r="C305" i="32"/>
  <c r="D305" i="32"/>
  <c r="E305" i="32"/>
  <c r="H305" i="32"/>
  <c r="C306" i="32"/>
  <c r="H306" i="32" s="1"/>
  <c r="D306" i="32"/>
  <c r="C307" i="32"/>
  <c r="D307" i="32"/>
  <c r="H307" i="32" s="1"/>
  <c r="E307" i="32"/>
  <c r="C308" i="32"/>
  <c r="H308" i="32" s="1"/>
  <c r="D308" i="32"/>
  <c r="C309" i="32"/>
  <c r="H309" i="32" s="1"/>
  <c r="D309" i="32"/>
  <c r="C310" i="32"/>
  <c r="H310" i="32" s="1"/>
  <c r="D310" i="32"/>
  <c r="E310" i="32"/>
  <c r="C311" i="32"/>
  <c r="E311" i="32" s="1"/>
  <c r="D311" i="32"/>
  <c r="H311" i="32" s="1"/>
  <c r="C312" i="32"/>
  <c r="H312" i="32" s="1"/>
  <c r="D312" i="32"/>
  <c r="E312" i="32"/>
  <c r="C313" i="32"/>
  <c r="D313" i="32"/>
  <c r="H313" i="32" s="1"/>
  <c r="E313" i="32"/>
  <c r="B59" i="40"/>
  <c r="H7" i="13"/>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177" i="13"/>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6" i="13"/>
  <c r="F316" i="36" l="1"/>
  <c r="H314" i="36"/>
  <c r="I313" i="36"/>
  <c r="J312" i="36"/>
  <c r="D310" i="36"/>
  <c r="E309" i="36"/>
  <c r="F308" i="36"/>
  <c r="H306" i="36"/>
  <c r="I305" i="36"/>
  <c r="J304" i="36"/>
  <c r="D302" i="36"/>
  <c r="E301" i="36"/>
  <c r="F300" i="36"/>
  <c r="H298" i="36"/>
  <c r="I297" i="36"/>
  <c r="J296" i="36"/>
  <c r="D294" i="36"/>
  <c r="E293" i="36"/>
  <c r="F292" i="36"/>
  <c r="H290" i="36"/>
  <c r="I289" i="36"/>
  <c r="J288" i="36"/>
  <c r="D286" i="36"/>
  <c r="E285" i="36"/>
  <c r="F284" i="36"/>
  <c r="H282" i="36"/>
  <c r="I281" i="36"/>
  <c r="J280" i="36"/>
  <c r="J269" i="36"/>
  <c r="F266" i="36"/>
  <c r="F264" i="36"/>
  <c r="J264" i="36"/>
  <c r="I260" i="36"/>
  <c r="F257" i="36"/>
  <c r="H254" i="36"/>
  <c r="D254" i="36"/>
  <c r="E248" i="36"/>
  <c r="I245" i="36"/>
  <c r="E245" i="36"/>
  <c r="J242" i="36"/>
  <c r="F238" i="36"/>
  <c r="J236" i="36"/>
  <c r="F236" i="36"/>
  <c r="J233" i="36"/>
  <c r="F229" i="36"/>
  <c r="I224" i="36"/>
  <c r="E220" i="36"/>
  <c r="D218" i="36"/>
  <c r="H218" i="36"/>
  <c r="J214" i="36"/>
  <c r="E209" i="36"/>
  <c r="I209" i="36"/>
  <c r="J205" i="36"/>
  <c r="F202" i="36"/>
  <c r="F200" i="36"/>
  <c r="J200" i="36"/>
  <c r="I196" i="36"/>
  <c r="F193" i="36"/>
  <c r="H190" i="36"/>
  <c r="D190" i="36"/>
  <c r="E184" i="36"/>
  <c r="E182" i="36"/>
  <c r="H182" i="36"/>
  <c r="D182" i="36"/>
  <c r="G170" i="36"/>
  <c r="G166" i="36"/>
  <c r="G314" i="36"/>
  <c r="H313" i="36"/>
  <c r="D309" i="36"/>
  <c r="G306" i="36"/>
  <c r="H305" i="36"/>
  <c r="D301" i="36"/>
  <c r="G298" i="36"/>
  <c r="H297" i="36"/>
  <c r="D293" i="36"/>
  <c r="G290" i="36"/>
  <c r="H289" i="36"/>
  <c r="D285" i="36"/>
  <c r="G282" i="36"/>
  <c r="H281" i="36"/>
  <c r="J270" i="36"/>
  <c r="H269" i="36"/>
  <c r="E265" i="36"/>
  <c r="I265" i="36"/>
  <c r="J261" i="36"/>
  <c r="H260" i="36"/>
  <c r="F256" i="36"/>
  <c r="J256" i="36"/>
  <c r="I252" i="36"/>
  <c r="H246" i="36"/>
  <c r="D246" i="36"/>
  <c r="I242" i="36"/>
  <c r="I237" i="36"/>
  <c r="E237" i="36"/>
  <c r="J234" i="36"/>
  <c r="H233" i="36"/>
  <c r="J228" i="36"/>
  <c r="F228" i="36"/>
  <c r="J225" i="36"/>
  <c r="H224" i="36"/>
  <c r="I216" i="36"/>
  <c r="I214" i="36"/>
  <c r="D210" i="36"/>
  <c r="H210" i="36"/>
  <c r="J206" i="36"/>
  <c r="H205" i="36"/>
  <c r="E201" i="36"/>
  <c r="I201" i="36"/>
  <c r="J197" i="36"/>
  <c r="H196" i="36"/>
  <c r="F192" i="36"/>
  <c r="J192" i="36"/>
  <c r="I178" i="36"/>
  <c r="D178" i="36"/>
  <c r="H178" i="36"/>
  <c r="D266" i="36"/>
  <c r="H266" i="36"/>
  <c r="E257" i="36"/>
  <c r="I257" i="36"/>
  <c r="F248" i="36"/>
  <c r="J248" i="36"/>
  <c r="H238" i="36"/>
  <c r="D238" i="36"/>
  <c r="I229" i="36"/>
  <c r="E229" i="36"/>
  <c r="J220" i="36"/>
  <c r="F220" i="36"/>
  <c r="D202" i="36"/>
  <c r="H202" i="36"/>
  <c r="E193" i="36"/>
  <c r="I193" i="36"/>
  <c r="F184" i="36"/>
  <c r="J184" i="36"/>
  <c r="I170" i="36"/>
  <c r="D170" i="36"/>
  <c r="F170" i="36"/>
  <c r="H170" i="36"/>
  <c r="E166" i="36"/>
  <c r="H166" i="36"/>
  <c r="J166" i="36"/>
  <c r="D166" i="36"/>
  <c r="E314" i="36"/>
  <c r="F313" i="36"/>
  <c r="I310" i="36"/>
  <c r="J309" i="36"/>
  <c r="E306" i="36"/>
  <c r="F305" i="36"/>
  <c r="I302" i="36"/>
  <c r="J301" i="36"/>
  <c r="E298" i="36"/>
  <c r="F297" i="36"/>
  <c r="I294" i="36"/>
  <c r="J293" i="36"/>
  <c r="E290" i="36"/>
  <c r="F289" i="36"/>
  <c r="I286" i="36"/>
  <c r="J285" i="36"/>
  <c r="E282" i="36"/>
  <c r="F281" i="36"/>
  <c r="G270" i="36"/>
  <c r="F269" i="36"/>
  <c r="G261" i="36"/>
  <c r="E260" i="36"/>
  <c r="D258" i="36"/>
  <c r="H258" i="36"/>
  <c r="G252" i="36"/>
  <c r="E249" i="36"/>
  <c r="I249" i="36"/>
  <c r="F242" i="36"/>
  <c r="F240" i="36"/>
  <c r="J240" i="36"/>
  <c r="G234" i="36"/>
  <c r="F233" i="36"/>
  <c r="H230" i="36"/>
  <c r="D230" i="36"/>
  <c r="G225" i="36"/>
  <c r="E224" i="36"/>
  <c r="I221" i="36"/>
  <c r="E221" i="36"/>
  <c r="G216" i="36"/>
  <c r="F214" i="36"/>
  <c r="J212" i="36"/>
  <c r="F212" i="36"/>
  <c r="H208" i="36"/>
  <c r="G206" i="36"/>
  <c r="F205" i="36"/>
  <c r="G197" i="36"/>
  <c r="E196" i="36"/>
  <c r="D194" i="36"/>
  <c r="H194" i="36"/>
  <c r="G188" i="36"/>
  <c r="E185" i="36"/>
  <c r="I185" i="36"/>
  <c r="H181" i="36"/>
  <c r="H177" i="36"/>
  <c r="E174" i="36"/>
  <c r="H174" i="36"/>
  <c r="D174" i="36"/>
  <c r="I172" i="36"/>
  <c r="J316" i="36"/>
  <c r="D314" i="36"/>
  <c r="E313" i="36"/>
  <c r="H310" i="36"/>
  <c r="I309" i="36"/>
  <c r="J308" i="36"/>
  <c r="D306" i="36"/>
  <c r="E305" i="36"/>
  <c r="H302" i="36"/>
  <c r="I301" i="36"/>
  <c r="J300" i="36"/>
  <c r="D298" i="36"/>
  <c r="E297" i="36"/>
  <c r="H294" i="36"/>
  <c r="I293" i="36"/>
  <c r="J292" i="36"/>
  <c r="D290" i="36"/>
  <c r="E289" i="36"/>
  <c r="H286" i="36"/>
  <c r="I285" i="36"/>
  <c r="J284" i="36"/>
  <c r="D282" i="36"/>
  <c r="E281" i="36"/>
  <c r="G278" i="36"/>
  <c r="G277" i="36"/>
  <c r="G276" i="36"/>
  <c r="F275" i="36"/>
  <c r="F274" i="36"/>
  <c r="F273" i="36"/>
  <c r="F272" i="36"/>
  <c r="J268" i="36"/>
  <c r="F268" i="36"/>
  <c r="J265" i="36"/>
  <c r="I256" i="36"/>
  <c r="D250" i="36"/>
  <c r="H250" i="36"/>
  <c r="J246" i="36"/>
  <c r="E241" i="36"/>
  <c r="I241" i="36"/>
  <c r="J237" i="36"/>
  <c r="F232" i="36"/>
  <c r="J232" i="36"/>
  <c r="I228" i="36"/>
  <c r="H222" i="36"/>
  <c r="D222" i="36"/>
  <c r="I213" i="36"/>
  <c r="E213" i="36"/>
  <c r="J210" i="36"/>
  <c r="F206" i="36"/>
  <c r="J204" i="36"/>
  <c r="F204" i="36"/>
  <c r="J201" i="36"/>
  <c r="I192" i="36"/>
  <c r="D186" i="36"/>
  <c r="H186" i="36"/>
  <c r="G180" i="36"/>
  <c r="J180" i="36"/>
  <c r="F180" i="36"/>
  <c r="H309" i="36"/>
  <c r="H301" i="36"/>
  <c r="H293" i="36"/>
  <c r="H285" i="36"/>
  <c r="I269" i="36"/>
  <c r="E269" i="36"/>
  <c r="J266" i="36"/>
  <c r="J260" i="36"/>
  <c r="F260" i="36"/>
  <c r="J257" i="36"/>
  <c r="I248" i="36"/>
  <c r="D242" i="36"/>
  <c r="H242" i="36"/>
  <c r="J238" i="36"/>
  <c r="E233" i="36"/>
  <c r="I233" i="36"/>
  <c r="J229" i="36"/>
  <c r="F224" i="36"/>
  <c r="J224" i="36"/>
  <c r="I220" i="36"/>
  <c r="H214" i="36"/>
  <c r="D214" i="36"/>
  <c r="I205" i="36"/>
  <c r="E205" i="36"/>
  <c r="J202" i="36"/>
  <c r="J196" i="36"/>
  <c r="F196" i="36"/>
  <c r="J193" i="36"/>
  <c r="I184" i="36"/>
  <c r="D160" i="36"/>
  <c r="H160" i="36"/>
  <c r="F160" i="36"/>
  <c r="G160" i="36"/>
  <c r="I160" i="36"/>
  <c r="J160" i="36"/>
  <c r="J314" i="36"/>
  <c r="G309" i="36"/>
  <c r="J306" i="36"/>
  <c r="G301" i="36"/>
  <c r="J298" i="36"/>
  <c r="G293" i="36"/>
  <c r="J290" i="36"/>
  <c r="G285" i="36"/>
  <c r="J282" i="36"/>
  <c r="H270" i="36"/>
  <c r="D270" i="36"/>
  <c r="I266" i="36"/>
  <c r="I261" i="36"/>
  <c r="E261" i="36"/>
  <c r="H257" i="36"/>
  <c r="J252" i="36"/>
  <c r="F252" i="36"/>
  <c r="H248" i="36"/>
  <c r="I238" i="36"/>
  <c r="D234" i="36"/>
  <c r="H234" i="36"/>
  <c r="H229" i="36"/>
  <c r="E225" i="36"/>
  <c r="I225" i="36"/>
  <c r="H220" i="36"/>
  <c r="F216" i="36"/>
  <c r="J216" i="36"/>
  <c r="H206" i="36"/>
  <c r="D206" i="36"/>
  <c r="I202" i="36"/>
  <c r="I197" i="36"/>
  <c r="E197" i="36"/>
  <c r="H193" i="36"/>
  <c r="J188" i="36"/>
  <c r="F188" i="36"/>
  <c r="H184" i="36"/>
  <c r="F181" i="36"/>
  <c r="I181" i="36"/>
  <c r="E181" i="36"/>
  <c r="G172" i="36"/>
  <c r="J172" i="36"/>
  <c r="D172" i="36"/>
  <c r="F172" i="36"/>
  <c r="E159" i="36"/>
  <c r="I159" i="36"/>
  <c r="D159" i="36"/>
  <c r="F159" i="36"/>
  <c r="G159" i="36"/>
  <c r="H159" i="36"/>
  <c r="J159" i="36"/>
  <c r="G266" i="36"/>
  <c r="F265" i="36"/>
  <c r="H262" i="36"/>
  <c r="D262" i="36"/>
  <c r="I258" i="36"/>
  <c r="G257" i="36"/>
  <c r="E256" i="36"/>
  <c r="I253" i="36"/>
  <c r="E253" i="36"/>
  <c r="H249" i="36"/>
  <c r="G248" i="36"/>
  <c r="F246" i="36"/>
  <c r="J244" i="36"/>
  <c r="F244" i="36"/>
  <c r="H240" i="36"/>
  <c r="G238" i="36"/>
  <c r="F237" i="36"/>
  <c r="I230" i="36"/>
  <c r="G229" i="36"/>
  <c r="E228" i="36"/>
  <c r="D226" i="36"/>
  <c r="H226" i="36"/>
  <c r="H221" i="36"/>
  <c r="G220" i="36"/>
  <c r="E217" i="36"/>
  <c r="I217" i="36"/>
  <c r="F210" i="36"/>
  <c r="F208" i="36"/>
  <c r="J208" i="36"/>
  <c r="G202" i="36"/>
  <c r="F201" i="36"/>
  <c r="H198" i="36"/>
  <c r="D198" i="36"/>
  <c r="I194" i="36"/>
  <c r="G193" i="36"/>
  <c r="E192" i="36"/>
  <c r="I189" i="36"/>
  <c r="E189" i="36"/>
  <c r="G184" i="36"/>
  <c r="F178" i="36"/>
  <c r="J177" i="36"/>
  <c r="E177" i="36"/>
  <c r="I177" i="36"/>
  <c r="J170" i="36"/>
  <c r="J169" i="36"/>
  <c r="E169" i="36"/>
  <c r="G169" i="36"/>
  <c r="I169" i="36"/>
  <c r="I166" i="36"/>
  <c r="J176" i="36"/>
  <c r="E173" i="36"/>
  <c r="J168" i="36"/>
  <c r="E165" i="36"/>
  <c r="F164" i="36"/>
  <c r="J162" i="36"/>
  <c r="F162" i="36"/>
  <c r="J154" i="36"/>
  <c r="F154" i="36"/>
  <c r="I150" i="36"/>
  <c r="G148" i="36"/>
  <c r="D144" i="36"/>
  <c r="H144" i="36"/>
  <c r="G139" i="36"/>
  <c r="D136" i="36"/>
  <c r="H136" i="36"/>
  <c r="G131" i="36"/>
  <c r="D128" i="36"/>
  <c r="H128" i="36"/>
  <c r="G123" i="36"/>
  <c r="D123" i="36"/>
  <c r="I123" i="36"/>
  <c r="H115" i="36"/>
  <c r="I110" i="36"/>
  <c r="E109" i="36"/>
  <c r="H109" i="36"/>
  <c r="F109" i="36"/>
  <c r="I105" i="36"/>
  <c r="D105" i="36"/>
  <c r="F105" i="36"/>
  <c r="H99" i="36"/>
  <c r="I97" i="36"/>
  <c r="D97" i="36"/>
  <c r="G97" i="36"/>
  <c r="J92" i="36"/>
  <c r="I89" i="36"/>
  <c r="D84" i="36"/>
  <c r="G84" i="36"/>
  <c r="F84" i="36"/>
  <c r="J84" i="36"/>
  <c r="I84" i="36"/>
  <c r="J79" i="36"/>
  <c r="D68" i="36"/>
  <c r="G68" i="36"/>
  <c r="I68" i="36"/>
  <c r="E68" i="36"/>
  <c r="F66" i="36"/>
  <c r="I66" i="36"/>
  <c r="E66" i="36"/>
  <c r="J66" i="36"/>
  <c r="H66" i="36"/>
  <c r="G50" i="36"/>
  <c r="I44" i="36"/>
  <c r="G41" i="36"/>
  <c r="J41" i="36"/>
  <c r="H41" i="36"/>
  <c r="F41" i="36"/>
  <c r="J35" i="36"/>
  <c r="I22" i="36"/>
  <c r="J19" i="36"/>
  <c r="I163" i="36"/>
  <c r="E163" i="36"/>
  <c r="I155" i="36"/>
  <c r="E155" i="36"/>
  <c r="J151" i="36"/>
  <c r="H150" i="36"/>
  <c r="J146" i="36"/>
  <c r="F146" i="36"/>
  <c r="I142" i="36"/>
  <c r="I134" i="36"/>
  <c r="D118" i="36"/>
  <c r="G118" i="36"/>
  <c r="F118" i="36"/>
  <c r="E101" i="36"/>
  <c r="H101" i="36"/>
  <c r="G101" i="36"/>
  <c r="I96" i="36"/>
  <c r="I92" i="36"/>
  <c r="F89" i="36"/>
  <c r="H79" i="36"/>
  <c r="E75" i="36"/>
  <c r="H75" i="36"/>
  <c r="F75" i="36"/>
  <c r="J75" i="36"/>
  <c r="D75" i="36"/>
  <c r="I71" i="36"/>
  <c r="D71" i="36"/>
  <c r="F71" i="36"/>
  <c r="H71" i="36"/>
  <c r="J38" i="36"/>
  <c r="E38" i="36"/>
  <c r="F38" i="36"/>
  <c r="I38" i="36"/>
  <c r="D38" i="36"/>
  <c r="D28" i="36"/>
  <c r="G28" i="36"/>
  <c r="E28" i="36"/>
  <c r="I28" i="36"/>
  <c r="J28" i="36"/>
  <c r="G25" i="36"/>
  <c r="J25" i="36"/>
  <c r="D25" i="36"/>
  <c r="E25" i="36"/>
  <c r="H156" i="36"/>
  <c r="D156" i="36"/>
  <c r="H151" i="36"/>
  <c r="G150" i="36"/>
  <c r="I147" i="36"/>
  <c r="E147" i="36"/>
  <c r="H142" i="36"/>
  <c r="J138" i="36"/>
  <c r="F138" i="36"/>
  <c r="H134" i="36"/>
  <c r="J130" i="36"/>
  <c r="F130" i="36"/>
  <c r="J126" i="36"/>
  <c r="F124" i="36"/>
  <c r="D124" i="36"/>
  <c r="I124" i="36"/>
  <c r="H108" i="36"/>
  <c r="H104" i="36"/>
  <c r="J100" i="36"/>
  <c r="H96" i="36"/>
  <c r="D94" i="36"/>
  <c r="G94" i="36"/>
  <c r="E94" i="36"/>
  <c r="J94" i="36"/>
  <c r="I86" i="36"/>
  <c r="G57" i="36"/>
  <c r="J57" i="36"/>
  <c r="E57" i="36"/>
  <c r="I57" i="36"/>
  <c r="F57" i="36"/>
  <c r="F50" i="36"/>
  <c r="I50" i="36"/>
  <c r="H50" i="36"/>
  <c r="E50" i="36"/>
  <c r="D44" i="36"/>
  <c r="G44" i="36"/>
  <c r="F44" i="36"/>
  <c r="H44" i="36"/>
  <c r="I31" i="36"/>
  <c r="D31" i="36"/>
  <c r="H31" i="36"/>
  <c r="F31" i="36"/>
  <c r="E19" i="36"/>
  <c r="H19" i="36"/>
  <c r="D19" i="36"/>
  <c r="I19" i="36"/>
  <c r="G19" i="36"/>
  <c r="F10" i="36"/>
  <c r="G10" i="36"/>
  <c r="I10" i="36"/>
  <c r="E10" i="36"/>
  <c r="D10" i="36"/>
  <c r="J10" i="36"/>
  <c r="G151" i="36"/>
  <c r="E150" i="36"/>
  <c r="H148" i="36"/>
  <c r="D148" i="36"/>
  <c r="G142" i="36"/>
  <c r="I139" i="36"/>
  <c r="E139" i="36"/>
  <c r="G134" i="36"/>
  <c r="I131" i="36"/>
  <c r="E131" i="36"/>
  <c r="H126" i="36"/>
  <c r="I117" i="36"/>
  <c r="G115" i="36"/>
  <c r="J115" i="36"/>
  <c r="F115" i="36"/>
  <c r="D110" i="36"/>
  <c r="G110" i="36"/>
  <c r="H110" i="36"/>
  <c r="G108" i="36"/>
  <c r="G104" i="36"/>
  <c r="H100" i="36"/>
  <c r="G99" i="36"/>
  <c r="J99" i="36"/>
  <c r="I99" i="36"/>
  <c r="D99" i="36"/>
  <c r="G96" i="36"/>
  <c r="G92" i="36"/>
  <c r="D92" i="36"/>
  <c r="H92" i="36"/>
  <c r="E92" i="36"/>
  <c r="G89" i="36"/>
  <c r="J89" i="36"/>
  <c r="D89" i="36"/>
  <c r="H89" i="36"/>
  <c r="F86" i="36"/>
  <c r="I79" i="36"/>
  <c r="D79" i="36"/>
  <c r="E79" i="36"/>
  <c r="G79" i="36"/>
  <c r="J74" i="36"/>
  <c r="J58" i="36"/>
  <c r="I49" i="36"/>
  <c r="J43" i="36"/>
  <c r="E35" i="36"/>
  <c r="H35" i="36"/>
  <c r="F35" i="36"/>
  <c r="D35" i="36"/>
  <c r="I30" i="36"/>
  <c r="J22" i="36"/>
  <c r="E22" i="36"/>
  <c r="H22" i="36"/>
  <c r="D22" i="36"/>
  <c r="I173" i="36"/>
  <c r="I165" i="36"/>
  <c r="J164" i="36"/>
  <c r="J163" i="36"/>
  <c r="F158" i="36"/>
  <c r="J158" i="36"/>
  <c r="J155" i="36"/>
  <c r="I146" i="36"/>
  <c r="H140" i="36"/>
  <c r="D140" i="36"/>
  <c r="H132" i="36"/>
  <c r="D132" i="36"/>
  <c r="E125" i="36"/>
  <c r="D125" i="36"/>
  <c r="I125" i="36"/>
  <c r="J120" i="36"/>
  <c r="E120" i="36"/>
  <c r="G120" i="36"/>
  <c r="E67" i="36"/>
  <c r="H67" i="36"/>
  <c r="G67" i="36"/>
  <c r="F67" i="36"/>
  <c r="F150" i="36"/>
  <c r="J150" i="36"/>
  <c r="F108" i="36"/>
  <c r="I108" i="36"/>
  <c r="J108" i="36"/>
  <c r="D108" i="36"/>
  <c r="J104" i="36"/>
  <c r="E104" i="36"/>
  <c r="D104" i="36"/>
  <c r="I104" i="36"/>
  <c r="J96" i="36"/>
  <c r="E96" i="36"/>
  <c r="F96" i="36"/>
  <c r="J86" i="36"/>
  <c r="E86" i="36"/>
  <c r="H86" i="36"/>
  <c r="G86" i="36"/>
  <c r="F74" i="36"/>
  <c r="I74" i="36"/>
  <c r="D74" i="36"/>
  <c r="H74" i="36"/>
  <c r="G74" i="36"/>
  <c r="E151" i="36"/>
  <c r="I151" i="36"/>
  <c r="F142" i="36"/>
  <c r="J142" i="36"/>
  <c r="F134" i="36"/>
  <c r="J134" i="36"/>
  <c r="D126" i="36"/>
  <c r="E126" i="36"/>
  <c r="I126" i="36"/>
  <c r="I118" i="36"/>
  <c r="E117" i="36"/>
  <c r="H117" i="36"/>
  <c r="J117" i="36"/>
  <c r="D117" i="36"/>
  <c r="I101" i="36"/>
  <c r="F100" i="36"/>
  <c r="I100" i="36"/>
  <c r="E100" i="36"/>
  <c r="F58" i="36"/>
  <c r="I58" i="36"/>
  <c r="G58" i="36"/>
  <c r="D58" i="36"/>
  <c r="I55" i="36"/>
  <c r="D55" i="36"/>
  <c r="E55" i="36"/>
  <c r="H55" i="36"/>
  <c r="J55" i="36"/>
  <c r="G49" i="36"/>
  <c r="J49" i="36"/>
  <c r="F49" i="36"/>
  <c r="H49" i="36"/>
  <c r="J46" i="36"/>
  <c r="E46" i="36"/>
  <c r="D46" i="36"/>
  <c r="H46" i="36"/>
  <c r="F46" i="36"/>
  <c r="E43" i="36"/>
  <c r="H43" i="36"/>
  <c r="D43" i="36"/>
  <c r="I43" i="36"/>
  <c r="J30" i="36"/>
  <c r="E30" i="36"/>
  <c r="G30" i="36"/>
  <c r="H30" i="36"/>
  <c r="D20" i="36"/>
  <c r="G20" i="36"/>
  <c r="F20" i="36"/>
  <c r="J20" i="36"/>
  <c r="E20" i="36"/>
  <c r="G164" i="36"/>
  <c r="F163" i="36"/>
  <c r="G156" i="36"/>
  <c r="F155" i="36"/>
  <c r="D152" i="36"/>
  <c r="H152" i="36"/>
  <c r="I148" i="36"/>
  <c r="G147" i="36"/>
  <c r="E146" i="36"/>
  <c r="E143" i="36"/>
  <c r="I143" i="36"/>
  <c r="H139" i="36"/>
  <c r="G138" i="36"/>
  <c r="E135" i="36"/>
  <c r="I135" i="36"/>
  <c r="H131" i="36"/>
  <c r="G130" i="36"/>
  <c r="H124" i="36"/>
  <c r="H118" i="36"/>
  <c r="I115" i="36"/>
  <c r="I113" i="36"/>
  <c r="D113" i="36"/>
  <c r="E113" i="36"/>
  <c r="J113" i="36"/>
  <c r="J110" i="36"/>
  <c r="F101" i="36"/>
  <c r="I94" i="36"/>
  <c r="F93" i="36"/>
  <c r="D93" i="36"/>
  <c r="H93" i="36"/>
  <c r="I93" i="36"/>
  <c r="F90" i="36"/>
  <c r="I90" i="36"/>
  <c r="E90" i="36"/>
  <c r="G90" i="36"/>
  <c r="G81" i="36"/>
  <c r="J81" i="36"/>
  <c r="E81" i="36"/>
  <c r="D81" i="36"/>
  <c r="I75" i="36"/>
  <c r="G71" i="36"/>
  <c r="J62" i="36"/>
  <c r="E62" i="36"/>
  <c r="F62" i="36"/>
  <c r="D62" i="36"/>
  <c r="D52" i="36"/>
  <c r="G52" i="36"/>
  <c r="E52" i="36"/>
  <c r="H52" i="36"/>
  <c r="H38" i="36"/>
  <c r="F34" i="36"/>
  <c r="I34" i="36"/>
  <c r="D34" i="36"/>
  <c r="G34" i="36"/>
  <c r="H28" i="36"/>
  <c r="H25" i="36"/>
  <c r="F116" i="36"/>
  <c r="I116" i="36"/>
  <c r="G107" i="36"/>
  <c r="J107" i="36"/>
  <c r="E83" i="36"/>
  <c r="H83" i="36"/>
  <c r="D83" i="36"/>
  <c r="I83" i="36"/>
  <c r="J70" i="36"/>
  <c r="E70" i="36"/>
  <c r="D70" i="36"/>
  <c r="I15" i="36"/>
  <c r="D15" i="36"/>
  <c r="E15" i="36"/>
  <c r="D12" i="36"/>
  <c r="E12" i="36"/>
  <c r="G12" i="36"/>
  <c r="H12" i="36"/>
  <c r="I12" i="36"/>
  <c r="G17" i="36"/>
  <c r="J17" i="36"/>
  <c r="E17" i="36"/>
  <c r="I121" i="36"/>
  <c r="D121" i="36"/>
  <c r="J112" i="36"/>
  <c r="E112" i="36"/>
  <c r="D102" i="36"/>
  <c r="G102" i="36"/>
  <c r="D76" i="36"/>
  <c r="G76" i="36"/>
  <c r="H76" i="36"/>
  <c r="I70" i="36"/>
  <c r="G65" i="36"/>
  <c r="J65" i="36"/>
  <c r="D65" i="36"/>
  <c r="H65" i="36"/>
  <c r="E59" i="36"/>
  <c r="H59" i="36"/>
  <c r="I59" i="36"/>
  <c r="I47" i="36"/>
  <c r="D47" i="36"/>
  <c r="F47" i="36"/>
  <c r="J47" i="36"/>
  <c r="I39" i="36"/>
  <c r="D39" i="36"/>
  <c r="G39" i="36"/>
  <c r="F26" i="36"/>
  <c r="I26" i="36"/>
  <c r="E26" i="36"/>
  <c r="J15" i="36"/>
  <c r="I87" i="36"/>
  <c r="D87" i="36"/>
  <c r="J78" i="36"/>
  <c r="E78" i="36"/>
  <c r="D60" i="36"/>
  <c r="G60" i="36"/>
  <c r="E51" i="36"/>
  <c r="H51" i="36"/>
  <c r="F42" i="36"/>
  <c r="I42" i="36"/>
  <c r="G33" i="36"/>
  <c r="J33" i="36"/>
  <c r="I23" i="36"/>
  <c r="D23" i="36"/>
  <c r="J14" i="36"/>
  <c r="E14" i="36"/>
  <c r="E91" i="36"/>
  <c r="H91" i="36"/>
  <c r="J87" i="36"/>
  <c r="F82" i="36"/>
  <c r="I82" i="36"/>
  <c r="I78" i="36"/>
  <c r="G73" i="36"/>
  <c r="J73" i="36"/>
  <c r="I63" i="36"/>
  <c r="D63" i="36"/>
  <c r="J60" i="36"/>
  <c r="J54" i="36"/>
  <c r="E54" i="36"/>
  <c r="J51" i="36"/>
  <c r="J42" i="36"/>
  <c r="D36" i="36"/>
  <c r="G36" i="36"/>
  <c r="I33" i="36"/>
  <c r="E27" i="36"/>
  <c r="H27" i="36"/>
  <c r="J23" i="36"/>
  <c r="F18" i="36"/>
  <c r="I18" i="36"/>
  <c r="I14" i="36"/>
  <c r="E11" i="36"/>
  <c r="F11" i="36"/>
  <c r="H11" i="36"/>
  <c r="J9" i="36"/>
  <c r="H9" i="36"/>
  <c r="E309" i="32"/>
  <c r="E306" i="32"/>
  <c r="H296" i="32"/>
  <c r="H283" i="32"/>
  <c r="E278" i="32"/>
  <c r="H264" i="32"/>
  <c r="E246" i="32"/>
  <c r="E300" i="32"/>
  <c r="E281" i="32"/>
  <c r="H279" i="32"/>
  <c r="E274" i="32"/>
  <c r="E249" i="32"/>
  <c r="H247" i="32"/>
  <c r="E242" i="32"/>
  <c r="E217" i="32"/>
  <c r="H215" i="32"/>
  <c r="E210" i="32"/>
  <c r="E185" i="32"/>
  <c r="H183" i="32"/>
  <c r="E178" i="32"/>
  <c r="E168" i="32"/>
  <c r="H168" i="32"/>
  <c r="H110" i="32"/>
  <c r="E110" i="32"/>
  <c r="H288" i="32"/>
  <c r="E277" i="32"/>
  <c r="H256" i="32"/>
  <c r="E245" i="32"/>
  <c r="H224" i="32"/>
  <c r="E213" i="32"/>
  <c r="H192" i="32"/>
  <c r="E181" i="32"/>
  <c r="E143" i="32"/>
  <c r="H143" i="32"/>
  <c r="E136" i="32"/>
  <c r="H136" i="32"/>
  <c r="H222" i="32"/>
  <c r="H190" i="32"/>
  <c r="H175" i="32"/>
  <c r="E112" i="32"/>
  <c r="H112" i="32"/>
  <c r="E103" i="32"/>
  <c r="H103" i="32"/>
  <c r="E97" i="32"/>
  <c r="H97" i="32"/>
  <c r="E298" i="32"/>
  <c r="H286" i="32"/>
  <c r="E294" i="32"/>
  <c r="H267" i="32"/>
  <c r="E230" i="32"/>
  <c r="H203" i="32"/>
  <c r="E198" i="32"/>
  <c r="E165" i="32"/>
  <c r="H165" i="32"/>
  <c r="E160" i="32"/>
  <c r="H160" i="32"/>
  <c r="H142" i="32"/>
  <c r="E142" i="32"/>
  <c r="E262" i="32"/>
  <c r="H235" i="32"/>
  <c r="E308" i="32"/>
  <c r="E297" i="32"/>
  <c r="H295" i="32"/>
  <c r="E290" i="32"/>
  <c r="H278" i="32"/>
  <c r="H276" i="32"/>
  <c r="E265" i="32"/>
  <c r="H263" i="32"/>
  <c r="E258" i="32"/>
  <c r="H246" i="32"/>
  <c r="H244" i="32"/>
  <c r="E233" i="32"/>
  <c r="H231" i="32"/>
  <c r="E226" i="32"/>
  <c r="H212" i="32"/>
  <c r="E201" i="32"/>
  <c r="H199" i="32"/>
  <c r="E194" i="32"/>
  <c r="H180" i="32"/>
  <c r="E167" i="32"/>
  <c r="H167" i="32"/>
  <c r="E118" i="32"/>
  <c r="E105" i="32"/>
  <c r="H105" i="32"/>
  <c r="E261" i="32"/>
  <c r="H164" i="32"/>
  <c r="E164" i="32"/>
  <c r="E144" i="32"/>
  <c r="H144" i="32"/>
  <c r="E135" i="32"/>
  <c r="H135" i="32"/>
  <c r="E129" i="32"/>
  <c r="H129" i="32"/>
  <c r="E87" i="32"/>
  <c r="H87" i="32"/>
  <c r="E282" i="32"/>
  <c r="H270" i="32"/>
  <c r="H268" i="32"/>
  <c r="E250" i="32"/>
  <c r="H236" i="32"/>
  <c r="E218" i="32"/>
  <c r="E186" i="32"/>
  <c r="E173" i="32"/>
  <c r="H173" i="32"/>
  <c r="E169" i="32"/>
  <c r="H169" i="32"/>
  <c r="E111" i="32"/>
  <c r="H111" i="32"/>
  <c r="E104" i="32"/>
  <c r="H104" i="32"/>
  <c r="E299" i="32"/>
  <c r="H298" i="32"/>
  <c r="H266" i="32"/>
  <c r="H251" i="32"/>
  <c r="H234" i="32"/>
  <c r="H232" i="32"/>
  <c r="H219" i="32"/>
  <c r="E214" i="32"/>
  <c r="H202" i="32"/>
  <c r="H187" i="32"/>
  <c r="E182" i="32"/>
  <c r="E137" i="32"/>
  <c r="H137" i="32"/>
  <c r="E127" i="32"/>
  <c r="H127" i="32"/>
  <c r="E121" i="32"/>
  <c r="H121" i="32"/>
  <c r="E72" i="32"/>
  <c r="H72" i="32"/>
  <c r="E81" i="32"/>
  <c r="H81" i="32"/>
  <c r="E161" i="32"/>
  <c r="H161" i="32"/>
  <c r="E159" i="32"/>
  <c r="H159" i="32"/>
  <c r="E151" i="32"/>
  <c r="H151" i="32"/>
  <c r="E145" i="32"/>
  <c r="H145" i="32"/>
  <c r="E89" i="32"/>
  <c r="H89" i="32"/>
  <c r="E153" i="32"/>
  <c r="H153" i="32"/>
  <c r="E95" i="32"/>
  <c r="H95" i="32"/>
  <c r="H88" i="32"/>
  <c r="H80" i="32"/>
  <c r="E80" i="32"/>
  <c r="H66" i="32"/>
  <c r="E66" i="32"/>
  <c r="E119" i="32"/>
  <c r="H119" i="32"/>
  <c r="E113" i="32"/>
  <c r="H113" i="32"/>
  <c r="E73" i="32"/>
  <c r="H73" i="32"/>
  <c r="H70" i="32"/>
  <c r="E70" i="32"/>
  <c r="E171" i="32"/>
  <c r="H171" i="32"/>
  <c r="E155" i="32"/>
  <c r="H155" i="32"/>
  <c r="E139" i="32"/>
  <c r="H139" i="32"/>
  <c r="E123" i="32"/>
  <c r="H123" i="32"/>
  <c r="E107" i="32"/>
  <c r="H107" i="32"/>
  <c r="E91" i="32"/>
  <c r="H91" i="32"/>
  <c r="E75" i="32"/>
  <c r="H75" i="32"/>
  <c r="E69" i="32"/>
  <c r="H69" i="32"/>
  <c r="E65" i="32"/>
  <c r="H65" i="32"/>
  <c r="E61" i="32"/>
  <c r="H61" i="32"/>
  <c r="E57" i="32"/>
  <c r="H57" i="32"/>
  <c r="E53" i="32"/>
  <c r="H53" i="32"/>
  <c r="E49" i="32"/>
  <c r="H49" i="32"/>
  <c r="E45" i="32"/>
  <c r="H45" i="32"/>
  <c r="E41" i="32"/>
  <c r="H41" i="32"/>
  <c r="E37" i="32"/>
  <c r="H37" i="32"/>
  <c r="E149" i="32"/>
  <c r="H149" i="32"/>
  <c r="E133" i="32"/>
  <c r="H133" i="32"/>
  <c r="E117" i="32"/>
  <c r="H117" i="32"/>
  <c r="E101" i="32"/>
  <c r="H101" i="32"/>
  <c r="E85" i="32"/>
  <c r="H85" i="32"/>
  <c r="E163" i="32"/>
  <c r="H163" i="32"/>
  <c r="E147" i="32"/>
  <c r="H147" i="32"/>
  <c r="E131" i="32"/>
  <c r="H131" i="32"/>
  <c r="E115" i="32"/>
  <c r="H115" i="32"/>
  <c r="E99" i="32"/>
  <c r="H99" i="32"/>
  <c r="E83" i="32"/>
  <c r="H83" i="32"/>
  <c r="E79" i="32"/>
  <c r="H79" i="32"/>
  <c r="E157" i="32"/>
  <c r="H157" i="32"/>
  <c r="E141" i="32"/>
  <c r="H141" i="32"/>
  <c r="E125" i="32"/>
  <c r="H125" i="32"/>
  <c r="E109" i="32"/>
  <c r="H109" i="32"/>
  <c r="E93" i="32"/>
  <c r="H93" i="32"/>
  <c r="E77" i="32"/>
  <c r="H77" i="32"/>
  <c r="H33" i="32"/>
  <c r="H29" i="32"/>
  <c r="H25" i="32"/>
  <c r="H21" i="32"/>
  <c r="H17" i="32"/>
  <c r="H13" i="32"/>
  <c r="H9" i="32"/>
  <c r="H71" i="32"/>
  <c r="H67" i="32"/>
  <c r="H63" i="32"/>
  <c r="H59" i="32"/>
  <c r="H55" i="32"/>
  <c r="H51" i="32"/>
  <c r="H47" i="32"/>
  <c r="H43" i="32"/>
  <c r="H39" i="32"/>
  <c r="H35" i="32"/>
  <c r="H31" i="32"/>
  <c r="H27" i="32"/>
  <c r="H23" i="32"/>
  <c r="H19" i="32"/>
  <c r="H15" i="32"/>
  <c r="H11" i="32"/>
  <c r="H7" i="32"/>
  <c r="B46" i="40" l="1"/>
  <c r="B67" i="40" l="1"/>
  <c r="H66" i="40"/>
  <c r="D91" i="11"/>
  <c r="C130" i="42" l="1"/>
  <c r="J50" i="42" l="1"/>
  <c r="H8" i="42"/>
  <c r="H9" i="42"/>
  <c r="H10" i="42"/>
  <c r="H11" i="42"/>
  <c r="H12" i="42"/>
  <c r="H13" i="42"/>
  <c r="H14" i="42"/>
  <c r="H15" i="42"/>
  <c r="H16" i="42"/>
  <c r="H17" i="42"/>
  <c r="H18" i="42"/>
  <c r="H19" i="42"/>
  <c r="H20" i="42"/>
  <c r="H21" i="42"/>
  <c r="H22" i="42"/>
  <c r="H23" i="42"/>
  <c r="H24" i="42"/>
  <c r="H25" i="42"/>
  <c r="H26" i="42"/>
  <c r="H27" i="42"/>
  <c r="H28" i="42"/>
  <c r="H29" i="42"/>
  <c r="H30" i="42"/>
  <c r="H31" i="42"/>
  <c r="H32" i="42"/>
  <c r="H33" i="42"/>
  <c r="H34" i="42"/>
  <c r="H35" i="42"/>
  <c r="H36" i="42"/>
  <c r="H37" i="42"/>
  <c r="H38" i="42"/>
  <c r="H39" i="42"/>
  <c r="H40" i="42"/>
  <c r="H41" i="42"/>
  <c r="H42" i="42"/>
  <c r="H43" i="42"/>
  <c r="H44" i="42"/>
  <c r="H45" i="42"/>
  <c r="H46" i="42"/>
  <c r="H47" i="42"/>
  <c r="H48" i="42"/>
  <c r="H49" i="42"/>
  <c r="H50" i="42"/>
  <c r="H51" i="42"/>
  <c r="H52" i="42"/>
  <c r="H53" i="42"/>
  <c r="H54" i="42"/>
  <c r="H55" i="42"/>
  <c r="H56" i="42"/>
  <c r="H57" i="42"/>
  <c r="H58" i="42"/>
  <c r="H59" i="42"/>
  <c r="H60" i="42"/>
  <c r="H61" i="42"/>
  <c r="H62" i="42"/>
  <c r="H63" i="42"/>
  <c r="H64" i="42"/>
  <c r="H65" i="42"/>
  <c r="H66" i="42"/>
  <c r="H67" i="42"/>
  <c r="H68" i="42"/>
  <c r="H69" i="42"/>
  <c r="H70" i="42"/>
  <c r="H71" i="42"/>
  <c r="H72" i="42"/>
  <c r="H73" i="42"/>
  <c r="H74" i="42"/>
  <c r="H75" i="42"/>
  <c r="H76" i="42"/>
  <c r="H77" i="42"/>
  <c r="H78" i="42"/>
  <c r="H79" i="42"/>
  <c r="H80" i="42"/>
  <c r="H81" i="42"/>
  <c r="H82" i="42"/>
  <c r="H83" i="42"/>
  <c r="H84" i="42"/>
  <c r="H85" i="42"/>
  <c r="H86" i="42"/>
  <c r="H87" i="42"/>
  <c r="H88" i="42"/>
  <c r="H89" i="42"/>
  <c r="H90" i="42"/>
  <c r="H91" i="42"/>
  <c r="H92" i="42"/>
  <c r="H93" i="42"/>
  <c r="H94" i="42"/>
  <c r="H95" i="42"/>
  <c r="H96" i="42"/>
  <c r="H97" i="42"/>
  <c r="H98" i="42"/>
  <c r="H99" i="42"/>
  <c r="H100" i="42"/>
  <c r="H101" i="42"/>
  <c r="H102" i="42"/>
  <c r="H103" i="42"/>
  <c r="H104" i="42"/>
  <c r="H105" i="42"/>
  <c r="H106" i="42"/>
  <c r="H107" i="42"/>
  <c r="H108" i="42"/>
  <c r="H109" i="42"/>
  <c r="H110" i="42"/>
  <c r="H111" i="42"/>
  <c r="H112" i="42"/>
  <c r="H113" i="42"/>
  <c r="H114" i="42"/>
  <c r="H115" i="42"/>
  <c r="H116" i="42"/>
  <c r="H117" i="42"/>
  <c r="H118" i="42"/>
  <c r="H119" i="42"/>
  <c r="H120" i="42"/>
  <c r="H121" i="42"/>
  <c r="H122" i="42"/>
  <c r="H123" i="42"/>
  <c r="H124" i="42"/>
  <c r="H125" i="42"/>
  <c r="H126" i="42"/>
  <c r="H127" i="42"/>
  <c r="H128" i="42"/>
  <c r="H129" i="42"/>
  <c r="H130" i="42"/>
  <c r="H131" i="42"/>
  <c r="H132" i="42"/>
  <c r="H133" i="42"/>
  <c r="H134" i="42"/>
  <c r="H135" i="42"/>
  <c r="H136" i="42"/>
  <c r="H137" i="42"/>
  <c r="H138" i="42"/>
  <c r="H139" i="42"/>
  <c r="H140" i="42"/>
  <c r="H141" i="42"/>
  <c r="H142" i="42"/>
  <c r="H143" i="42"/>
  <c r="H144" i="42"/>
  <c r="H145" i="42"/>
  <c r="H146" i="42"/>
  <c r="H147" i="42"/>
  <c r="H148" i="42"/>
  <c r="H149" i="42"/>
  <c r="H150" i="42"/>
  <c r="H151" i="42"/>
  <c r="H152" i="42"/>
  <c r="H153" i="42"/>
  <c r="H154" i="42"/>
  <c r="H155" i="42"/>
  <c r="H156" i="42"/>
  <c r="H157" i="42"/>
  <c r="H158" i="42"/>
  <c r="H159" i="42"/>
  <c r="H160" i="42"/>
  <c r="H161" i="42"/>
  <c r="H162" i="42"/>
  <c r="H163" i="42"/>
  <c r="H164" i="42"/>
  <c r="H165" i="42"/>
  <c r="H166" i="42"/>
  <c r="H167" i="42"/>
  <c r="H168" i="42"/>
  <c r="H169" i="42"/>
  <c r="H170" i="42"/>
  <c r="H171" i="42"/>
  <c r="H172" i="42"/>
  <c r="H173" i="42"/>
  <c r="H174" i="42"/>
  <c r="H175" i="42"/>
  <c r="H176" i="42"/>
  <c r="H177" i="42"/>
  <c r="H178" i="42"/>
  <c r="H179" i="42"/>
  <c r="H180" i="42"/>
  <c r="H181" i="42"/>
  <c r="H182" i="42"/>
  <c r="H183" i="42"/>
  <c r="H184" i="42"/>
  <c r="H185" i="42"/>
  <c r="H186" i="42"/>
  <c r="H187" i="42"/>
  <c r="H188" i="42"/>
  <c r="H189" i="42"/>
  <c r="H190" i="42"/>
  <c r="H191" i="42"/>
  <c r="H192" i="42"/>
  <c r="H193" i="42"/>
  <c r="H194" i="42"/>
  <c r="H195" i="42"/>
  <c r="H196" i="42"/>
  <c r="H197" i="42"/>
  <c r="H198" i="42"/>
  <c r="H199" i="42"/>
  <c r="H200" i="42"/>
  <c r="H201" i="42"/>
  <c r="H202" i="42"/>
  <c r="H203" i="42"/>
  <c r="H204" i="42"/>
  <c r="H205" i="42"/>
  <c r="H206" i="42"/>
  <c r="H207" i="42"/>
  <c r="H208" i="42"/>
  <c r="H209" i="42"/>
  <c r="H210" i="42"/>
  <c r="H211" i="42"/>
  <c r="H212" i="42"/>
  <c r="H213" i="42"/>
  <c r="H214" i="42"/>
  <c r="H215" i="42"/>
  <c r="H216" i="42"/>
  <c r="H217" i="42"/>
  <c r="H218" i="42"/>
  <c r="H219" i="42"/>
  <c r="H220" i="42"/>
  <c r="H221" i="42"/>
  <c r="H222" i="42"/>
  <c r="H223" i="42"/>
  <c r="H224" i="42"/>
  <c r="H225" i="42"/>
  <c r="H226" i="42"/>
  <c r="H227" i="42"/>
  <c r="H228" i="42"/>
  <c r="H229" i="42"/>
  <c r="H230" i="42"/>
  <c r="H231" i="42"/>
  <c r="H232" i="42"/>
  <c r="H233" i="42"/>
  <c r="H234" i="42"/>
  <c r="H235" i="42"/>
  <c r="H236" i="42"/>
  <c r="H237" i="42"/>
  <c r="H238" i="42"/>
  <c r="H239" i="42"/>
  <c r="H240" i="42"/>
  <c r="H241" i="42"/>
  <c r="H242" i="42"/>
  <c r="H243" i="42"/>
  <c r="H244" i="42"/>
  <c r="H245" i="42"/>
  <c r="H246" i="42"/>
  <c r="H247" i="42"/>
  <c r="H248" i="42"/>
  <c r="H249" i="42"/>
  <c r="H250" i="42"/>
  <c r="H251" i="42"/>
  <c r="H252" i="42"/>
  <c r="H253" i="42"/>
  <c r="H254" i="42"/>
  <c r="H255" i="42"/>
  <c r="H256" i="42"/>
  <c r="H257" i="42"/>
  <c r="H258" i="42"/>
  <c r="H259" i="42"/>
  <c r="H260" i="42"/>
  <c r="H261" i="42"/>
  <c r="H262" i="42"/>
  <c r="H263" i="42"/>
  <c r="H264" i="42"/>
  <c r="H265" i="42"/>
  <c r="H266" i="42"/>
  <c r="H267" i="42"/>
  <c r="H268" i="42"/>
  <c r="H269" i="42"/>
  <c r="H270" i="42"/>
  <c r="H271" i="42"/>
  <c r="H272" i="42"/>
  <c r="H273" i="42"/>
  <c r="H274" i="42"/>
  <c r="H275" i="42"/>
  <c r="H276" i="42"/>
  <c r="H277" i="42"/>
  <c r="H278" i="42"/>
  <c r="H279" i="42"/>
  <c r="H280" i="42"/>
  <c r="H281" i="42"/>
  <c r="H282" i="42"/>
  <c r="H283" i="42"/>
  <c r="H284" i="42"/>
  <c r="H285" i="42"/>
  <c r="H286" i="42"/>
  <c r="H287" i="42"/>
  <c r="H288" i="42"/>
  <c r="H289" i="42"/>
  <c r="H290" i="42"/>
  <c r="H291" i="42"/>
  <c r="H292" i="42"/>
  <c r="H293" i="42"/>
  <c r="H294" i="42"/>
  <c r="H295" i="42"/>
  <c r="H296" i="42"/>
  <c r="H297" i="42"/>
  <c r="H298" i="42"/>
  <c r="H299" i="42"/>
  <c r="H300" i="42"/>
  <c r="H301" i="42"/>
  <c r="H302" i="42"/>
  <c r="H303" i="42"/>
  <c r="H304" i="42"/>
  <c r="H305" i="42"/>
  <c r="H306" i="42"/>
  <c r="H307" i="42"/>
  <c r="H308" i="42"/>
  <c r="H309" i="42"/>
  <c r="H310" i="42"/>
  <c r="H311" i="42"/>
  <c r="H312" i="42"/>
  <c r="H313" i="42"/>
  <c r="H314" i="42"/>
  <c r="H315" i="42"/>
  <c r="H7" i="42"/>
  <c r="G8" i="42"/>
  <c r="G9" i="42"/>
  <c r="G10" i="42"/>
  <c r="G11" i="42"/>
  <c r="G12" i="42"/>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260" i="42"/>
  <c r="G261" i="42"/>
  <c r="G262" i="42"/>
  <c r="G263" i="42"/>
  <c r="G264" i="42"/>
  <c r="G265" i="42"/>
  <c r="G266" i="42"/>
  <c r="G267" i="42"/>
  <c r="G268" i="42"/>
  <c r="G269" i="42"/>
  <c r="G270" i="42"/>
  <c r="G271" i="42"/>
  <c r="G272" i="42"/>
  <c r="G273" i="42"/>
  <c r="G274" i="42"/>
  <c r="G275" i="42"/>
  <c r="G276" i="42"/>
  <c r="G277" i="42"/>
  <c r="G278" i="42"/>
  <c r="G279" i="42"/>
  <c r="G280" i="42"/>
  <c r="G281" i="42"/>
  <c r="G282" i="42"/>
  <c r="G283" i="42"/>
  <c r="G284" i="42"/>
  <c r="G285" i="42"/>
  <c r="G286" i="42"/>
  <c r="G287" i="42"/>
  <c r="G288" i="42"/>
  <c r="G289" i="42"/>
  <c r="G290" i="42"/>
  <c r="G291" i="42"/>
  <c r="G292" i="42"/>
  <c r="G293" i="42"/>
  <c r="G294" i="42"/>
  <c r="G295" i="42"/>
  <c r="G296" i="42"/>
  <c r="G297" i="42"/>
  <c r="G298" i="42"/>
  <c r="G299" i="42"/>
  <c r="G300" i="42"/>
  <c r="G301" i="42"/>
  <c r="G302" i="42"/>
  <c r="G303" i="42"/>
  <c r="G304" i="42"/>
  <c r="G305" i="42"/>
  <c r="G306" i="42"/>
  <c r="G307" i="42"/>
  <c r="G308" i="42"/>
  <c r="G309" i="42"/>
  <c r="G310" i="42"/>
  <c r="G311" i="42"/>
  <c r="G312" i="42"/>
  <c r="G313" i="42"/>
  <c r="G314" i="42"/>
  <c r="G315" i="42"/>
  <c r="G7" i="42"/>
  <c r="H316" i="42" l="1"/>
  <c r="I8" i="42"/>
  <c r="J8" i="19" s="1"/>
  <c r="I9" i="42"/>
  <c r="J9" i="19" s="1"/>
  <c r="I10" i="42"/>
  <c r="J10" i="19" s="1"/>
  <c r="I11" i="42"/>
  <c r="J11" i="19" s="1"/>
  <c r="I12" i="42"/>
  <c r="J12" i="19" s="1"/>
  <c r="I13" i="42"/>
  <c r="J13" i="19" s="1"/>
  <c r="I14" i="42"/>
  <c r="J14" i="19" s="1"/>
  <c r="I15" i="42"/>
  <c r="J15" i="19" s="1"/>
  <c r="I16" i="42"/>
  <c r="J16" i="19" s="1"/>
  <c r="I17" i="42"/>
  <c r="J17" i="19" s="1"/>
  <c r="I18" i="42"/>
  <c r="J18" i="19" s="1"/>
  <c r="I19" i="42"/>
  <c r="J19" i="19" s="1"/>
  <c r="I20" i="42"/>
  <c r="J20" i="19" s="1"/>
  <c r="I21" i="42"/>
  <c r="J21" i="19" s="1"/>
  <c r="I22" i="42"/>
  <c r="J22" i="19" s="1"/>
  <c r="I23" i="42"/>
  <c r="J23" i="19" s="1"/>
  <c r="I24" i="42"/>
  <c r="J24" i="19" s="1"/>
  <c r="I25" i="42"/>
  <c r="J25" i="19" s="1"/>
  <c r="I26" i="42"/>
  <c r="J26" i="19" s="1"/>
  <c r="I27" i="42"/>
  <c r="J27" i="19" s="1"/>
  <c r="I28" i="42"/>
  <c r="J28" i="19" s="1"/>
  <c r="I29" i="42"/>
  <c r="J29" i="19" s="1"/>
  <c r="I30" i="42"/>
  <c r="J30" i="19" s="1"/>
  <c r="I31" i="42"/>
  <c r="J31" i="19" s="1"/>
  <c r="I32" i="42"/>
  <c r="J32" i="19" s="1"/>
  <c r="I33" i="42"/>
  <c r="J33" i="19" s="1"/>
  <c r="I34" i="42"/>
  <c r="J34" i="19" s="1"/>
  <c r="I35" i="42"/>
  <c r="J35" i="19" s="1"/>
  <c r="I36" i="42"/>
  <c r="J36" i="19" s="1"/>
  <c r="I37" i="42"/>
  <c r="J37" i="19" s="1"/>
  <c r="I38" i="42"/>
  <c r="J38" i="19" s="1"/>
  <c r="I39" i="42"/>
  <c r="J39" i="19" s="1"/>
  <c r="I40" i="42"/>
  <c r="J40" i="19" s="1"/>
  <c r="I41" i="42"/>
  <c r="J41" i="19" s="1"/>
  <c r="I42" i="42"/>
  <c r="J42" i="19" s="1"/>
  <c r="I43" i="42"/>
  <c r="J43" i="19" s="1"/>
  <c r="I44" i="42"/>
  <c r="J44" i="19" s="1"/>
  <c r="I45" i="42"/>
  <c r="J45" i="19" s="1"/>
  <c r="I46" i="42"/>
  <c r="J46" i="19" s="1"/>
  <c r="I47" i="42"/>
  <c r="J47" i="19" s="1"/>
  <c r="I48" i="42"/>
  <c r="J48" i="19" s="1"/>
  <c r="I49" i="42"/>
  <c r="J49" i="19" s="1"/>
  <c r="I50" i="42"/>
  <c r="J50" i="19" s="1"/>
  <c r="I51" i="42"/>
  <c r="J51" i="19" s="1"/>
  <c r="I52" i="42"/>
  <c r="J52" i="19" s="1"/>
  <c r="I53" i="42"/>
  <c r="J53" i="19" s="1"/>
  <c r="I54" i="42"/>
  <c r="J54" i="19" s="1"/>
  <c r="I55" i="42"/>
  <c r="J55" i="19" s="1"/>
  <c r="I56" i="42"/>
  <c r="J56" i="19" s="1"/>
  <c r="I57" i="42"/>
  <c r="J57" i="19" s="1"/>
  <c r="I58" i="42"/>
  <c r="J58" i="19" s="1"/>
  <c r="I59" i="42"/>
  <c r="J59" i="19" s="1"/>
  <c r="I60" i="42"/>
  <c r="J60" i="19" s="1"/>
  <c r="I61" i="42"/>
  <c r="J61" i="19" s="1"/>
  <c r="I62" i="42"/>
  <c r="J62" i="19" s="1"/>
  <c r="I63" i="42"/>
  <c r="J63" i="19" s="1"/>
  <c r="I64" i="42"/>
  <c r="J64" i="19" s="1"/>
  <c r="I65" i="42"/>
  <c r="J65" i="19" s="1"/>
  <c r="I66" i="42"/>
  <c r="J66" i="19" s="1"/>
  <c r="I67" i="42"/>
  <c r="J67" i="19" s="1"/>
  <c r="I68" i="42"/>
  <c r="J68" i="19" s="1"/>
  <c r="I69" i="42"/>
  <c r="J69" i="19" s="1"/>
  <c r="I70" i="42"/>
  <c r="J70" i="19" s="1"/>
  <c r="I71" i="42"/>
  <c r="J71" i="19" s="1"/>
  <c r="I72" i="42"/>
  <c r="J72" i="19" s="1"/>
  <c r="I73" i="42"/>
  <c r="J73" i="19" s="1"/>
  <c r="I74" i="42"/>
  <c r="J74" i="19" s="1"/>
  <c r="I75" i="42"/>
  <c r="J75" i="19" s="1"/>
  <c r="I76" i="42"/>
  <c r="J76" i="19" s="1"/>
  <c r="I77" i="42"/>
  <c r="J77" i="19" s="1"/>
  <c r="I78" i="42"/>
  <c r="J78" i="19" s="1"/>
  <c r="I79" i="42"/>
  <c r="J79" i="19" s="1"/>
  <c r="I80" i="42"/>
  <c r="J80" i="19" s="1"/>
  <c r="I81" i="42"/>
  <c r="J81" i="19" s="1"/>
  <c r="I82" i="42"/>
  <c r="J82" i="19" s="1"/>
  <c r="I83" i="42"/>
  <c r="J83" i="19" s="1"/>
  <c r="I84" i="42"/>
  <c r="J84" i="19" s="1"/>
  <c r="I85" i="42"/>
  <c r="J85" i="19" s="1"/>
  <c r="I86" i="42"/>
  <c r="J86" i="19" s="1"/>
  <c r="I87" i="42"/>
  <c r="J87" i="19" s="1"/>
  <c r="I88" i="42"/>
  <c r="J88" i="19" s="1"/>
  <c r="I89" i="42"/>
  <c r="J89" i="19" s="1"/>
  <c r="I90" i="42"/>
  <c r="J90" i="19" s="1"/>
  <c r="I91" i="42"/>
  <c r="J91" i="19" s="1"/>
  <c r="I92" i="42"/>
  <c r="J92" i="19" s="1"/>
  <c r="I93" i="42"/>
  <c r="J93" i="19" s="1"/>
  <c r="I94" i="42"/>
  <c r="J94" i="19" s="1"/>
  <c r="I95" i="42"/>
  <c r="J95" i="19" s="1"/>
  <c r="I96" i="42"/>
  <c r="J96" i="19" s="1"/>
  <c r="I97" i="42"/>
  <c r="J97" i="19" s="1"/>
  <c r="I98" i="42"/>
  <c r="J98" i="19" s="1"/>
  <c r="I99" i="42"/>
  <c r="J99" i="19" s="1"/>
  <c r="I100" i="42"/>
  <c r="J100" i="19" s="1"/>
  <c r="I101" i="42"/>
  <c r="J101" i="19" s="1"/>
  <c r="I102" i="42"/>
  <c r="J102" i="19" s="1"/>
  <c r="I103" i="42"/>
  <c r="J103" i="19" s="1"/>
  <c r="I104" i="42"/>
  <c r="J104" i="19" s="1"/>
  <c r="I105" i="42"/>
  <c r="J105" i="19" s="1"/>
  <c r="I106" i="42"/>
  <c r="J106" i="19" s="1"/>
  <c r="I107" i="42"/>
  <c r="J107" i="19" s="1"/>
  <c r="I108" i="42"/>
  <c r="J108" i="19" s="1"/>
  <c r="I109" i="42"/>
  <c r="J109" i="19" s="1"/>
  <c r="I110" i="42"/>
  <c r="J110" i="19" s="1"/>
  <c r="I111" i="42"/>
  <c r="J111" i="19" s="1"/>
  <c r="I112" i="42"/>
  <c r="J112" i="19" s="1"/>
  <c r="I113" i="42"/>
  <c r="J113" i="19" s="1"/>
  <c r="I114" i="42"/>
  <c r="J114" i="19" s="1"/>
  <c r="I115" i="42"/>
  <c r="J115" i="19" s="1"/>
  <c r="I116" i="42"/>
  <c r="J116" i="19" s="1"/>
  <c r="I117" i="42"/>
  <c r="J117" i="19" s="1"/>
  <c r="I118" i="42"/>
  <c r="J118" i="19" s="1"/>
  <c r="I119" i="42"/>
  <c r="J119" i="19" s="1"/>
  <c r="I120" i="42"/>
  <c r="J120" i="19" s="1"/>
  <c r="I121" i="42"/>
  <c r="J121" i="19" s="1"/>
  <c r="I122" i="42"/>
  <c r="J122" i="19" s="1"/>
  <c r="I123" i="42"/>
  <c r="J123" i="19" s="1"/>
  <c r="I124" i="42"/>
  <c r="J124" i="19" s="1"/>
  <c r="I125" i="42"/>
  <c r="J125" i="19" s="1"/>
  <c r="I126" i="42"/>
  <c r="J126" i="19" s="1"/>
  <c r="I127" i="42"/>
  <c r="J127" i="19" s="1"/>
  <c r="I128" i="42"/>
  <c r="J128" i="19" s="1"/>
  <c r="I129" i="42"/>
  <c r="J129" i="19" s="1"/>
  <c r="I130" i="42"/>
  <c r="J130" i="19" s="1"/>
  <c r="I131" i="42"/>
  <c r="J131" i="19" s="1"/>
  <c r="I132" i="42"/>
  <c r="J132" i="19" s="1"/>
  <c r="I133" i="42"/>
  <c r="J133" i="19" s="1"/>
  <c r="I134" i="42"/>
  <c r="J134" i="19" s="1"/>
  <c r="I135" i="42"/>
  <c r="J135" i="19" s="1"/>
  <c r="I136" i="42"/>
  <c r="J136" i="19" s="1"/>
  <c r="I137" i="42"/>
  <c r="J137" i="19" s="1"/>
  <c r="I138" i="42"/>
  <c r="J138" i="19" s="1"/>
  <c r="I139" i="42"/>
  <c r="J139" i="19" s="1"/>
  <c r="I140" i="42"/>
  <c r="J140" i="19" s="1"/>
  <c r="I141" i="42"/>
  <c r="J141" i="19" s="1"/>
  <c r="I142" i="42"/>
  <c r="J142" i="19" s="1"/>
  <c r="I143" i="42"/>
  <c r="J143" i="19" s="1"/>
  <c r="I144" i="42"/>
  <c r="J144" i="19" s="1"/>
  <c r="I145" i="42"/>
  <c r="J145" i="19" s="1"/>
  <c r="I146" i="42"/>
  <c r="J146" i="19" s="1"/>
  <c r="I147" i="42"/>
  <c r="J147" i="19" s="1"/>
  <c r="I148" i="42"/>
  <c r="J148" i="19" s="1"/>
  <c r="I149" i="42"/>
  <c r="J149" i="19" s="1"/>
  <c r="I150" i="42"/>
  <c r="J150" i="19" s="1"/>
  <c r="I151" i="42"/>
  <c r="J151" i="19" s="1"/>
  <c r="I152" i="42"/>
  <c r="J152" i="19" s="1"/>
  <c r="I153" i="42"/>
  <c r="J153" i="19" s="1"/>
  <c r="I154" i="42"/>
  <c r="J154" i="19" s="1"/>
  <c r="I155" i="42"/>
  <c r="J155" i="19" s="1"/>
  <c r="I156" i="42"/>
  <c r="J156" i="19" s="1"/>
  <c r="I157" i="42"/>
  <c r="J157" i="19" s="1"/>
  <c r="I158" i="42"/>
  <c r="J158" i="19" s="1"/>
  <c r="I159" i="42"/>
  <c r="J159" i="19" s="1"/>
  <c r="I160" i="42"/>
  <c r="J160" i="19" s="1"/>
  <c r="I161" i="42"/>
  <c r="J161" i="19" s="1"/>
  <c r="I162" i="42"/>
  <c r="J162" i="19" s="1"/>
  <c r="I163" i="42"/>
  <c r="J163" i="19" s="1"/>
  <c r="I164" i="42"/>
  <c r="J164" i="19" s="1"/>
  <c r="I165" i="42"/>
  <c r="J165" i="19" s="1"/>
  <c r="I166" i="42"/>
  <c r="J166" i="19" s="1"/>
  <c r="I167" i="42"/>
  <c r="J167" i="19" s="1"/>
  <c r="I168" i="42"/>
  <c r="J168" i="19" s="1"/>
  <c r="I169" i="42"/>
  <c r="J169" i="19" s="1"/>
  <c r="I170" i="42"/>
  <c r="J170" i="19" s="1"/>
  <c r="I171" i="42"/>
  <c r="J171" i="19" s="1"/>
  <c r="I172" i="42"/>
  <c r="J172" i="19" s="1"/>
  <c r="I173" i="42"/>
  <c r="J173" i="19" s="1"/>
  <c r="I174" i="42"/>
  <c r="J174" i="19" s="1"/>
  <c r="I175" i="42"/>
  <c r="J175" i="19" s="1"/>
  <c r="I176" i="42"/>
  <c r="J176" i="19" s="1"/>
  <c r="I177" i="42"/>
  <c r="J177" i="19" s="1"/>
  <c r="I178" i="42"/>
  <c r="J178" i="19" s="1"/>
  <c r="I179" i="42"/>
  <c r="J179" i="19" s="1"/>
  <c r="I180" i="42"/>
  <c r="J180" i="19" s="1"/>
  <c r="I181" i="42"/>
  <c r="J181" i="19" s="1"/>
  <c r="I182" i="42"/>
  <c r="J182" i="19" s="1"/>
  <c r="I183" i="42"/>
  <c r="J183" i="19" s="1"/>
  <c r="I184" i="42"/>
  <c r="J184" i="19" s="1"/>
  <c r="I185" i="42"/>
  <c r="J185" i="19" s="1"/>
  <c r="I186" i="42"/>
  <c r="J186" i="19" s="1"/>
  <c r="I187" i="42"/>
  <c r="J187" i="19" s="1"/>
  <c r="I188" i="42"/>
  <c r="J188" i="19" s="1"/>
  <c r="I189" i="42"/>
  <c r="J189" i="19" s="1"/>
  <c r="I190" i="42"/>
  <c r="J190" i="19" s="1"/>
  <c r="I191" i="42"/>
  <c r="J191" i="19" s="1"/>
  <c r="I192" i="42"/>
  <c r="J192" i="19" s="1"/>
  <c r="I193" i="42"/>
  <c r="J193" i="19" s="1"/>
  <c r="I194" i="42"/>
  <c r="J194" i="19" s="1"/>
  <c r="I195" i="42"/>
  <c r="J195" i="19" s="1"/>
  <c r="I196" i="42"/>
  <c r="J196" i="19" s="1"/>
  <c r="I197" i="42"/>
  <c r="J197" i="19" s="1"/>
  <c r="I198" i="42"/>
  <c r="J198" i="19" s="1"/>
  <c r="I199" i="42"/>
  <c r="J199" i="19" s="1"/>
  <c r="I200" i="42"/>
  <c r="J200" i="19" s="1"/>
  <c r="I201" i="42"/>
  <c r="J201" i="19" s="1"/>
  <c r="I202" i="42"/>
  <c r="J202" i="19" s="1"/>
  <c r="I203" i="42"/>
  <c r="J203" i="19" s="1"/>
  <c r="I204" i="42"/>
  <c r="J204" i="19" s="1"/>
  <c r="I205" i="42"/>
  <c r="J205" i="19" s="1"/>
  <c r="I206" i="42"/>
  <c r="J206" i="19" s="1"/>
  <c r="I207" i="42"/>
  <c r="J207" i="19" s="1"/>
  <c r="I208" i="42"/>
  <c r="J208" i="19" s="1"/>
  <c r="I209" i="42"/>
  <c r="J209" i="19" s="1"/>
  <c r="I210" i="42"/>
  <c r="J210" i="19" s="1"/>
  <c r="I211" i="42"/>
  <c r="J211" i="19" s="1"/>
  <c r="I212" i="42"/>
  <c r="J212" i="19" s="1"/>
  <c r="I213" i="42"/>
  <c r="J213" i="19" s="1"/>
  <c r="I214" i="42"/>
  <c r="J214" i="19" s="1"/>
  <c r="I215" i="42"/>
  <c r="J215" i="19" s="1"/>
  <c r="I216" i="42"/>
  <c r="J216" i="19" s="1"/>
  <c r="I217" i="42"/>
  <c r="J217" i="19" s="1"/>
  <c r="I218" i="42"/>
  <c r="J218" i="19" s="1"/>
  <c r="I219" i="42"/>
  <c r="J219" i="19" s="1"/>
  <c r="I220" i="42"/>
  <c r="J220" i="19" s="1"/>
  <c r="I221" i="42"/>
  <c r="J221" i="19" s="1"/>
  <c r="I222" i="42"/>
  <c r="J222" i="19" s="1"/>
  <c r="I223" i="42"/>
  <c r="J223" i="19" s="1"/>
  <c r="I224" i="42"/>
  <c r="J224" i="19" s="1"/>
  <c r="I225" i="42"/>
  <c r="J225" i="19" s="1"/>
  <c r="I226" i="42"/>
  <c r="J226" i="19" s="1"/>
  <c r="I227" i="42"/>
  <c r="J227" i="19" s="1"/>
  <c r="I228" i="42"/>
  <c r="J228" i="19" s="1"/>
  <c r="I229" i="42"/>
  <c r="J229" i="19" s="1"/>
  <c r="I230" i="42"/>
  <c r="J230" i="19" s="1"/>
  <c r="I231" i="42"/>
  <c r="J231" i="19" s="1"/>
  <c r="I232" i="42"/>
  <c r="J232" i="19" s="1"/>
  <c r="I233" i="42"/>
  <c r="J233" i="19" s="1"/>
  <c r="I234" i="42"/>
  <c r="J234" i="19" s="1"/>
  <c r="I235" i="42"/>
  <c r="J235" i="19" s="1"/>
  <c r="I236" i="42"/>
  <c r="J236" i="19" s="1"/>
  <c r="I237" i="42"/>
  <c r="J237" i="19" s="1"/>
  <c r="I238" i="42"/>
  <c r="J238" i="19" s="1"/>
  <c r="I239" i="42"/>
  <c r="J239" i="19" s="1"/>
  <c r="I240" i="42"/>
  <c r="J240" i="19" s="1"/>
  <c r="I241" i="42"/>
  <c r="J241" i="19" s="1"/>
  <c r="I242" i="42"/>
  <c r="J242" i="19" s="1"/>
  <c r="I243" i="42"/>
  <c r="J243" i="19" s="1"/>
  <c r="I244" i="42"/>
  <c r="J244" i="19" s="1"/>
  <c r="I245" i="42"/>
  <c r="J245" i="19" s="1"/>
  <c r="I246" i="42"/>
  <c r="J246" i="19" s="1"/>
  <c r="I247" i="42"/>
  <c r="J247" i="19" s="1"/>
  <c r="I248" i="42"/>
  <c r="J248" i="19" s="1"/>
  <c r="I249" i="42"/>
  <c r="J249" i="19" s="1"/>
  <c r="I250" i="42"/>
  <c r="J250" i="19" s="1"/>
  <c r="I251" i="42"/>
  <c r="J251" i="19" s="1"/>
  <c r="I252" i="42"/>
  <c r="J252" i="19" s="1"/>
  <c r="I253" i="42"/>
  <c r="J253" i="19" s="1"/>
  <c r="I254" i="42"/>
  <c r="J254" i="19" s="1"/>
  <c r="I255" i="42"/>
  <c r="J255" i="19" s="1"/>
  <c r="I256" i="42"/>
  <c r="J256" i="19" s="1"/>
  <c r="I257" i="42"/>
  <c r="J257" i="19" s="1"/>
  <c r="I258" i="42"/>
  <c r="J258" i="19" s="1"/>
  <c r="I259" i="42"/>
  <c r="J259" i="19" s="1"/>
  <c r="I260" i="42"/>
  <c r="J260" i="19" s="1"/>
  <c r="I261" i="42"/>
  <c r="J261" i="19" s="1"/>
  <c r="I262" i="42"/>
  <c r="J262" i="19" s="1"/>
  <c r="I263" i="42"/>
  <c r="J263" i="19" s="1"/>
  <c r="I264" i="42"/>
  <c r="J264" i="19" s="1"/>
  <c r="I265" i="42"/>
  <c r="J265" i="19" s="1"/>
  <c r="I266" i="42"/>
  <c r="J266" i="19" s="1"/>
  <c r="I267" i="42"/>
  <c r="J267" i="19" s="1"/>
  <c r="I268" i="42"/>
  <c r="J268" i="19" s="1"/>
  <c r="I269" i="42"/>
  <c r="J269" i="19" s="1"/>
  <c r="I270" i="42"/>
  <c r="J270" i="19" s="1"/>
  <c r="I271" i="42"/>
  <c r="J271" i="19" s="1"/>
  <c r="I272" i="42"/>
  <c r="J272" i="19" s="1"/>
  <c r="I273" i="42"/>
  <c r="J273" i="19" s="1"/>
  <c r="I274" i="42"/>
  <c r="J274" i="19" s="1"/>
  <c r="I275" i="42"/>
  <c r="J275" i="19" s="1"/>
  <c r="I276" i="42"/>
  <c r="J276" i="19" s="1"/>
  <c r="I277" i="42"/>
  <c r="J277" i="19" s="1"/>
  <c r="I278" i="42"/>
  <c r="J278" i="19" s="1"/>
  <c r="I279" i="42"/>
  <c r="J279" i="19" s="1"/>
  <c r="I280" i="42"/>
  <c r="J280" i="19" s="1"/>
  <c r="I281" i="42"/>
  <c r="J281" i="19" s="1"/>
  <c r="I282" i="42"/>
  <c r="J282" i="19" s="1"/>
  <c r="I283" i="42"/>
  <c r="J283" i="19" s="1"/>
  <c r="I284" i="42"/>
  <c r="J284" i="19" s="1"/>
  <c r="I285" i="42"/>
  <c r="J285" i="19" s="1"/>
  <c r="I286" i="42"/>
  <c r="J286" i="19" s="1"/>
  <c r="I287" i="42"/>
  <c r="J287" i="19" s="1"/>
  <c r="I288" i="42"/>
  <c r="J288" i="19" s="1"/>
  <c r="I289" i="42"/>
  <c r="J289" i="19" s="1"/>
  <c r="I290" i="42"/>
  <c r="J290" i="19" s="1"/>
  <c r="I291" i="42"/>
  <c r="J291" i="19" s="1"/>
  <c r="I292" i="42"/>
  <c r="J292" i="19" s="1"/>
  <c r="I293" i="42"/>
  <c r="J293" i="19" s="1"/>
  <c r="I294" i="42"/>
  <c r="J294" i="19" s="1"/>
  <c r="I295" i="42"/>
  <c r="J295" i="19" s="1"/>
  <c r="I296" i="42"/>
  <c r="J296" i="19" s="1"/>
  <c r="I297" i="42"/>
  <c r="J297" i="19" s="1"/>
  <c r="I298" i="42"/>
  <c r="J298" i="19" s="1"/>
  <c r="I299" i="42"/>
  <c r="J299" i="19" s="1"/>
  <c r="I300" i="42"/>
  <c r="J300" i="19" s="1"/>
  <c r="I301" i="42"/>
  <c r="J301" i="19" s="1"/>
  <c r="I302" i="42"/>
  <c r="J302" i="19" s="1"/>
  <c r="I303" i="42"/>
  <c r="J303" i="19" s="1"/>
  <c r="I304" i="42"/>
  <c r="J304" i="19" s="1"/>
  <c r="I305" i="42"/>
  <c r="J305" i="19" s="1"/>
  <c r="I306" i="42"/>
  <c r="J306" i="19" s="1"/>
  <c r="I307" i="42"/>
  <c r="J307" i="19" s="1"/>
  <c r="I308" i="42"/>
  <c r="J308" i="19" s="1"/>
  <c r="I309" i="42"/>
  <c r="J309" i="19" s="1"/>
  <c r="I310" i="42"/>
  <c r="J310" i="19" s="1"/>
  <c r="I311" i="42"/>
  <c r="J311" i="19" s="1"/>
  <c r="I312" i="42"/>
  <c r="J312" i="19" s="1"/>
  <c r="I313" i="42"/>
  <c r="J313" i="19" s="1"/>
  <c r="I314" i="42"/>
  <c r="J314" i="19" s="1"/>
  <c r="I315" i="42"/>
  <c r="J315" i="19" s="1"/>
  <c r="I7" i="42"/>
  <c r="I316" i="42" l="1"/>
  <c r="J7" i="19"/>
  <c r="H4" i="33"/>
  <c r="I4" i="33"/>
  <c r="J4" i="33"/>
  <c r="K4" i="33"/>
  <c r="H3" i="33"/>
  <c r="I3" i="33"/>
  <c r="J3" i="33"/>
  <c r="K3" i="33"/>
  <c r="C315" i="13" l="1"/>
  <c r="T170" i="13" l="1"/>
  <c r="T219" i="13"/>
  <c r="T244" i="13"/>
  <c r="N170" i="42" l="1"/>
  <c r="G5" i="37" l="1"/>
  <c r="S8" i="19"/>
  <c r="S9" i="19"/>
  <c r="S10" i="19"/>
  <c r="S11" i="19"/>
  <c r="S12" i="19"/>
  <c r="S13" i="19"/>
  <c r="S14" i="19"/>
  <c r="S15" i="19"/>
  <c r="S16" i="19"/>
  <c r="S17" i="19"/>
  <c r="S18" i="19"/>
  <c r="S19" i="19"/>
  <c r="S20" i="19"/>
  <c r="S21" i="19"/>
  <c r="S22" i="19"/>
  <c r="S23" i="19"/>
  <c r="S24" i="19"/>
  <c r="S25" i="19"/>
  <c r="S26" i="19"/>
  <c r="S27" i="19"/>
  <c r="S28" i="19"/>
  <c r="S29" i="19"/>
  <c r="S30" i="19"/>
  <c r="S31" i="19"/>
  <c r="S32" i="19"/>
  <c r="S33" i="19"/>
  <c r="S34" i="19"/>
  <c r="S35" i="19"/>
  <c r="S36" i="19"/>
  <c r="S37" i="19"/>
  <c r="S38" i="19"/>
  <c r="S39" i="19"/>
  <c r="S40" i="19"/>
  <c r="S41" i="19"/>
  <c r="S42" i="19"/>
  <c r="S43" i="19"/>
  <c r="S44" i="19"/>
  <c r="S45" i="19"/>
  <c r="S46" i="19"/>
  <c r="S47" i="19"/>
  <c r="S48" i="19"/>
  <c r="S49" i="19"/>
  <c r="S50" i="19"/>
  <c r="S51" i="19"/>
  <c r="S52" i="19"/>
  <c r="S53" i="19"/>
  <c r="S54" i="19"/>
  <c r="S55" i="19"/>
  <c r="S56" i="19"/>
  <c r="S57" i="19"/>
  <c r="S58" i="19"/>
  <c r="S59" i="19"/>
  <c r="S60" i="19"/>
  <c r="S61" i="19"/>
  <c r="S62" i="19"/>
  <c r="S63" i="19"/>
  <c r="S64" i="19"/>
  <c r="S65" i="19"/>
  <c r="S66" i="19"/>
  <c r="S67" i="19"/>
  <c r="S68" i="19"/>
  <c r="S69" i="19"/>
  <c r="S70" i="19"/>
  <c r="S71" i="19"/>
  <c r="S72" i="19"/>
  <c r="S73" i="19"/>
  <c r="S74" i="19"/>
  <c r="S75" i="19"/>
  <c r="S76" i="19"/>
  <c r="S77" i="19"/>
  <c r="S78" i="19"/>
  <c r="S79" i="19"/>
  <c r="S80" i="19"/>
  <c r="S81" i="19"/>
  <c r="S82" i="19"/>
  <c r="S83" i="19"/>
  <c r="S84" i="19"/>
  <c r="S85" i="19"/>
  <c r="S86" i="19"/>
  <c r="S87" i="19"/>
  <c r="S88" i="19"/>
  <c r="S89" i="19"/>
  <c r="S90" i="19"/>
  <c r="S91" i="19"/>
  <c r="S92" i="19"/>
  <c r="S93" i="19"/>
  <c r="S94" i="19"/>
  <c r="S95" i="19"/>
  <c r="S96" i="19"/>
  <c r="S97" i="19"/>
  <c r="S98" i="19"/>
  <c r="S99" i="19"/>
  <c r="S100" i="19"/>
  <c r="S101" i="19"/>
  <c r="S102" i="19"/>
  <c r="S103" i="19"/>
  <c r="S104" i="19"/>
  <c r="S105" i="19"/>
  <c r="S106" i="19"/>
  <c r="S107" i="19"/>
  <c r="S108" i="19"/>
  <c r="S109" i="19"/>
  <c r="S110" i="19"/>
  <c r="S111" i="19"/>
  <c r="S112" i="19"/>
  <c r="S113" i="19"/>
  <c r="S114" i="19"/>
  <c r="S115" i="19"/>
  <c r="S116" i="19"/>
  <c r="S117" i="19"/>
  <c r="S118" i="19"/>
  <c r="S119" i="19"/>
  <c r="S120" i="19"/>
  <c r="S121" i="19"/>
  <c r="S122" i="19"/>
  <c r="S123" i="19"/>
  <c r="S124" i="19"/>
  <c r="S125" i="19"/>
  <c r="S126" i="19"/>
  <c r="S127" i="19"/>
  <c r="S128" i="19"/>
  <c r="S129" i="19"/>
  <c r="S130" i="19"/>
  <c r="S131" i="19"/>
  <c r="S132" i="19"/>
  <c r="S133" i="19"/>
  <c r="S134" i="19"/>
  <c r="S135" i="19"/>
  <c r="S136" i="19"/>
  <c r="S137" i="19"/>
  <c r="S138" i="19"/>
  <c r="S139" i="19"/>
  <c r="S140" i="19"/>
  <c r="S141" i="19"/>
  <c r="S142" i="19"/>
  <c r="S143" i="19"/>
  <c r="S144" i="19"/>
  <c r="S145" i="19"/>
  <c r="S146" i="19"/>
  <c r="S147" i="19"/>
  <c r="S148" i="19"/>
  <c r="S149" i="19"/>
  <c r="S150" i="19"/>
  <c r="S151" i="19"/>
  <c r="S152" i="19"/>
  <c r="S153" i="19"/>
  <c r="S154" i="19"/>
  <c r="S155" i="19"/>
  <c r="S156" i="19"/>
  <c r="S157" i="19"/>
  <c r="S158" i="19"/>
  <c r="S159" i="19"/>
  <c r="S160" i="19"/>
  <c r="S161" i="19"/>
  <c r="S162" i="19"/>
  <c r="S163" i="19"/>
  <c r="S164" i="19"/>
  <c r="S165" i="19"/>
  <c r="S166" i="19"/>
  <c r="S167" i="19"/>
  <c r="S168" i="19"/>
  <c r="S169" i="19"/>
  <c r="S170" i="19"/>
  <c r="S171" i="19"/>
  <c r="S172" i="19"/>
  <c r="S173" i="19"/>
  <c r="S174" i="19"/>
  <c r="S175" i="19"/>
  <c r="S176" i="19"/>
  <c r="S177" i="19"/>
  <c r="S178" i="19"/>
  <c r="S179" i="19"/>
  <c r="S180" i="19"/>
  <c r="S181" i="19"/>
  <c r="S182" i="19"/>
  <c r="S183" i="19"/>
  <c r="S184" i="19"/>
  <c r="S185" i="19"/>
  <c r="S186" i="19"/>
  <c r="S187" i="19"/>
  <c r="S188" i="19"/>
  <c r="S189" i="19"/>
  <c r="S190" i="19"/>
  <c r="S191" i="19"/>
  <c r="S192" i="19"/>
  <c r="S193" i="19"/>
  <c r="S194" i="19"/>
  <c r="S195" i="19"/>
  <c r="S196" i="19"/>
  <c r="S197" i="19"/>
  <c r="S198" i="19"/>
  <c r="S199" i="19"/>
  <c r="S200" i="19"/>
  <c r="S201" i="19"/>
  <c r="S202" i="19"/>
  <c r="S203" i="19"/>
  <c r="S204" i="19"/>
  <c r="S205" i="19"/>
  <c r="S206" i="19"/>
  <c r="S207" i="19"/>
  <c r="S208" i="19"/>
  <c r="S209" i="19"/>
  <c r="S210" i="19"/>
  <c r="S211" i="19"/>
  <c r="S212" i="19"/>
  <c r="S213" i="19"/>
  <c r="S214" i="19"/>
  <c r="S215" i="19"/>
  <c r="S216" i="19"/>
  <c r="S217" i="19"/>
  <c r="S218" i="19"/>
  <c r="S219" i="19"/>
  <c r="S220" i="19"/>
  <c r="S221" i="19"/>
  <c r="S222" i="19"/>
  <c r="S223" i="19"/>
  <c r="S224" i="19"/>
  <c r="S225" i="19"/>
  <c r="S226" i="19"/>
  <c r="S227" i="19"/>
  <c r="S228" i="19"/>
  <c r="S229" i="19"/>
  <c r="S230" i="19"/>
  <c r="S231" i="19"/>
  <c r="S232" i="19"/>
  <c r="S233" i="19"/>
  <c r="S234" i="19"/>
  <c r="S235" i="19"/>
  <c r="S236" i="19"/>
  <c r="S237" i="19"/>
  <c r="S238" i="19"/>
  <c r="S239" i="19"/>
  <c r="S240" i="19"/>
  <c r="S241" i="19"/>
  <c r="S242" i="19"/>
  <c r="S243" i="19"/>
  <c r="S244" i="19"/>
  <c r="S245" i="19"/>
  <c r="S246" i="19"/>
  <c r="S247" i="19"/>
  <c r="S248" i="19"/>
  <c r="S249" i="19"/>
  <c r="S250" i="19"/>
  <c r="S251" i="19"/>
  <c r="S252" i="19"/>
  <c r="S253" i="19"/>
  <c r="S254" i="19"/>
  <c r="S255" i="19"/>
  <c r="S256" i="19"/>
  <c r="S257" i="19"/>
  <c r="S258" i="19"/>
  <c r="S259" i="19"/>
  <c r="S260" i="19"/>
  <c r="S261" i="19"/>
  <c r="S262" i="19"/>
  <c r="S263" i="19"/>
  <c r="S264" i="19"/>
  <c r="S265" i="19"/>
  <c r="S266" i="19"/>
  <c r="S267" i="19"/>
  <c r="S268" i="19"/>
  <c r="S269" i="19"/>
  <c r="S270" i="19"/>
  <c r="S271" i="19"/>
  <c r="S272" i="19"/>
  <c r="S273" i="19"/>
  <c r="S274" i="19"/>
  <c r="S275" i="19"/>
  <c r="S276" i="19"/>
  <c r="S277" i="19"/>
  <c r="S278" i="19"/>
  <c r="S279" i="19"/>
  <c r="S280" i="19"/>
  <c r="S281" i="19"/>
  <c r="S282" i="19"/>
  <c r="S283" i="19"/>
  <c r="S284" i="19"/>
  <c r="S285" i="19"/>
  <c r="S286" i="19"/>
  <c r="S287" i="19"/>
  <c r="S288" i="19"/>
  <c r="S289" i="19"/>
  <c r="S290" i="19"/>
  <c r="S291" i="19"/>
  <c r="S292" i="19"/>
  <c r="S293" i="19"/>
  <c r="S294" i="19"/>
  <c r="S295" i="19"/>
  <c r="S296" i="19"/>
  <c r="S297" i="19"/>
  <c r="S298" i="19"/>
  <c r="S299" i="19"/>
  <c r="S300" i="19"/>
  <c r="S301" i="19"/>
  <c r="S302" i="19"/>
  <c r="S303" i="19"/>
  <c r="S304" i="19"/>
  <c r="S305" i="19"/>
  <c r="S306" i="19"/>
  <c r="S307" i="19"/>
  <c r="S308" i="19"/>
  <c r="S309" i="19"/>
  <c r="S310" i="19"/>
  <c r="S311" i="19"/>
  <c r="S312" i="19"/>
  <c r="S313" i="19"/>
  <c r="S314" i="19"/>
  <c r="S315" i="19"/>
  <c r="S7" i="19"/>
  <c r="C78" i="19" l="1"/>
  <c r="U6" i="42" l="1"/>
  <c r="V6" i="42"/>
  <c r="W316" i="42" l="1"/>
  <c r="X316" i="42"/>
  <c r="Y316" i="42"/>
  <c r="C3" i="13" l="1"/>
  <c r="A243" i="49" l="1"/>
  <c r="A244" i="49"/>
  <c r="A245" i="49"/>
  <c r="A246" i="49"/>
  <c r="A247" i="49"/>
  <c r="A243" i="39" l="1"/>
  <c r="B243" i="39"/>
  <c r="A244" i="39"/>
  <c r="B244" i="39"/>
  <c r="A244" i="13"/>
  <c r="B244" i="13"/>
  <c r="B244" i="49"/>
  <c r="A6" i="12" l="1"/>
  <c r="B6" i="12"/>
  <c r="A7" i="12"/>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306" i="12"/>
  <c r="B306" i="12"/>
  <c r="A307" i="12"/>
  <c r="B307" i="12"/>
  <c r="A308" i="12"/>
  <c r="B308" i="12"/>
  <c r="A309" i="12"/>
  <c r="B309" i="12"/>
  <c r="A310" i="12"/>
  <c r="B310" i="12"/>
  <c r="A311" i="12"/>
  <c r="B311" i="12"/>
  <c r="A312" i="12"/>
  <c r="B312" i="12"/>
  <c r="A313" i="12"/>
  <c r="B313" i="12"/>
  <c r="A6" i="37"/>
  <c r="B6" i="37"/>
  <c r="A7" i="37"/>
  <c r="B7" i="37"/>
  <c r="A8" i="37"/>
  <c r="B8" i="37"/>
  <c r="A9" i="37"/>
  <c r="B9" i="37"/>
  <c r="A10" i="37"/>
  <c r="B10" i="37"/>
  <c r="A11" i="37"/>
  <c r="B11" i="37"/>
  <c r="A12" i="37"/>
  <c r="B12" i="37"/>
  <c r="A13" i="37"/>
  <c r="B13" i="37"/>
  <c r="A14" i="37"/>
  <c r="B14" i="37"/>
  <c r="A15" i="37"/>
  <c r="B15" i="37"/>
  <c r="A16" i="37"/>
  <c r="B16" i="37"/>
  <c r="A17" i="37"/>
  <c r="B17" i="37"/>
  <c r="A18" i="37"/>
  <c r="B18" i="37"/>
  <c r="A19" i="37"/>
  <c r="B19" i="37"/>
  <c r="A20" i="37"/>
  <c r="B20" i="37"/>
  <c r="A21" i="37"/>
  <c r="B21" i="37"/>
  <c r="A22" i="37"/>
  <c r="B22" i="37"/>
  <c r="A23" i="37"/>
  <c r="B23" i="37"/>
  <c r="A24" i="37"/>
  <c r="B24" i="37"/>
  <c r="A25" i="37"/>
  <c r="B25" i="37"/>
  <c r="A26" i="37"/>
  <c r="B26" i="37"/>
  <c r="A27" i="37"/>
  <c r="B27" i="37"/>
  <c r="A28" i="37"/>
  <c r="B28" i="37"/>
  <c r="A29" i="37"/>
  <c r="B29" i="37"/>
  <c r="A30" i="37"/>
  <c r="B30" i="37"/>
  <c r="A31" i="37"/>
  <c r="B31" i="37"/>
  <c r="A32" i="37"/>
  <c r="B32" i="37"/>
  <c r="A33" i="37"/>
  <c r="B33" i="37"/>
  <c r="A34" i="37"/>
  <c r="B34" i="37"/>
  <c r="A35" i="37"/>
  <c r="B35" i="37"/>
  <c r="A36" i="37"/>
  <c r="B36" i="37"/>
  <c r="A37" i="37"/>
  <c r="B37" i="37"/>
  <c r="A38" i="37"/>
  <c r="B38" i="37"/>
  <c r="A39" i="37"/>
  <c r="B39" i="37"/>
  <c r="A40" i="37"/>
  <c r="B40" i="37"/>
  <c r="A41" i="37"/>
  <c r="B41" i="37"/>
  <c r="A42" i="37"/>
  <c r="B42" i="37"/>
  <c r="A43" i="37"/>
  <c r="B43" i="37"/>
  <c r="A44" i="37"/>
  <c r="B44" i="37"/>
  <c r="A45" i="37"/>
  <c r="B45" i="37"/>
  <c r="A46" i="37"/>
  <c r="B46" i="37"/>
  <c r="A47" i="37"/>
  <c r="B47" i="37"/>
  <c r="A48" i="37"/>
  <c r="B48" i="37"/>
  <c r="A49" i="37"/>
  <c r="B49" i="37"/>
  <c r="A50" i="37"/>
  <c r="B50" i="37"/>
  <c r="A51" i="37"/>
  <c r="B51" i="37"/>
  <c r="A52" i="37"/>
  <c r="B52" i="37"/>
  <c r="A53" i="37"/>
  <c r="B53" i="37"/>
  <c r="A54" i="37"/>
  <c r="B54" i="37"/>
  <c r="A55" i="37"/>
  <c r="B55" i="37"/>
  <c r="A56" i="37"/>
  <c r="B56" i="37"/>
  <c r="A57" i="37"/>
  <c r="B57" i="37"/>
  <c r="A58" i="37"/>
  <c r="B58" i="37"/>
  <c r="A59" i="37"/>
  <c r="B59" i="37"/>
  <c r="A60" i="37"/>
  <c r="B60" i="37"/>
  <c r="A61" i="37"/>
  <c r="B61" i="37"/>
  <c r="A62" i="37"/>
  <c r="B62" i="37"/>
  <c r="A63" i="37"/>
  <c r="B63" i="37"/>
  <c r="A64" i="37"/>
  <c r="B64" i="37"/>
  <c r="A65" i="37"/>
  <c r="B65" i="37"/>
  <c r="A66" i="37"/>
  <c r="B66" i="37"/>
  <c r="A67" i="37"/>
  <c r="B67" i="37"/>
  <c r="A68" i="37"/>
  <c r="B68" i="37"/>
  <c r="A69" i="37"/>
  <c r="B69" i="37"/>
  <c r="A70" i="37"/>
  <c r="B70" i="37"/>
  <c r="A71" i="37"/>
  <c r="B71" i="37"/>
  <c r="A72" i="37"/>
  <c r="B72" i="37"/>
  <c r="A73" i="37"/>
  <c r="B73" i="37"/>
  <c r="A74" i="37"/>
  <c r="B74" i="37"/>
  <c r="A75" i="37"/>
  <c r="B75" i="37"/>
  <c r="A76" i="37"/>
  <c r="B76" i="37"/>
  <c r="A77" i="37"/>
  <c r="B77" i="37"/>
  <c r="A78" i="37"/>
  <c r="B78" i="37"/>
  <c r="A79" i="37"/>
  <c r="B79" i="37"/>
  <c r="A80" i="37"/>
  <c r="B80" i="37"/>
  <c r="A81" i="37"/>
  <c r="B81" i="37"/>
  <c r="A82" i="37"/>
  <c r="B82" i="37"/>
  <c r="A83" i="37"/>
  <c r="B83" i="37"/>
  <c r="A84" i="37"/>
  <c r="B84" i="37"/>
  <c r="A85" i="37"/>
  <c r="B85" i="37"/>
  <c r="A86" i="37"/>
  <c r="B86" i="37"/>
  <c r="A87" i="37"/>
  <c r="B87" i="37"/>
  <c r="A88" i="37"/>
  <c r="B88" i="37"/>
  <c r="A89" i="37"/>
  <c r="B89" i="37"/>
  <c r="A90" i="37"/>
  <c r="B90" i="37"/>
  <c r="A91" i="37"/>
  <c r="B91" i="37"/>
  <c r="A92" i="37"/>
  <c r="B92" i="37"/>
  <c r="A93" i="37"/>
  <c r="B93" i="37"/>
  <c r="A94" i="37"/>
  <c r="B94" i="37"/>
  <c r="A95" i="37"/>
  <c r="B95" i="37"/>
  <c r="A96" i="37"/>
  <c r="B96" i="37"/>
  <c r="A97" i="37"/>
  <c r="B97" i="37"/>
  <c r="A98" i="37"/>
  <c r="B98" i="37"/>
  <c r="A99" i="37"/>
  <c r="B99" i="37"/>
  <c r="A100" i="37"/>
  <c r="B100" i="37"/>
  <c r="A101" i="37"/>
  <c r="B101" i="37"/>
  <c r="A102" i="37"/>
  <c r="B102" i="37"/>
  <c r="A103" i="37"/>
  <c r="B103" i="37"/>
  <c r="A104" i="37"/>
  <c r="B104" i="37"/>
  <c r="A105" i="37"/>
  <c r="B105" i="37"/>
  <c r="A106" i="37"/>
  <c r="B106" i="37"/>
  <c r="A107" i="37"/>
  <c r="B107" i="37"/>
  <c r="A108" i="37"/>
  <c r="B108" i="37"/>
  <c r="A109" i="37"/>
  <c r="B109" i="37"/>
  <c r="A110" i="37"/>
  <c r="B110" i="37"/>
  <c r="A111" i="37"/>
  <c r="B111" i="37"/>
  <c r="A112" i="37"/>
  <c r="B112" i="37"/>
  <c r="A113" i="37"/>
  <c r="B113" i="37"/>
  <c r="A114" i="37"/>
  <c r="B114" i="37"/>
  <c r="A115" i="37"/>
  <c r="B115" i="37"/>
  <c r="A116" i="37"/>
  <c r="B116" i="37"/>
  <c r="A117" i="37"/>
  <c r="B117" i="37"/>
  <c r="A118" i="37"/>
  <c r="B118" i="37"/>
  <c r="A119" i="37"/>
  <c r="B119" i="37"/>
  <c r="A120" i="37"/>
  <c r="B120" i="37"/>
  <c r="A121" i="37"/>
  <c r="B121" i="37"/>
  <c r="A122" i="37"/>
  <c r="B122" i="37"/>
  <c r="A123" i="37"/>
  <c r="B123" i="37"/>
  <c r="A124" i="37"/>
  <c r="B124" i="37"/>
  <c r="A125" i="37"/>
  <c r="B125" i="37"/>
  <c r="A126" i="37"/>
  <c r="B126" i="37"/>
  <c r="A127" i="37"/>
  <c r="B127" i="37"/>
  <c r="A128" i="37"/>
  <c r="B128" i="37"/>
  <c r="A129" i="37"/>
  <c r="B129" i="37"/>
  <c r="A130" i="37"/>
  <c r="B130" i="37"/>
  <c r="A131" i="37"/>
  <c r="B131" i="37"/>
  <c r="A132" i="37"/>
  <c r="B132" i="37"/>
  <c r="A133" i="37"/>
  <c r="B133" i="37"/>
  <c r="A134" i="37"/>
  <c r="B134" i="37"/>
  <c r="A135" i="37"/>
  <c r="B135" i="37"/>
  <c r="A136" i="37"/>
  <c r="B136" i="37"/>
  <c r="A137" i="37"/>
  <c r="B137" i="37"/>
  <c r="A138" i="37"/>
  <c r="B138" i="37"/>
  <c r="A139" i="37"/>
  <c r="B139" i="37"/>
  <c r="A140" i="37"/>
  <c r="B140" i="37"/>
  <c r="A141" i="37"/>
  <c r="B141" i="37"/>
  <c r="A142" i="37"/>
  <c r="B142" i="37"/>
  <c r="A143" i="37"/>
  <c r="B143" i="37"/>
  <c r="A144" i="37"/>
  <c r="B144" i="37"/>
  <c r="A145" i="37"/>
  <c r="B145" i="37"/>
  <c r="A146" i="37"/>
  <c r="B146" i="37"/>
  <c r="A147" i="37"/>
  <c r="B147" i="37"/>
  <c r="A148" i="37"/>
  <c r="B148" i="37"/>
  <c r="A149" i="37"/>
  <c r="B149" i="37"/>
  <c r="A150" i="37"/>
  <c r="B150" i="37"/>
  <c r="A151" i="37"/>
  <c r="B151" i="37"/>
  <c r="A152" i="37"/>
  <c r="B152" i="37"/>
  <c r="A153" i="37"/>
  <c r="B153" i="37"/>
  <c r="A154" i="37"/>
  <c r="B154" i="37"/>
  <c r="A155" i="37"/>
  <c r="B155" i="37"/>
  <c r="A156" i="37"/>
  <c r="B156" i="37"/>
  <c r="A157" i="37"/>
  <c r="B157" i="37"/>
  <c r="A158" i="37"/>
  <c r="B158" i="37"/>
  <c r="A159" i="37"/>
  <c r="B159" i="37"/>
  <c r="A160" i="37"/>
  <c r="B160" i="37"/>
  <c r="A161" i="37"/>
  <c r="B161" i="37"/>
  <c r="A162" i="37"/>
  <c r="B162" i="37"/>
  <c r="A163" i="37"/>
  <c r="B163" i="37"/>
  <c r="A164" i="37"/>
  <c r="B164" i="37"/>
  <c r="A165" i="37"/>
  <c r="B165" i="37"/>
  <c r="A166" i="37"/>
  <c r="B166" i="37"/>
  <c r="A167" i="37"/>
  <c r="B167" i="37"/>
  <c r="A168" i="37"/>
  <c r="B168" i="37"/>
  <c r="A169" i="37"/>
  <c r="B169" i="37"/>
  <c r="A170" i="37"/>
  <c r="B170" i="37"/>
  <c r="A171" i="37"/>
  <c r="B171" i="37"/>
  <c r="A172" i="37"/>
  <c r="B172" i="37"/>
  <c r="A173" i="37"/>
  <c r="B173" i="37"/>
  <c r="A174" i="37"/>
  <c r="B174" i="37"/>
  <c r="A175" i="37"/>
  <c r="B175" i="37"/>
  <c r="A176" i="37"/>
  <c r="B176" i="37"/>
  <c r="A177" i="37"/>
  <c r="B177" i="37"/>
  <c r="A178" i="37"/>
  <c r="B178" i="37"/>
  <c r="A179" i="37"/>
  <c r="B179" i="37"/>
  <c r="A180" i="37"/>
  <c r="B180" i="37"/>
  <c r="A181" i="37"/>
  <c r="B181" i="37"/>
  <c r="A182" i="37"/>
  <c r="B182" i="37"/>
  <c r="A183" i="37"/>
  <c r="B183" i="37"/>
  <c r="A184" i="37"/>
  <c r="B184" i="37"/>
  <c r="A185" i="37"/>
  <c r="B185" i="37"/>
  <c r="A186" i="37"/>
  <c r="B186" i="37"/>
  <c r="A187" i="37"/>
  <c r="B187" i="37"/>
  <c r="A188" i="37"/>
  <c r="B188" i="37"/>
  <c r="A189" i="37"/>
  <c r="B189" i="37"/>
  <c r="A190" i="37"/>
  <c r="B190" i="37"/>
  <c r="A191" i="37"/>
  <c r="B191" i="37"/>
  <c r="A192" i="37"/>
  <c r="B192" i="37"/>
  <c r="A193" i="37"/>
  <c r="B193" i="37"/>
  <c r="A194" i="37"/>
  <c r="B194" i="37"/>
  <c r="A195" i="37"/>
  <c r="B195" i="37"/>
  <c r="A196" i="37"/>
  <c r="B196" i="37"/>
  <c r="A197" i="37"/>
  <c r="B197" i="37"/>
  <c r="A198" i="37"/>
  <c r="B198" i="37"/>
  <c r="A199" i="37"/>
  <c r="B199" i="37"/>
  <c r="A200" i="37"/>
  <c r="B200" i="37"/>
  <c r="A201" i="37"/>
  <c r="B201" i="37"/>
  <c r="A202" i="37"/>
  <c r="B202" i="37"/>
  <c r="A203" i="37"/>
  <c r="B203" i="37"/>
  <c r="A204" i="37"/>
  <c r="B204" i="37"/>
  <c r="A205" i="37"/>
  <c r="B205" i="37"/>
  <c r="A206" i="37"/>
  <c r="B206" i="37"/>
  <c r="A207" i="37"/>
  <c r="B207" i="37"/>
  <c r="A208" i="37"/>
  <c r="B208" i="37"/>
  <c r="A209" i="37"/>
  <c r="B209" i="37"/>
  <c r="A210" i="37"/>
  <c r="B210" i="37"/>
  <c r="A211" i="37"/>
  <c r="B211" i="37"/>
  <c r="A212" i="37"/>
  <c r="B212" i="37"/>
  <c r="A213" i="37"/>
  <c r="B213" i="37"/>
  <c r="A214" i="37"/>
  <c r="B214" i="37"/>
  <c r="A215" i="37"/>
  <c r="B215" i="37"/>
  <c r="A216" i="37"/>
  <c r="B216" i="37"/>
  <c r="A217" i="37"/>
  <c r="B217" i="37"/>
  <c r="A218" i="37"/>
  <c r="B218" i="37"/>
  <c r="A219" i="37"/>
  <c r="B219" i="37"/>
  <c r="A220" i="37"/>
  <c r="B220" i="37"/>
  <c r="A221" i="37"/>
  <c r="B221" i="37"/>
  <c r="A222" i="37"/>
  <c r="B222" i="37"/>
  <c r="A223" i="37"/>
  <c r="B223" i="37"/>
  <c r="A224" i="37"/>
  <c r="B224" i="37"/>
  <c r="A225" i="37"/>
  <c r="B225" i="37"/>
  <c r="A226" i="37"/>
  <c r="B226" i="37"/>
  <c r="A227" i="37"/>
  <c r="B227" i="37"/>
  <c r="A228" i="37"/>
  <c r="B228" i="37"/>
  <c r="A229" i="37"/>
  <c r="B229" i="37"/>
  <c r="A230" i="37"/>
  <c r="B230" i="37"/>
  <c r="A231" i="37"/>
  <c r="B231" i="37"/>
  <c r="A232" i="37"/>
  <c r="B232" i="37"/>
  <c r="A233" i="37"/>
  <c r="B233" i="37"/>
  <c r="A234" i="37"/>
  <c r="B234" i="37"/>
  <c r="A235" i="37"/>
  <c r="B235" i="37"/>
  <c r="A236" i="37"/>
  <c r="B236" i="37"/>
  <c r="A237" i="37"/>
  <c r="B237" i="37"/>
  <c r="A238" i="37"/>
  <c r="B238" i="37"/>
  <c r="A239" i="37"/>
  <c r="B239" i="37"/>
  <c r="A240" i="37"/>
  <c r="B240" i="37"/>
  <c r="A241" i="37"/>
  <c r="B241" i="37"/>
  <c r="A242" i="37"/>
  <c r="B242" i="37"/>
  <c r="A243" i="37"/>
  <c r="B243" i="37"/>
  <c r="A244" i="37"/>
  <c r="B244" i="37"/>
  <c r="A245" i="37"/>
  <c r="B245" i="37"/>
  <c r="A246" i="37"/>
  <c r="B246" i="37"/>
  <c r="A247" i="37"/>
  <c r="B247" i="37"/>
  <c r="A248" i="37"/>
  <c r="B248" i="37"/>
  <c r="A249" i="37"/>
  <c r="B249" i="37"/>
  <c r="A250" i="37"/>
  <c r="B250" i="37"/>
  <c r="A251" i="37"/>
  <c r="B251" i="37"/>
  <c r="A252" i="37"/>
  <c r="B252" i="37"/>
  <c r="A253" i="37"/>
  <c r="B253" i="37"/>
  <c r="A254" i="37"/>
  <c r="B254" i="37"/>
  <c r="A255" i="37"/>
  <c r="B255" i="37"/>
  <c r="A256" i="37"/>
  <c r="B256" i="37"/>
  <c r="A257" i="37"/>
  <c r="B257" i="37"/>
  <c r="A258" i="37"/>
  <c r="B258" i="37"/>
  <c r="A259" i="37"/>
  <c r="B259" i="37"/>
  <c r="A260" i="37"/>
  <c r="B260" i="37"/>
  <c r="A261" i="37"/>
  <c r="B261" i="37"/>
  <c r="A262" i="37"/>
  <c r="B262" i="37"/>
  <c r="A263" i="37"/>
  <c r="B263" i="37"/>
  <c r="A264" i="37"/>
  <c r="B264" i="37"/>
  <c r="A265" i="37"/>
  <c r="B265" i="37"/>
  <c r="A266" i="37"/>
  <c r="B266" i="37"/>
  <c r="A267" i="37"/>
  <c r="B267" i="37"/>
  <c r="A268" i="37"/>
  <c r="B268" i="37"/>
  <c r="A269" i="37"/>
  <c r="B269" i="37"/>
  <c r="A270" i="37"/>
  <c r="B270" i="37"/>
  <c r="A271" i="37"/>
  <c r="B271" i="37"/>
  <c r="A272" i="37"/>
  <c r="B272" i="37"/>
  <c r="A273" i="37"/>
  <c r="B273" i="37"/>
  <c r="A274" i="37"/>
  <c r="B274" i="37"/>
  <c r="A275" i="37"/>
  <c r="B275" i="37"/>
  <c r="A276" i="37"/>
  <c r="B276" i="37"/>
  <c r="A277" i="37"/>
  <c r="B277" i="37"/>
  <c r="A278" i="37"/>
  <c r="B278" i="37"/>
  <c r="A279" i="37"/>
  <c r="B279" i="37"/>
  <c r="A280" i="37"/>
  <c r="B280" i="37"/>
  <c r="A281" i="37"/>
  <c r="B281" i="37"/>
  <c r="A282" i="37"/>
  <c r="B282" i="37"/>
  <c r="A283" i="37"/>
  <c r="B283" i="37"/>
  <c r="A284" i="37"/>
  <c r="B284" i="37"/>
  <c r="A285" i="37"/>
  <c r="B285" i="37"/>
  <c r="A286" i="37"/>
  <c r="B286" i="37"/>
  <c r="A287" i="37"/>
  <c r="B287" i="37"/>
  <c r="A288" i="37"/>
  <c r="B288" i="37"/>
  <c r="A289" i="37"/>
  <c r="B289" i="37"/>
  <c r="A290" i="37"/>
  <c r="B290" i="37"/>
  <c r="A291" i="37"/>
  <c r="B291" i="37"/>
  <c r="A292" i="37"/>
  <c r="B292" i="37"/>
  <c r="A293" i="37"/>
  <c r="B293" i="37"/>
  <c r="A294" i="37"/>
  <c r="B294" i="37"/>
  <c r="A295" i="37"/>
  <c r="B295" i="37"/>
  <c r="A296" i="37"/>
  <c r="B296" i="37"/>
  <c r="A297" i="37"/>
  <c r="B297" i="37"/>
  <c r="A298" i="37"/>
  <c r="B298" i="37"/>
  <c r="A299" i="37"/>
  <c r="B299" i="37"/>
  <c r="A300" i="37"/>
  <c r="B300" i="37"/>
  <c r="A301" i="37"/>
  <c r="B301" i="37"/>
  <c r="A302" i="37"/>
  <c r="B302" i="37"/>
  <c r="A303" i="37"/>
  <c r="B303" i="37"/>
  <c r="A304" i="37"/>
  <c r="B304" i="37"/>
  <c r="A305" i="37"/>
  <c r="B305" i="37"/>
  <c r="A306" i="37"/>
  <c r="B306" i="37"/>
  <c r="A307" i="37"/>
  <c r="B307" i="37"/>
  <c r="A308" i="37"/>
  <c r="B308" i="37"/>
  <c r="A309" i="37"/>
  <c r="B309" i="37"/>
  <c r="A310" i="37"/>
  <c r="B310" i="37"/>
  <c r="A311" i="37"/>
  <c r="B311" i="37"/>
  <c r="A312" i="37"/>
  <c r="B312" i="37"/>
  <c r="A313" i="37"/>
  <c r="B313" i="37"/>
  <c r="G5" i="11"/>
  <c r="A6" i="11"/>
  <c r="B6" i="11"/>
  <c r="A7" i="11"/>
  <c r="B7" i="11"/>
  <c r="A8" i="11"/>
  <c r="B8" i="11"/>
  <c r="A9" i="11"/>
  <c r="B9" i="11"/>
  <c r="A10" i="11"/>
  <c r="B10" i="11"/>
  <c r="A11" i="11"/>
  <c r="B11" i="11"/>
  <c r="A12" i="11"/>
  <c r="B12" i="11"/>
  <c r="A13" i="11"/>
  <c r="B13" i="11"/>
  <c r="A14" i="11"/>
  <c r="B14" i="11"/>
  <c r="A15" i="11"/>
  <c r="B15" i="11"/>
  <c r="A16" i="11"/>
  <c r="B16" i="11"/>
  <c r="A17" i="11"/>
  <c r="B17" i="11"/>
  <c r="A18" i="11"/>
  <c r="B18" i="11"/>
  <c r="A19" i="11"/>
  <c r="B19" i="11"/>
  <c r="A20" i="11"/>
  <c r="B20" i="11"/>
  <c r="A21" i="11"/>
  <c r="B21" i="11"/>
  <c r="A22" i="11"/>
  <c r="B22" i="11"/>
  <c r="A23" i="11"/>
  <c r="B23" i="11"/>
  <c r="A24" i="11"/>
  <c r="B24" i="11"/>
  <c r="A25" i="11"/>
  <c r="B25" i="11"/>
  <c r="A26" i="11"/>
  <c r="B26" i="11"/>
  <c r="A27" i="11"/>
  <c r="B27" i="11"/>
  <c r="A28" i="11"/>
  <c r="B28" i="11"/>
  <c r="A29" i="11"/>
  <c r="B29" i="11"/>
  <c r="A30" i="11"/>
  <c r="B30" i="11"/>
  <c r="A31" i="11"/>
  <c r="B31" i="11"/>
  <c r="A32" i="11"/>
  <c r="B32" i="11"/>
  <c r="A33" i="11"/>
  <c r="B33" i="11"/>
  <c r="A34" i="11"/>
  <c r="B34" i="11"/>
  <c r="A35" i="11"/>
  <c r="B35" i="11"/>
  <c r="A36" i="11"/>
  <c r="B36" i="11"/>
  <c r="A37" i="11"/>
  <c r="B37" i="11"/>
  <c r="A38" i="11"/>
  <c r="B38" i="11"/>
  <c r="A39" i="11"/>
  <c r="B39" i="11"/>
  <c r="A40" i="11"/>
  <c r="B40" i="11"/>
  <c r="A41" i="11"/>
  <c r="B41" i="11"/>
  <c r="A42" i="11"/>
  <c r="B42" i="11"/>
  <c r="A43" i="11"/>
  <c r="B43" i="11"/>
  <c r="A44" i="11"/>
  <c r="B44" i="11"/>
  <c r="A45" i="11"/>
  <c r="B45" i="11"/>
  <c r="A46" i="11"/>
  <c r="B46" i="11"/>
  <c r="A47" i="11"/>
  <c r="B47" i="11"/>
  <c r="A48" i="11"/>
  <c r="B48" i="11"/>
  <c r="A49" i="11"/>
  <c r="B49" i="11"/>
  <c r="A50" i="11"/>
  <c r="B50" i="11"/>
  <c r="A51" i="11"/>
  <c r="B51" i="11"/>
  <c r="A52" i="11"/>
  <c r="B52" i="11"/>
  <c r="A53" i="11"/>
  <c r="B53" i="11"/>
  <c r="A54" i="11"/>
  <c r="B54" i="11"/>
  <c r="A55" i="11"/>
  <c r="B55" i="11"/>
  <c r="A56" i="11"/>
  <c r="B56" i="11"/>
  <c r="A57" i="11"/>
  <c r="B57" i="11"/>
  <c r="A58" i="11"/>
  <c r="B58" i="11"/>
  <c r="A59" i="11"/>
  <c r="B59" i="11"/>
  <c r="A60" i="11"/>
  <c r="B60" i="11"/>
  <c r="A61" i="11"/>
  <c r="B61" i="11"/>
  <c r="A62" i="11"/>
  <c r="B62" i="11"/>
  <c r="A63" i="11"/>
  <c r="B63" i="11"/>
  <c r="A64" i="11"/>
  <c r="B64" i="11"/>
  <c r="A65" i="11"/>
  <c r="B65" i="11"/>
  <c r="A66" i="11"/>
  <c r="B66" i="11"/>
  <c r="A67" i="11"/>
  <c r="B67" i="11"/>
  <c r="A68" i="11"/>
  <c r="B68" i="11"/>
  <c r="A69" i="11"/>
  <c r="B69" i="11"/>
  <c r="A70" i="11"/>
  <c r="B70" i="11"/>
  <c r="A71" i="11"/>
  <c r="B71" i="11"/>
  <c r="A72" i="11"/>
  <c r="B72" i="11"/>
  <c r="A73" i="11"/>
  <c r="B73" i="11"/>
  <c r="A74" i="11"/>
  <c r="B74" i="11"/>
  <c r="A75" i="11"/>
  <c r="B75" i="11"/>
  <c r="A76" i="11"/>
  <c r="B76" i="11"/>
  <c r="A77" i="11"/>
  <c r="B77" i="11"/>
  <c r="A78" i="11"/>
  <c r="B78" i="11"/>
  <c r="A79" i="11"/>
  <c r="B79" i="11"/>
  <c r="A80" i="11"/>
  <c r="B80" i="11"/>
  <c r="A81" i="11"/>
  <c r="B81" i="11"/>
  <c r="A82" i="11"/>
  <c r="B82" i="11"/>
  <c r="A83" i="11"/>
  <c r="B83" i="11"/>
  <c r="A84" i="11"/>
  <c r="B84" i="11"/>
  <c r="A85" i="11"/>
  <c r="B85" i="11"/>
  <c r="A86" i="11"/>
  <c r="B86" i="11"/>
  <c r="A87" i="11"/>
  <c r="B87" i="11"/>
  <c r="A88" i="11"/>
  <c r="B88" i="11"/>
  <c r="A89" i="11"/>
  <c r="B89" i="11"/>
  <c r="A90" i="11"/>
  <c r="B90" i="11"/>
  <c r="A91" i="11"/>
  <c r="B91" i="11"/>
  <c r="A92" i="11"/>
  <c r="B92" i="11"/>
  <c r="A93" i="11"/>
  <c r="B93" i="11"/>
  <c r="A94" i="11"/>
  <c r="B94" i="11"/>
  <c r="A95" i="11"/>
  <c r="B95" i="11"/>
  <c r="A96" i="11"/>
  <c r="B96" i="11"/>
  <c r="A97" i="11"/>
  <c r="B97" i="11"/>
  <c r="A98" i="11"/>
  <c r="B98" i="11"/>
  <c r="A99" i="11"/>
  <c r="B99" i="11"/>
  <c r="A100" i="11"/>
  <c r="B100" i="11"/>
  <c r="A101" i="11"/>
  <c r="B101" i="11"/>
  <c r="A102" i="11"/>
  <c r="B102" i="11"/>
  <c r="A103" i="11"/>
  <c r="B103" i="11"/>
  <c r="A104" i="11"/>
  <c r="B104" i="11"/>
  <c r="A105" i="11"/>
  <c r="B105" i="11"/>
  <c r="A106" i="11"/>
  <c r="B106" i="11"/>
  <c r="A107" i="11"/>
  <c r="B107" i="11"/>
  <c r="A108" i="11"/>
  <c r="B108" i="11"/>
  <c r="A109" i="11"/>
  <c r="B109" i="11"/>
  <c r="A110" i="11"/>
  <c r="B110" i="11"/>
  <c r="A111" i="11"/>
  <c r="B111" i="11"/>
  <c r="A112" i="11"/>
  <c r="B112" i="11"/>
  <c r="A113" i="11"/>
  <c r="B113" i="11"/>
  <c r="A114" i="11"/>
  <c r="B114" i="11"/>
  <c r="A115" i="11"/>
  <c r="B115" i="11"/>
  <c r="A116" i="11"/>
  <c r="B116" i="11"/>
  <c r="A117" i="11"/>
  <c r="B117" i="11"/>
  <c r="A118" i="11"/>
  <c r="B118" i="11"/>
  <c r="A119" i="11"/>
  <c r="B119" i="11"/>
  <c r="A120" i="11"/>
  <c r="B120" i="11"/>
  <c r="A121" i="11"/>
  <c r="B121" i="11"/>
  <c r="A122" i="11"/>
  <c r="B122" i="11"/>
  <c r="A123" i="11"/>
  <c r="B123" i="11"/>
  <c r="A124" i="11"/>
  <c r="B124" i="11"/>
  <c r="A125" i="11"/>
  <c r="B125" i="11"/>
  <c r="A126" i="11"/>
  <c r="B126" i="11"/>
  <c r="A127" i="11"/>
  <c r="B127" i="11"/>
  <c r="A128" i="11"/>
  <c r="B128" i="11"/>
  <c r="A129" i="11"/>
  <c r="B129" i="11"/>
  <c r="A130" i="11"/>
  <c r="B130" i="11"/>
  <c r="A131" i="11"/>
  <c r="B131" i="11"/>
  <c r="A132" i="11"/>
  <c r="B132" i="11"/>
  <c r="A133" i="11"/>
  <c r="B133" i="11"/>
  <c r="A134" i="11"/>
  <c r="B134" i="11"/>
  <c r="A135" i="11"/>
  <c r="B135" i="11"/>
  <c r="A136" i="11"/>
  <c r="B136" i="11"/>
  <c r="A137" i="11"/>
  <c r="B137" i="11"/>
  <c r="A138" i="11"/>
  <c r="B138" i="11"/>
  <c r="A139" i="11"/>
  <c r="B139" i="11"/>
  <c r="A140" i="11"/>
  <c r="B140" i="11"/>
  <c r="A141" i="11"/>
  <c r="B141" i="11"/>
  <c r="A142" i="11"/>
  <c r="B142" i="11"/>
  <c r="A143" i="11"/>
  <c r="B143" i="11"/>
  <c r="A144" i="11"/>
  <c r="B144" i="11"/>
  <c r="A145" i="11"/>
  <c r="B145" i="11"/>
  <c r="A146" i="11"/>
  <c r="B146" i="11"/>
  <c r="A147" i="11"/>
  <c r="B147" i="11"/>
  <c r="A148" i="11"/>
  <c r="B148" i="11"/>
  <c r="A149" i="11"/>
  <c r="B149" i="11"/>
  <c r="A150" i="11"/>
  <c r="B150" i="11"/>
  <c r="A151" i="11"/>
  <c r="B151" i="11"/>
  <c r="A152" i="11"/>
  <c r="B152" i="11"/>
  <c r="A153" i="11"/>
  <c r="B153" i="11"/>
  <c r="A154" i="11"/>
  <c r="B154" i="11"/>
  <c r="A155" i="11"/>
  <c r="B155" i="11"/>
  <c r="A156" i="11"/>
  <c r="B156" i="11"/>
  <c r="A157" i="11"/>
  <c r="B157" i="11"/>
  <c r="A158" i="11"/>
  <c r="B158" i="11"/>
  <c r="A159" i="11"/>
  <c r="B159" i="11"/>
  <c r="A160" i="11"/>
  <c r="B160" i="11"/>
  <c r="A161" i="11"/>
  <c r="B161" i="11"/>
  <c r="A162" i="11"/>
  <c r="B162" i="11"/>
  <c r="A163" i="11"/>
  <c r="B163" i="11"/>
  <c r="A164" i="11"/>
  <c r="B164" i="11"/>
  <c r="A165" i="11"/>
  <c r="B165" i="11"/>
  <c r="A166" i="11"/>
  <c r="B166" i="11"/>
  <c r="A167" i="11"/>
  <c r="B167" i="11"/>
  <c r="A168" i="11"/>
  <c r="B168" i="11"/>
  <c r="A169" i="11"/>
  <c r="B169" i="11"/>
  <c r="A170" i="11"/>
  <c r="B170" i="11"/>
  <c r="A171" i="11"/>
  <c r="B171" i="11"/>
  <c r="A172" i="11"/>
  <c r="B172" i="11"/>
  <c r="A173" i="11"/>
  <c r="B173" i="11"/>
  <c r="A174" i="11"/>
  <c r="B174" i="11"/>
  <c r="A175" i="11"/>
  <c r="B175" i="11"/>
  <c r="A176" i="11"/>
  <c r="B176" i="11"/>
  <c r="A177" i="11"/>
  <c r="B177" i="11"/>
  <c r="A178" i="11"/>
  <c r="B178" i="11"/>
  <c r="A179" i="11"/>
  <c r="B179" i="11"/>
  <c r="A180" i="11"/>
  <c r="B180" i="11"/>
  <c r="A181" i="11"/>
  <c r="B181" i="11"/>
  <c r="A182" i="11"/>
  <c r="B182" i="11"/>
  <c r="A183" i="11"/>
  <c r="B183" i="11"/>
  <c r="A184" i="11"/>
  <c r="B184" i="11"/>
  <c r="A185" i="11"/>
  <c r="B185" i="11"/>
  <c r="A186" i="11"/>
  <c r="B186" i="11"/>
  <c r="A187" i="11"/>
  <c r="B187" i="11"/>
  <c r="A188" i="11"/>
  <c r="B188" i="11"/>
  <c r="A189" i="11"/>
  <c r="B189" i="11"/>
  <c r="A190" i="11"/>
  <c r="B190" i="11"/>
  <c r="A191" i="11"/>
  <c r="B191" i="11"/>
  <c r="A192" i="11"/>
  <c r="B192" i="11"/>
  <c r="A193" i="11"/>
  <c r="B193" i="11"/>
  <c r="A194" i="11"/>
  <c r="B194" i="11"/>
  <c r="A195" i="11"/>
  <c r="B195" i="11"/>
  <c r="A196" i="11"/>
  <c r="B196" i="11"/>
  <c r="A197" i="11"/>
  <c r="B197" i="11"/>
  <c r="A198" i="11"/>
  <c r="B198" i="11"/>
  <c r="A199" i="11"/>
  <c r="B199" i="11"/>
  <c r="A200" i="11"/>
  <c r="B200" i="11"/>
  <c r="A201" i="11"/>
  <c r="B201" i="11"/>
  <c r="A202" i="11"/>
  <c r="B202" i="11"/>
  <c r="A203" i="11"/>
  <c r="B203" i="11"/>
  <c r="A204" i="11"/>
  <c r="B204" i="11"/>
  <c r="A205" i="11"/>
  <c r="B205" i="11"/>
  <c r="A206" i="11"/>
  <c r="B206" i="11"/>
  <c r="A207" i="11"/>
  <c r="B207" i="11"/>
  <c r="A208" i="11"/>
  <c r="B208" i="11"/>
  <c r="A209" i="11"/>
  <c r="B209" i="11"/>
  <c r="A210" i="11"/>
  <c r="B210" i="11"/>
  <c r="A211" i="11"/>
  <c r="B211" i="11"/>
  <c r="A212" i="11"/>
  <c r="B212" i="11"/>
  <c r="A213" i="11"/>
  <c r="B213" i="11"/>
  <c r="A214" i="11"/>
  <c r="B214" i="11"/>
  <c r="A215" i="11"/>
  <c r="B215" i="11"/>
  <c r="A216" i="11"/>
  <c r="B216" i="11"/>
  <c r="A217" i="11"/>
  <c r="B217" i="11"/>
  <c r="A218" i="11"/>
  <c r="B218" i="11"/>
  <c r="A219" i="11"/>
  <c r="B219" i="11"/>
  <c r="A220" i="11"/>
  <c r="B220" i="11"/>
  <c r="A221" i="11"/>
  <c r="B221" i="11"/>
  <c r="A222" i="11"/>
  <c r="B222" i="11"/>
  <c r="A223" i="11"/>
  <c r="B223" i="11"/>
  <c r="A224" i="11"/>
  <c r="B224" i="11"/>
  <c r="A225" i="11"/>
  <c r="B225" i="11"/>
  <c r="A226" i="11"/>
  <c r="B226" i="11"/>
  <c r="A227" i="11"/>
  <c r="B227" i="11"/>
  <c r="A228" i="11"/>
  <c r="B228" i="11"/>
  <c r="A229" i="11"/>
  <c r="B229" i="11"/>
  <c r="A230" i="11"/>
  <c r="B230" i="11"/>
  <c r="A231" i="11"/>
  <c r="B231" i="11"/>
  <c r="A232" i="11"/>
  <c r="B232" i="11"/>
  <c r="A233" i="11"/>
  <c r="B233" i="11"/>
  <c r="A234" i="11"/>
  <c r="B234" i="11"/>
  <c r="A235" i="11"/>
  <c r="B235" i="11"/>
  <c r="A236" i="11"/>
  <c r="B236" i="11"/>
  <c r="A237" i="11"/>
  <c r="B237" i="11"/>
  <c r="A238" i="11"/>
  <c r="B238" i="11"/>
  <c r="A239" i="11"/>
  <c r="B239" i="11"/>
  <c r="A240" i="11"/>
  <c r="B240" i="11"/>
  <c r="A241" i="11"/>
  <c r="B241" i="11"/>
  <c r="A242" i="11"/>
  <c r="B242" i="11"/>
  <c r="A243" i="11"/>
  <c r="B243" i="11"/>
  <c r="A244" i="11"/>
  <c r="B244" i="11"/>
  <c r="A245" i="11"/>
  <c r="B245" i="11"/>
  <c r="A246" i="11"/>
  <c r="B246" i="11"/>
  <c r="A247" i="11"/>
  <c r="B247" i="11"/>
  <c r="A248" i="11"/>
  <c r="B248" i="11"/>
  <c r="A249" i="11"/>
  <c r="B249" i="11"/>
  <c r="A250" i="11"/>
  <c r="B250" i="11"/>
  <c r="A251" i="11"/>
  <c r="B251" i="11"/>
  <c r="A252" i="11"/>
  <c r="B252" i="11"/>
  <c r="A253" i="11"/>
  <c r="B253" i="11"/>
  <c r="A254" i="11"/>
  <c r="B254" i="11"/>
  <c r="A255" i="11"/>
  <c r="B255" i="11"/>
  <c r="A256" i="11"/>
  <c r="B256" i="11"/>
  <c r="A257" i="11"/>
  <c r="B257" i="11"/>
  <c r="A258" i="11"/>
  <c r="B258" i="11"/>
  <c r="A259" i="11"/>
  <c r="B259" i="11"/>
  <c r="A260" i="11"/>
  <c r="B260" i="11"/>
  <c r="A261" i="11"/>
  <c r="B261" i="11"/>
  <c r="A262" i="11"/>
  <c r="B262" i="11"/>
  <c r="A263" i="11"/>
  <c r="B263" i="11"/>
  <c r="A264" i="11"/>
  <c r="B264" i="11"/>
  <c r="A265" i="11"/>
  <c r="B265" i="11"/>
  <c r="A266" i="11"/>
  <c r="B266" i="11"/>
  <c r="A267" i="11"/>
  <c r="B267" i="11"/>
  <c r="A268" i="11"/>
  <c r="B268" i="11"/>
  <c r="A269" i="11"/>
  <c r="B269" i="11"/>
  <c r="A270" i="11"/>
  <c r="B270" i="11"/>
  <c r="A271" i="11"/>
  <c r="B271" i="11"/>
  <c r="A272" i="11"/>
  <c r="B272" i="11"/>
  <c r="A273" i="11"/>
  <c r="B273" i="11"/>
  <c r="A274" i="11"/>
  <c r="B274" i="11"/>
  <c r="A275" i="11"/>
  <c r="B275" i="11"/>
  <c r="A276" i="11"/>
  <c r="B276" i="11"/>
  <c r="A277" i="11"/>
  <c r="B277" i="11"/>
  <c r="A278" i="11"/>
  <c r="B278" i="11"/>
  <c r="A279" i="11"/>
  <c r="B279" i="11"/>
  <c r="A280" i="11"/>
  <c r="B280" i="11"/>
  <c r="A281" i="11"/>
  <c r="B281" i="11"/>
  <c r="A282" i="11"/>
  <c r="B282" i="11"/>
  <c r="A283" i="11"/>
  <c r="B283" i="11"/>
  <c r="A284" i="11"/>
  <c r="B284" i="11"/>
  <c r="A285" i="11"/>
  <c r="B285" i="11"/>
  <c r="A286" i="11"/>
  <c r="B286" i="11"/>
  <c r="A287" i="11"/>
  <c r="B287" i="11"/>
  <c r="A288" i="11"/>
  <c r="B288" i="11"/>
  <c r="A289" i="11"/>
  <c r="B289" i="11"/>
  <c r="A290" i="11"/>
  <c r="B290" i="11"/>
  <c r="A291" i="11"/>
  <c r="B291" i="11"/>
  <c r="A292" i="11"/>
  <c r="B292" i="11"/>
  <c r="A293" i="11"/>
  <c r="B293" i="11"/>
  <c r="A294" i="11"/>
  <c r="B294" i="11"/>
  <c r="A295" i="11"/>
  <c r="B295" i="11"/>
  <c r="A296" i="11"/>
  <c r="B296" i="11"/>
  <c r="A297" i="11"/>
  <c r="B297" i="11"/>
  <c r="A298" i="11"/>
  <c r="B298" i="11"/>
  <c r="A299" i="11"/>
  <c r="B299" i="11"/>
  <c r="A300" i="11"/>
  <c r="B300" i="11"/>
  <c r="A301" i="11"/>
  <c r="B301" i="11"/>
  <c r="A302" i="11"/>
  <c r="B302" i="11"/>
  <c r="A303" i="11"/>
  <c r="B303" i="11"/>
  <c r="A304" i="11"/>
  <c r="B304" i="11"/>
  <c r="A305" i="11"/>
  <c r="B305" i="11"/>
  <c r="A306" i="11"/>
  <c r="B306" i="11"/>
  <c r="A307" i="11"/>
  <c r="B307" i="11"/>
  <c r="A308" i="11"/>
  <c r="B308" i="11"/>
  <c r="A309" i="11"/>
  <c r="B309" i="11"/>
  <c r="A310" i="11"/>
  <c r="B310" i="11"/>
  <c r="A311" i="11"/>
  <c r="B311" i="11"/>
  <c r="A312" i="11"/>
  <c r="B312" i="11"/>
  <c r="A313" i="11"/>
  <c r="B313" i="11"/>
  <c r="B5" i="11"/>
  <c r="A5" i="11"/>
  <c r="A17" i="34"/>
  <c r="B17" i="34"/>
  <c r="A18" i="34"/>
  <c r="B18" i="34"/>
  <c r="A19" i="34"/>
  <c r="B19" i="34"/>
  <c r="A20" i="34"/>
  <c r="B20" i="34"/>
  <c r="A21" i="34"/>
  <c r="B21" i="34"/>
  <c r="A22" i="34"/>
  <c r="B22" i="34"/>
  <c r="A23" i="34"/>
  <c r="B23" i="34"/>
  <c r="A24" i="34"/>
  <c r="B24" i="34"/>
  <c r="A25" i="34"/>
  <c r="B25" i="34"/>
  <c r="A26" i="34"/>
  <c r="B26" i="34"/>
  <c r="A27" i="34"/>
  <c r="B27" i="34"/>
  <c r="A28" i="34"/>
  <c r="B28" i="34"/>
  <c r="A29" i="34"/>
  <c r="B29" i="34"/>
  <c r="A30" i="34"/>
  <c r="B30" i="34"/>
  <c r="A31" i="34"/>
  <c r="B31" i="34"/>
  <c r="A32" i="34"/>
  <c r="B32" i="34"/>
  <c r="A33" i="34"/>
  <c r="B33" i="34"/>
  <c r="A34" i="34"/>
  <c r="B34" i="34"/>
  <c r="A35" i="34"/>
  <c r="B35" i="34"/>
  <c r="A36" i="34"/>
  <c r="B36" i="34"/>
  <c r="A37" i="34"/>
  <c r="B37" i="34"/>
  <c r="A38" i="34"/>
  <c r="B38" i="34"/>
  <c r="A39" i="34"/>
  <c r="B39" i="34"/>
  <c r="A40" i="34"/>
  <c r="B40" i="34"/>
  <c r="A41" i="34"/>
  <c r="B41" i="34"/>
  <c r="A42" i="34"/>
  <c r="B42" i="34"/>
  <c r="A43" i="34"/>
  <c r="B43" i="34"/>
  <c r="A44" i="34"/>
  <c r="B44" i="34"/>
  <c r="A45" i="34"/>
  <c r="B45" i="34"/>
  <c r="A46" i="34"/>
  <c r="B46" i="34"/>
  <c r="A47" i="34"/>
  <c r="B47" i="34"/>
  <c r="A48" i="34"/>
  <c r="B48" i="34"/>
  <c r="A49" i="34"/>
  <c r="B49" i="34"/>
  <c r="A50" i="34"/>
  <c r="B50" i="34"/>
  <c r="A51" i="34"/>
  <c r="B51" i="34"/>
  <c r="A52" i="34"/>
  <c r="B52" i="34"/>
  <c r="A53" i="34"/>
  <c r="B53" i="34"/>
  <c r="A54" i="34"/>
  <c r="B54" i="34"/>
  <c r="A55" i="34"/>
  <c r="B55" i="34"/>
  <c r="A56" i="34"/>
  <c r="B56" i="34"/>
  <c r="A57" i="34"/>
  <c r="B57" i="34"/>
  <c r="A58" i="34"/>
  <c r="B58" i="34"/>
  <c r="A59" i="34"/>
  <c r="B59" i="34"/>
  <c r="A60" i="34"/>
  <c r="B60" i="34"/>
  <c r="A61" i="34"/>
  <c r="B61" i="34"/>
  <c r="A62" i="34"/>
  <c r="B62" i="34"/>
  <c r="A63" i="34"/>
  <c r="B63" i="34"/>
  <c r="A64" i="34"/>
  <c r="B64" i="34"/>
  <c r="A65" i="34"/>
  <c r="B65" i="34"/>
  <c r="A66" i="34"/>
  <c r="B66" i="34"/>
  <c r="A67" i="34"/>
  <c r="B67" i="34"/>
  <c r="A68" i="34"/>
  <c r="B68" i="34"/>
  <c r="A69" i="34"/>
  <c r="B69" i="34"/>
  <c r="A70" i="34"/>
  <c r="B70" i="34"/>
  <c r="A71" i="34"/>
  <c r="B71" i="34"/>
  <c r="A72" i="34"/>
  <c r="B72" i="34"/>
  <c r="A73" i="34"/>
  <c r="B73" i="34"/>
  <c r="A74" i="34"/>
  <c r="B74" i="34"/>
  <c r="A75" i="34"/>
  <c r="B75" i="34"/>
  <c r="A76" i="34"/>
  <c r="B76" i="34"/>
  <c r="A77" i="34"/>
  <c r="B77" i="34"/>
  <c r="A78" i="34"/>
  <c r="B78" i="34"/>
  <c r="A79" i="34"/>
  <c r="B79" i="34"/>
  <c r="A80" i="34"/>
  <c r="B80" i="34"/>
  <c r="A81" i="34"/>
  <c r="B81" i="34"/>
  <c r="A82" i="34"/>
  <c r="B82" i="34"/>
  <c r="A83" i="34"/>
  <c r="B83" i="34"/>
  <c r="A84" i="34"/>
  <c r="B84" i="34"/>
  <c r="A85" i="34"/>
  <c r="B85" i="34"/>
  <c r="A86" i="34"/>
  <c r="B86" i="34"/>
  <c r="A87" i="34"/>
  <c r="B87" i="34"/>
  <c r="A88" i="34"/>
  <c r="B88" i="34"/>
  <c r="A89" i="34"/>
  <c r="B89" i="34"/>
  <c r="A90" i="34"/>
  <c r="B90" i="34"/>
  <c r="A91" i="34"/>
  <c r="B91" i="34"/>
  <c r="A92" i="34"/>
  <c r="B92" i="34"/>
  <c r="A93" i="34"/>
  <c r="B93" i="34"/>
  <c r="A94" i="34"/>
  <c r="B94" i="34"/>
  <c r="A95" i="34"/>
  <c r="B95" i="34"/>
  <c r="A96" i="34"/>
  <c r="B96" i="34"/>
  <c r="A97" i="34"/>
  <c r="B97" i="34"/>
  <c r="A98" i="34"/>
  <c r="B98" i="34"/>
  <c r="A99" i="34"/>
  <c r="B99" i="34"/>
  <c r="A100" i="34"/>
  <c r="B100" i="34"/>
  <c r="A101" i="34"/>
  <c r="B101" i="34"/>
  <c r="A102" i="34"/>
  <c r="B102" i="34"/>
  <c r="A103" i="34"/>
  <c r="B103" i="34"/>
  <c r="A104" i="34"/>
  <c r="B104" i="34"/>
  <c r="A105" i="34"/>
  <c r="B105" i="34"/>
  <c r="A106" i="34"/>
  <c r="B106" i="34"/>
  <c r="A107" i="34"/>
  <c r="B107" i="34"/>
  <c r="A108" i="34"/>
  <c r="B108" i="34"/>
  <c r="A109" i="34"/>
  <c r="B109" i="34"/>
  <c r="A110" i="34"/>
  <c r="B110" i="34"/>
  <c r="A111" i="34"/>
  <c r="B111" i="34"/>
  <c r="A112" i="34"/>
  <c r="B112" i="34"/>
  <c r="A113" i="34"/>
  <c r="B113" i="34"/>
  <c r="A114" i="34"/>
  <c r="B114" i="34"/>
  <c r="A115" i="34"/>
  <c r="B115" i="34"/>
  <c r="A116" i="34"/>
  <c r="B116" i="34"/>
  <c r="A117" i="34"/>
  <c r="B117" i="34"/>
  <c r="A118" i="34"/>
  <c r="B118" i="34"/>
  <c r="A119" i="34"/>
  <c r="B119" i="34"/>
  <c r="A120" i="34"/>
  <c r="B120" i="34"/>
  <c r="A121" i="34"/>
  <c r="B121" i="34"/>
  <c r="A122" i="34"/>
  <c r="B122" i="34"/>
  <c r="A123" i="34"/>
  <c r="B123" i="34"/>
  <c r="A124" i="34"/>
  <c r="B124" i="34"/>
  <c r="A125" i="34"/>
  <c r="B125" i="34"/>
  <c r="A126" i="34"/>
  <c r="B126" i="34"/>
  <c r="A127" i="34"/>
  <c r="B127" i="34"/>
  <c r="A128" i="34"/>
  <c r="B128" i="34"/>
  <c r="A129" i="34"/>
  <c r="B129" i="34"/>
  <c r="A130" i="34"/>
  <c r="B130" i="34"/>
  <c r="A131" i="34"/>
  <c r="B131" i="34"/>
  <c r="A132" i="34"/>
  <c r="B132" i="34"/>
  <c r="A133" i="34"/>
  <c r="B133" i="34"/>
  <c r="A134" i="34"/>
  <c r="B134" i="34"/>
  <c r="A135" i="34"/>
  <c r="B135" i="34"/>
  <c r="A136" i="34"/>
  <c r="B136" i="34"/>
  <c r="A137" i="34"/>
  <c r="B137" i="34"/>
  <c r="A138" i="34"/>
  <c r="B138" i="34"/>
  <c r="A139" i="34"/>
  <c r="B139" i="34"/>
  <c r="A140" i="34"/>
  <c r="B140" i="34"/>
  <c r="A141" i="34"/>
  <c r="B141" i="34"/>
  <c r="A142" i="34"/>
  <c r="B142" i="34"/>
  <c r="A143" i="34"/>
  <c r="B143" i="34"/>
  <c r="A144" i="34"/>
  <c r="B144" i="34"/>
  <c r="A145" i="34"/>
  <c r="B145" i="34"/>
  <c r="A146" i="34"/>
  <c r="B146" i="34"/>
  <c r="A147" i="34"/>
  <c r="B147" i="34"/>
  <c r="A148" i="34"/>
  <c r="B148" i="34"/>
  <c r="A149" i="34"/>
  <c r="B149" i="34"/>
  <c r="A150" i="34"/>
  <c r="B150" i="34"/>
  <c r="A151" i="34"/>
  <c r="B151" i="34"/>
  <c r="A152" i="34"/>
  <c r="B152" i="34"/>
  <c r="A153" i="34"/>
  <c r="B153" i="34"/>
  <c r="A154" i="34"/>
  <c r="B154" i="34"/>
  <c r="A155" i="34"/>
  <c r="B155" i="34"/>
  <c r="A156" i="34"/>
  <c r="B156" i="34"/>
  <c r="A157" i="34"/>
  <c r="B157" i="34"/>
  <c r="A158" i="34"/>
  <c r="B158" i="34"/>
  <c r="A159" i="34"/>
  <c r="B159" i="34"/>
  <c r="A160" i="34"/>
  <c r="B160" i="34"/>
  <c r="A161" i="34"/>
  <c r="B161" i="34"/>
  <c r="A162" i="34"/>
  <c r="B162" i="34"/>
  <c r="A163" i="34"/>
  <c r="B163" i="34"/>
  <c r="A164" i="34"/>
  <c r="B164" i="34"/>
  <c r="A165" i="34"/>
  <c r="B165" i="34"/>
  <c r="A166" i="34"/>
  <c r="B166" i="34"/>
  <c r="A167" i="34"/>
  <c r="B167" i="34"/>
  <c r="A168" i="34"/>
  <c r="B168" i="34"/>
  <c r="A169" i="34"/>
  <c r="B169" i="34"/>
  <c r="A170" i="34"/>
  <c r="B170" i="34"/>
  <c r="A171" i="34"/>
  <c r="B171" i="34"/>
  <c r="A172" i="34"/>
  <c r="B172" i="34"/>
  <c r="A173" i="34"/>
  <c r="B173" i="34"/>
  <c r="A174" i="34"/>
  <c r="B174" i="34"/>
  <c r="A175" i="34"/>
  <c r="B175" i="34"/>
  <c r="A176" i="34"/>
  <c r="B176" i="34"/>
  <c r="A177" i="34"/>
  <c r="B177" i="34"/>
  <c r="A178" i="34"/>
  <c r="B178" i="34"/>
  <c r="A179" i="34"/>
  <c r="B179" i="34"/>
  <c r="A180" i="34"/>
  <c r="B180" i="34"/>
  <c r="A181" i="34"/>
  <c r="B181" i="34"/>
  <c r="A182" i="34"/>
  <c r="B182" i="34"/>
  <c r="A183" i="34"/>
  <c r="B183" i="34"/>
  <c r="A184" i="34"/>
  <c r="B184" i="34"/>
  <c r="A185" i="34"/>
  <c r="B185" i="34"/>
  <c r="A186" i="34"/>
  <c r="B186" i="34"/>
  <c r="A187" i="34"/>
  <c r="B187" i="34"/>
  <c r="A188" i="34"/>
  <c r="B188" i="34"/>
  <c r="A189" i="34"/>
  <c r="B189" i="34"/>
  <c r="A190" i="34"/>
  <c r="B190" i="34"/>
  <c r="A191" i="34"/>
  <c r="B191" i="34"/>
  <c r="A192" i="34"/>
  <c r="B192" i="34"/>
  <c r="A193" i="34"/>
  <c r="B193" i="34"/>
  <c r="A194" i="34"/>
  <c r="B194" i="34"/>
  <c r="A195" i="34"/>
  <c r="B195" i="34"/>
  <c r="A196" i="34"/>
  <c r="B196" i="34"/>
  <c r="A197" i="34"/>
  <c r="B197" i="34"/>
  <c r="A198" i="34"/>
  <c r="B198" i="34"/>
  <c r="A199" i="34"/>
  <c r="B199" i="34"/>
  <c r="A200" i="34"/>
  <c r="B200" i="34"/>
  <c r="A201" i="34"/>
  <c r="B201" i="34"/>
  <c r="A202" i="34"/>
  <c r="B202" i="34"/>
  <c r="A203" i="34"/>
  <c r="B203" i="34"/>
  <c r="A204" i="34"/>
  <c r="B204" i="34"/>
  <c r="A205" i="34"/>
  <c r="B205" i="34"/>
  <c r="A206" i="34"/>
  <c r="B206" i="34"/>
  <c r="A207" i="34"/>
  <c r="B207" i="34"/>
  <c r="A208" i="34"/>
  <c r="B208" i="34"/>
  <c r="A209" i="34"/>
  <c r="B209" i="34"/>
  <c r="A210" i="34"/>
  <c r="B210" i="34"/>
  <c r="A211" i="34"/>
  <c r="B211" i="34"/>
  <c r="A212" i="34"/>
  <c r="B212" i="34"/>
  <c r="A213" i="34"/>
  <c r="B213" i="34"/>
  <c r="A214" i="34"/>
  <c r="B214" i="34"/>
  <c r="A215" i="34"/>
  <c r="B215" i="34"/>
  <c r="A216" i="34"/>
  <c r="B216" i="34"/>
  <c r="A217" i="34"/>
  <c r="B217" i="34"/>
  <c r="A218" i="34"/>
  <c r="B218" i="34"/>
  <c r="A219" i="34"/>
  <c r="B219" i="34"/>
  <c r="A220" i="34"/>
  <c r="B220" i="34"/>
  <c r="A221" i="34"/>
  <c r="B221" i="34"/>
  <c r="A222" i="34"/>
  <c r="B222" i="34"/>
  <c r="A223" i="34"/>
  <c r="B223" i="34"/>
  <c r="A224" i="34"/>
  <c r="B224" i="34"/>
  <c r="A225" i="34"/>
  <c r="B225" i="34"/>
  <c r="A226" i="34"/>
  <c r="B226" i="34"/>
  <c r="A227" i="34"/>
  <c r="B227" i="34"/>
  <c r="A228" i="34"/>
  <c r="B228" i="34"/>
  <c r="A229" i="34"/>
  <c r="B229" i="34"/>
  <c r="A230" i="34"/>
  <c r="B230" i="34"/>
  <c r="A231" i="34"/>
  <c r="B231" i="34"/>
  <c r="A232" i="34"/>
  <c r="B232" i="34"/>
  <c r="A233" i="34"/>
  <c r="B233" i="34"/>
  <c r="A234" i="34"/>
  <c r="B234" i="34"/>
  <c r="A235" i="34"/>
  <c r="B235" i="34"/>
  <c r="A236" i="34"/>
  <c r="B236" i="34"/>
  <c r="A237" i="34"/>
  <c r="B237" i="34"/>
  <c r="A238" i="34"/>
  <c r="B238" i="34"/>
  <c r="A239" i="34"/>
  <c r="B239" i="34"/>
  <c r="A240" i="34"/>
  <c r="B240" i="34"/>
  <c r="A241" i="34"/>
  <c r="B241" i="34"/>
  <c r="A242" i="34"/>
  <c r="B242" i="34"/>
  <c r="A243" i="34"/>
  <c r="B243" i="34"/>
  <c r="A244" i="34"/>
  <c r="B244" i="34"/>
  <c r="A245" i="34"/>
  <c r="B245" i="34"/>
  <c r="A246" i="34"/>
  <c r="B246" i="34"/>
  <c r="A247" i="34"/>
  <c r="B247" i="34"/>
  <c r="A248" i="34"/>
  <c r="B248" i="34"/>
  <c r="A249" i="34"/>
  <c r="B249" i="34"/>
  <c r="A250" i="34"/>
  <c r="B250" i="34"/>
  <c r="A251" i="34"/>
  <c r="B251" i="34"/>
  <c r="A252" i="34"/>
  <c r="B252" i="34"/>
  <c r="A253" i="34"/>
  <c r="B253" i="34"/>
  <c r="A254" i="34"/>
  <c r="B254" i="34"/>
  <c r="A255" i="34"/>
  <c r="B255" i="34"/>
  <c r="A256" i="34"/>
  <c r="B256" i="34"/>
  <c r="A257" i="34"/>
  <c r="B257" i="34"/>
  <c r="A258" i="34"/>
  <c r="B258" i="34"/>
  <c r="A259" i="34"/>
  <c r="B259" i="34"/>
  <c r="A260" i="34"/>
  <c r="B260" i="34"/>
  <c r="A261" i="34"/>
  <c r="B261" i="34"/>
  <c r="A262" i="34"/>
  <c r="B262" i="34"/>
  <c r="A263" i="34"/>
  <c r="B263" i="34"/>
  <c r="A264" i="34"/>
  <c r="B264" i="34"/>
  <c r="A265" i="34"/>
  <c r="B265" i="34"/>
  <c r="A266" i="34"/>
  <c r="B266" i="34"/>
  <c r="A267" i="34"/>
  <c r="B267" i="34"/>
  <c r="A268" i="34"/>
  <c r="B268" i="34"/>
  <c r="A269" i="34"/>
  <c r="B269" i="34"/>
  <c r="A270" i="34"/>
  <c r="B270" i="34"/>
  <c r="A271" i="34"/>
  <c r="B271" i="34"/>
  <c r="A272" i="34"/>
  <c r="B272" i="34"/>
  <c r="A273" i="34"/>
  <c r="B273" i="34"/>
  <c r="A274" i="34"/>
  <c r="B274" i="34"/>
  <c r="A275" i="34"/>
  <c r="B275" i="34"/>
  <c r="A276" i="34"/>
  <c r="B276" i="34"/>
  <c r="A277" i="34"/>
  <c r="B277" i="34"/>
  <c r="A278" i="34"/>
  <c r="B278" i="34"/>
  <c r="A279" i="34"/>
  <c r="B279" i="34"/>
  <c r="A280" i="34"/>
  <c r="B280" i="34"/>
  <c r="A281" i="34"/>
  <c r="B281" i="34"/>
  <c r="A282" i="34"/>
  <c r="B282" i="34"/>
  <c r="A283" i="34"/>
  <c r="B283" i="34"/>
  <c r="A284" i="34"/>
  <c r="B284" i="34"/>
  <c r="A285" i="34"/>
  <c r="B285" i="34"/>
  <c r="A286" i="34"/>
  <c r="B286" i="34"/>
  <c r="A287" i="34"/>
  <c r="B287" i="34"/>
  <c r="A288" i="34"/>
  <c r="B288" i="34"/>
  <c r="A289" i="34"/>
  <c r="B289" i="34"/>
  <c r="A290" i="34"/>
  <c r="B290" i="34"/>
  <c r="A291" i="34"/>
  <c r="B291" i="34"/>
  <c r="A292" i="34"/>
  <c r="B292" i="34"/>
  <c r="A293" i="34"/>
  <c r="B293" i="34"/>
  <c r="A294" i="34"/>
  <c r="B294" i="34"/>
  <c r="A295" i="34"/>
  <c r="B295" i="34"/>
  <c r="A296" i="34"/>
  <c r="B296" i="34"/>
  <c r="A297" i="34"/>
  <c r="B297" i="34"/>
  <c r="A298" i="34"/>
  <c r="B298" i="34"/>
  <c r="A299" i="34"/>
  <c r="B299" i="34"/>
  <c r="A300" i="34"/>
  <c r="B300" i="34"/>
  <c r="A301" i="34"/>
  <c r="B301" i="34"/>
  <c r="A302" i="34"/>
  <c r="B302" i="34"/>
  <c r="A303" i="34"/>
  <c r="B303" i="34"/>
  <c r="A304" i="34"/>
  <c r="B304" i="34"/>
  <c r="A305" i="34"/>
  <c r="B305" i="34"/>
  <c r="A306" i="34"/>
  <c r="B306" i="34"/>
  <c r="A307" i="34"/>
  <c r="B307" i="34"/>
  <c r="A308" i="34"/>
  <c r="B308" i="34"/>
  <c r="A309" i="34"/>
  <c r="B309" i="34"/>
  <c r="A310" i="34"/>
  <c r="B310" i="34"/>
  <c r="A311" i="34"/>
  <c r="B311" i="34"/>
  <c r="A312" i="34"/>
  <c r="B312" i="34"/>
  <c r="A313" i="34"/>
  <c r="B313" i="34"/>
  <c r="A314" i="34"/>
  <c r="B314" i="34"/>
  <c r="A315" i="34"/>
  <c r="B315" i="34"/>
  <c r="A316" i="34"/>
  <c r="B316" i="34"/>
  <c r="A317" i="34"/>
  <c r="B317" i="34"/>
  <c r="A318" i="34"/>
  <c r="B318" i="34"/>
  <c r="A319" i="34"/>
  <c r="B319" i="34"/>
  <c r="A320" i="34"/>
  <c r="B320" i="34"/>
  <c r="A321" i="34"/>
  <c r="B321" i="34"/>
  <c r="A322" i="34"/>
  <c r="B322" i="34"/>
  <c r="A323" i="34"/>
  <c r="B323" i="34"/>
  <c r="A324" i="34"/>
  <c r="B324" i="34"/>
  <c r="A9" i="36"/>
  <c r="B9" i="36"/>
  <c r="A10" i="36"/>
  <c r="B10" i="36"/>
  <c r="A11" i="36"/>
  <c r="B11" i="36"/>
  <c r="A12" i="36"/>
  <c r="B12" i="36"/>
  <c r="A13" i="36"/>
  <c r="B13" i="36"/>
  <c r="A14" i="36"/>
  <c r="B14" i="36"/>
  <c r="A15" i="36"/>
  <c r="B15" i="36"/>
  <c r="A16" i="36"/>
  <c r="B16" i="36"/>
  <c r="A17" i="36"/>
  <c r="B17" i="36"/>
  <c r="A18" i="36"/>
  <c r="B18" i="36"/>
  <c r="A19" i="36"/>
  <c r="B19" i="36"/>
  <c r="A20" i="36"/>
  <c r="B20" i="36"/>
  <c r="A21" i="36"/>
  <c r="B21" i="36"/>
  <c r="A22" i="36"/>
  <c r="B22" i="36"/>
  <c r="A23" i="36"/>
  <c r="B23" i="36"/>
  <c r="A24" i="36"/>
  <c r="B24" i="36"/>
  <c r="A25" i="36"/>
  <c r="B25" i="36"/>
  <c r="A26" i="36"/>
  <c r="B26" i="36"/>
  <c r="A27" i="36"/>
  <c r="B27" i="36"/>
  <c r="A28" i="36"/>
  <c r="B28" i="36"/>
  <c r="A29" i="36"/>
  <c r="B29" i="36"/>
  <c r="A30" i="36"/>
  <c r="B30" i="36"/>
  <c r="A31" i="36"/>
  <c r="B31" i="36"/>
  <c r="A32" i="36"/>
  <c r="B32" i="36"/>
  <c r="A33" i="36"/>
  <c r="B33" i="36"/>
  <c r="A34" i="36"/>
  <c r="B34" i="36"/>
  <c r="A35" i="36"/>
  <c r="B35" i="36"/>
  <c r="A36" i="36"/>
  <c r="B36" i="36"/>
  <c r="A37" i="36"/>
  <c r="B37" i="36"/>
  <c r="A38" i="36"/>
  <c r="B38" i="36"/>
  <c r="A39" i="36"/>
  <c r="B39" i="36"/>
  <c r="A40" i="36"/>
  <c r="B40" i="36"/>
  <c r="A41" i="36"/>
  <c r="B41" i="36"/>
  <c r="A42" i="36"/>
  <c r="B42" i="36"/>
  <c r="A43" i="36"/>
  <c r="B43" i="36"/>
  <c r="A44" i="36"/>
  <c r="B44" i="36"/>
  <c r="A45" i="36"/>
  <c r="B45" i="36"/>
  <c r="A46" i="36"/>
  <c r="B46" i="36"/>
  <c r="A47" i="36"/>
  <c r="B47" i="36"/>
  <c r="A48" i="36"/>
  <c r="B48" i="36"/>
  <c r="A49" i="36"/>
  <c r="B49" i="36"/>
  <c r="A50" i="36"/>
  <c r="B50" i="36"/>
  <c r="A51" i="36"/>
  <c r="B51" i="36"/>
  <c r="A52" i="36"/>
  <c r="B52" i="36"/>
  <c r="A53" i="36"/>
  <c r="B53" i="36"/>
  <c r="A54" i="36"/>
  <c r="B54" i="36"/>
  <c r="A55" i="36"/>
  <c r="B55" i="36"/>
  <c r="A56" i="36"/>
  <c r="B56" i="36"/>
  <c r="A57" i="36"/>
  <c r="B57" i="36"/>
  <c r="A58" i="36"/>
  <c r="B58" i="36"/>
  <c r="A59" i="36"/>
  <c r="B59" i="36"/>
  <c r="A60" i="36"/>
  <c r="B60" i="36"/>
  <c r="A61" i="36"/>
  <c r="B61" i="36"/>
  <c r="A62" i="36"/>
  <c r="B62" i="36"/>
  <c r="A63" i="36"/>
  <c r="B63" i="36"/>
  <c r="A64" i="36"/>
  <c r="B64" i="36"/>
  <c r="A65" i="36"/>
  <c r="B65" i="36"/>
  <c r="A66" i="36"/>
  <c r="B66" i="36"/>
  <c r="A67" i="36"/>
  <c r="B67" i="36"/>
  <c r="A68" i="36"/>
  <c r="B68" i="36"/>
  <c r="A69" i="36"/>
  <c r="B69" i="36"/>
  <c r="A70" i="36"/>
  <c r="B70" i="36"/>
  <c r="A71" i="36"/>
  <c r="B71" i="36"/>
  <c r="A72" i="36"/>
  <c r="B72" i="36"/>
  <c r="A73" i="36"/>
  <c r="B73" i="36"/>
  <c r="A74" i="36"/>
  <c r="B74" i="36"/>
  <c r="A75" i="36"/>
  <c r="B75" i="36"/>
  <c r="A76" i="36"/>
  <c r="B76" i="36"/>
  <c r="A77" i="36"/>
  <c r="B77" i="36"/>
  <c r="A78" i="36"/>
  <c r="B78" i="36"/>
  <c r="A79" i="36"/>
  <c r="B79" i="36"/>
  <c r="A80" i="36"/>
  <c r="B80" i="36"/>
  <c r="A81" i="36"/>
  <c r="B81" i="36"/>
  <c r="A82" i="36"/>
  <c r="B82" i="36"/>
  <c r="A83" i="36"/>
  <c r="B83" i="36"/>
  <c r="A84" i="36"/>
  <c r="B84" i="36"/>
  <c r="A85" i="36"/>
  <c r="B85" i="36"/>
  <c r="A86" i="36"/>
  <c r="B86" i="36"/>
  <c r="A87" i="36"/>
  <c r="B87" i="36"/>
  <c r="A88" i="36"/>
  <c r="B88" i="36"/>
  <c r="A89" i="36"/>
  <c r="B89" i="36"/>
  <c r="A90" i="36"/>
  <c r="B90" i="36"/>
  <c r="A91" i="36"/>
  <c r="B91" i="36"/>
  <c r="A92" i="36"/>
  <c r="B92" i="36"/>
  <c r="A93" i="36"/>
  <c r="B93" i="36"/>
  <c r="A94" i="36"/>
  <c r="B94" i="36"/>
  <c r="A95" i="36"/>
  <c r="B95" i="36"/>
  <c r="A96" i="36"/>
  <c r="B96" i="36"/>
  <c r="A97" i="36"/>
  <c r="B97" i="36"/>
  <c r="A98" i="36"/>
  <c r="B98" i="36"/>
  <c r="A99" i="36"/>
  <c r="B99" i="36"/>
  <c r="A100" i="36"/>
  <c r="B100" i="36"/>
  <c r="A101" i="36"/>
  <c r="B101" i="36"/>
  <c r="A102" i="36"/>
  <c r="B102" i="36"/>
  <c r="A103" i="36"/>
  <c r="B103" i="36"/>
  <c r="A104" i="36"/>
  <c r="B104" i="36"/>
  <c r="A105" i="36"/>
  <c r="B105" i="36"/>
  <c r="A106" i="36"/>
  <c r="B106" i="36"/>
  <c r="A107" i="36"/>
  <c r="B107" i="36"/>
  <c r="A108" i="36"/>
  <c r="B108" i="36"/>
  <c r="A109" i="36"/>
  <c r="B109" i="36"/>
  <c r="A110" i="36"/>
  <c r="B110" i="36"/>
  <c r="A111" i="36"/>
  <c r="B111" i="36"/>
  <c r="A112" i="36"/>
  <c r="B112" i="36"/>
  <c r="A113" i="36"/>
  <c r="B113" i="36"/>
  <c r="A114" i="36"/>
  <c r="B114" i="36"/>
  <c r="A115" i="36"/>
  <c r="B115" i="36"/>
  <c r="A116" i="36"/>
  <c r="B116" i="36"/>
  <c r="A117" i="36"/>
  <c r="B117" i="36"/>
  <c r="A118" i="36"/>
  <c r="B118" i="36"/>
  <c r="A119" i="36"/>
  <c r="B119" i="36"/>
  <c r="A120" i="36"/>
  <c r="B120" i="36"/>
  <c r="A121" i="36"/>
  <c r="B121" i="36"/>
  <c r="A122" i="36"/>
  <c r="B122" i="36"/>
  <c r="A123" i="36"/>
  <c r="B123" i="36"/>
  <c r="A124" i="36"/>
  <c r="B124" i="36"/>
  <c r="A125" i="36"/>
  <c r="B125" i="36"/>
  <c r="A126" i="36"/>
  <c r="B126" i="36"/>
  <c r="A127" i="36"/>
  <c r="B127" i="36"/>
  <c r="A128" i="36"/>
  <c r="B128" i="36"/>
  <c r="A129" i="36"/>
  <c r="B129" i="36"/>
  <c r="A130" i="36"/>
  <c r="B130" i="36"/>
  <c r="A131" i="36"/>
  <c r="B131" i="36"/>
  <c r="A132" i="36"/>
  <c r="B132" i="36"/>
  <c r="A133" i="36"/>
  <c r="B133" i="36"/>
  <c r="A134" i="36"/>
  <c r="B134" i="36"/>
  <c r="A135" i="36"/>
  <c r="B135" i="36"/>
  <c r="A136" i="36"/>
  <c r="B136" i="36"/>
  <c r="A137" i="36"/>
  <c r="B137" i="36"/>
  <c r="A138" i="36"/>
  <c r="B138" i="36"/>
  <c r="A139" i="36"/>
  <c r="B139" i="36"/>
  <c r="A140" i="36"/>
  <c r="B140" i="36"/>
  <c r="A141" i="36"/>
  <c r="B141" i="36"/>
  <c r="A142" i="36"/>
  <c r="B142" i="36"/>
  <c r="A143" i="36"/>
  <c r="B143" i="36"/>
  <c r="A144" i="36"/>
  <c r="B144" i="36"/>
  <c r="A145" i="36"/>
  <c r="B145" i="36"/>
  <c r="A146" i="36"/>
  <c r="B146" i="36"/>
  <c r="A147" i="36"/>
  <c r="B147" i="36"/>
  <c r="A148" i="36"/>
  <c r="B148" i="36"/>
  <c r="A149" i="36"/>
  <c r="B149" i="36"/>
  <c r="A150" i="36"/>
  <c r="B150" i="36"/>
  <c r="A151" i="36"/>
  <c r="B151" i="36"/>
  <c r="A152" i="36"/>
  <c r="B152" i="36"/>
  <c r="A153" i="36"/>
  <c r="B153" i="36"/>
  <c r="A154" i="36"/>
  <c r="B154" i="36"/>
  <c r="A155" i="36"/>
  <c r="B155" i="36"/>
  <c r="A156" i="36"/>
  <c r="B156" i="36"/>
  <c r="A157" i="36"/>
  <c r="B157" i="36"/>
  <c r="A158" i="36"/>
  <c r="B158" i="36"/>
  <c r="A159" i="36"/>
  <c r="B159" i="36"/>
  <c r="A160" i="36"/>
  <c r="B160" i="36"/>
  <c r="A161" i="36"/>
  <c r="B161" i="36"/>
  <c r="A162" i="36"/>
  <c r="B162" i="36"/>
  <c r="A163" i="36"/>
  <c r="B163" i="36"/>
  <c r="A164" i="36"/>
  <c r="B164" i="36"/>
  <c r="A165" i="36"/>
  <c r="B165" i="36"/>
  <c r="A166" i="36"/>
  <c r="B166" i="36"/>
  <c r="A167" i="36"/>
  <c r="B167" i="36"/>
  <c r="A168" i="36"/>
  <c r="B168" i="36"/>
  <c r="A169" i="36"/>
  <c r="B169" i="36"/>
  <c r="A170" i="36"/>
  <c r="B170" i="36"/>
  <c r="A171" i="36"/>
  <c r="B171" i="36"/>
  <c r="A172" i="36"/>
  <c r="B172" i="36"/>
  <c r="A173" i="36"/>
  <c r="B173" i="36"/>
  <c r="A174" i="36"/>
  <c r="B174" i="36"/>
  <c r="A175" i="36"/>
  <c r="B175" i="36"/>
  <c r="A176" i="36"/>
  <c r="B176" i="36"/>
  <c r="A177" i="36"/>
  <c r="B177" i="36"/>
  <c r="A178" i="36"/>
  <c r="B178" i="36"/>
  <c r="A179" i="36"/>
  <c r="B179" i="36"/>
  <c r="A180" i="36"/>
  <c r="B180" i="36"/>
  <c r="A181" i="36"/>
  <c r="B181" i="36"/>
  <c r="A182" i="36"/>
  <c r="B182" i="36"/>
  <c r="A183" i="36"/>
  <c r="B183" i="36"/>
  <c r="A184" i="36"/>
  <c r="B184" i="36"/>
  <c r="A185" i="36"/>
  <c r="B185" i="36"/>
  <c r="A186" i="36"/>
  <c r="B186" i="36"/>
  <c r="A187" i="36"/>
  <c r="B187" i="36"/>
  <c r="A188" i="36"/>
  <c r="B188" i="36"/>
  <c r="A189" i="36"/>
  <c r="B189" i="36"/>
  <c r="A190" i="36"/>
  <c r="B190" i="36"/>
  <c r="A191" i="36"/>
  <c r="B191" i="36"/>
  <c r="A192" i="36"/>
  <c r="B192" i="36"/>
  <c r="A193" i="36"/>
  <c r="B193" i="36"/>
  <c r="A194" i="36"/>
  <c r="B194" i="36"/>
  <c r="A195" i="36"/>
  <c r="B195" i="36"/>
  <c r="A196" i="36"/>
  <c r="B196" i="36"/>
  <c r="A197" i="36"/>
  <c r="B197" i="36"/>
  <c r="A198" i="36"/>
  <c r="B198" i="36"/>
  <c r="A199" i="36"/>
  <c r="B199" i="36"/>
  <c r="A200" i="36"/>
  <c r="B200" i="36"/>
  <c r="A201" i="36"/>
  <c r="B201" i="36"/>
  <c r="A202" i="36"/>
  <c r="B202" i="36"/>
  <c r="A203" i="36"/>
  <c r="B203" i="36"/>
  <c r="A204" i="36"/>
  <c r="B204" i="36"/>
  <c r="A205" i="36"/>
  <c r="B205" i="36"/>
  <c r="A206" i="36"/>
  <c r="B206" i="36"/>
  <c r="A207" i="36"/>
  <c r="B207" i="36"/>
  <c r="A208" i="36"/>
  <c r="B208" i="36"/>
  <c r="A209" i="36"/>
  <c r="B209" i="36"/>
  <c r="A210" i="36"/>
  <c r="B210" i="36"/>
  <c r="A211" i="36"/>
  <c r="B211" i="36"/>
  <c r="A212" i="36"/>
  <c r="B212" i="36"/>
  <c r="A213" i="36"/>
  <c r="B213" i="36"/>
  <c r="A214" i="36"/>
  <c r="B214" i="36"/>
  <c r="A215" i="36"/>
  <c r="B215" i="36"/>
  <c r="A216" i="36"/>
  <c r="B216" i="36"/>
  <c r="A217" i="36"/>
  <c r="B217" i="36"/>
  <c r="A218" i="36"/>
  <c r="B218" i="36"/>
  <c r="A219" i="36"/>
  <c r="B219" i="36"/>
  <c r="A220" i="36"/>
  <c r="B220" i="36"/>
  <c r="A221" i="36"/>
  <c r="B221" i="36"/>
  <c r="A222" i="36"/>
  <c r="B222" i="36"/>
  <c r="A223" i="36"/>
  <c r="B223" i="36"/>
  <c r="A224" i="36"/>
  <c r="B224" i="36"/>
  <c r="A225" i="36"/>
  <c r="B225" i="36"/>
  <c r="A226" i="36"/>
  <c r="B226" i="36"/>
  <c r="A227" i="36"/>
  <c r="B227" i="36"/>
  <c r="A228" i="36"/>
  <c r="B228" i="36"/>
  <c r="A229" i="36"/>
  <c r="B229" i="36"/>
  <c r="A230" i="36"/>
  <c r="B230" i="36"/>
  <c r="A231" i="36"/>
  <c r="B231" i="36"/>
  <c r="A232" i="36"/>
  <c r="B232" i="36"/>
  <c r="A233" i="36"/>
  <c r="B233" i="36"/>
  <c r="A234" i="36"/>
  <c r="B234" i="36"/>
  <c r="A235" i="36"/>
  <c r="B235" i="36"/>
  <c r="A236" i="36"/>
  <c r="B236" i="36"/>
  <c r="A237" i="36"/>
  <c r="B237" i="36"/>
  <c r="A238" i="36"/>
  <c r="B238" i="36"/>
  <c r="A239" i="36"/>
  <c r="B239" i="36"/>
  <c r="A240" i="36"/>
  <c r="B240" i="36"/>
  <c r="A241" i="36"/>
  <c r="B241" i="36"/>
  <c r="A242" i="36"/>
  <c r="B242" i="36"/>
  <c r="A243" i="36"/>
  <c r="B243" i="36"/>
  <c r="A244" i="36"/>
  <c r="B244" i="36"/>
  <c r="A245" i="36"/>
  <c r="B245" i="36"/>
  <c r="A246" i="36"/>
  <c r="B246" i="36"/>
  <c r="A247" i="36"/>
  <c r="B247" i="36"/>
  <c r="A248" i="36"/>
  <c r="B248" i="36"/>
  <c r="A249" i="36"/>
  <c r="B249" i="36"/>
  <c r="A250" i="36"/>
  <c r="B250" i="36"/>
  <c r="A251" i="36"/>
  <c r="B251" i="36"/>
  <c r="A252" i="36"/>
  <c r="B252" i="36"/>
  <c r="A253" i="36"/>
  <c r="B253" i="36"/>
  <c r="A254" i="36"/>
  <c r="B254" i="36"/>
  <c r="A255" i="36"/>
  <c r="B255" i="36"/>
  <c r="A256" i="36"/>
  <c r="B256" i="36"/>
  <c r="A257" i="36"/>
  <c r="B257" i="36"/>
  <c r="A258" i="36"/>
  <c r="B258" i="36"/>
  <c r="A259" i="36"/>
  <c r="B259" i="36"/>
  <c r="A260" i="36"/>
  <c r="B260" i="36"/>
  <c r="A261" i="36"/>
  <c r="B261" i="36"/>
  <c r="A262" i="36"/>
  <c r="B262" i="36"/>
  <c r="A263" i="36"/>
  <c r="B263" i="36"/>
  <c r="A264" i="36"/>
  <c r="B264" i="36"/>
  <c r="A265" i="36"/>
  <c r="B265" i="36"/>
  <c r="A266" i="36"/>
  <c r="B266" i="36"/>
  <c r="A267" i="36"/>
  <c r="B267" i="36"/>
  <c r="A268" i="36"/>
  <c r="B268" i="36"/>
  <c r="A269" i="36"/>
  <c r="B269" i="36"/>
  <c r="A270" i="36"/>
  <c r="B270" i="36"/>
  <c r="A271" i="36"/>
  <c r="B271" i="36"/>
  <c r="A272" i="36"/>
  <c r="B272" i="36"/>
  <c r="A273" i="36"/>
  <c r="B273" i="36"/>
  <c r="A274" i="36"/>
  <c r="B274" i="36"/>
  <c r="A275" i="36"/>
  <c r="B275" i="36"/>
  <c r="A276" i="36"/>
  <c r="B276" i="36"/>
  <c r="A277" i="36"/>
  <c r="B277" i="36"/>
  <c r="A278" i="36"/>
  <c r="B278" i="36"/>
  <c r="A279" i="36"/>
  <c r="B279" i="36"/>
  <c r="A280" i="36"/>
  <c r="B280" i="36"/>
  <c r="A281" i="36"/>
  <c r="B281" i="36"/>
  <c r="A282" i="36"/>
  <c r="B282" i="36"/>
  <c r="A283" i="36"/>
  <c r="B283" i="36"/>
  <c r="A284" i="36"/>
  <c r="B284" i="36"/>
  <c r="A285" i="36"/>
  <c r="B285" i="36"/>
  <c r="A286" i="36"/>
  <c r="B286" i="36"/>
  <c r="A287" i="36"/>
  <c r="B287" i="36"/>
  <c r="A288" i="36"/>
  <c r="B288" i="36"/>
  <c r="A289" i="36"/>
  <c r="B289" i="36"/>
  <c r="A290" i="36"/>
  <c r="B290" i="36"/>
  <c r="A291" i="36"/>
  <c r="B291" i="36"/>
  <c r="A292" i="36"/>
  <c r="B292" i="36"/>
  <c r="A293" i="36"/>
  <c r="B293" i="36"/>
  <c r="A294" i="36"/>
  <c r="B294" i="36"/>
  <c r="A295" i="36"/>
  <c r="B295" i="36"/>
  <c r="A296" i="36"/>
  <c r="B296" i="36"/>
  <c r="A297" i="36"/>
  <c r="B297" i="36"/>
  <c r="A298" i="36"/>
  <c r="B298" i="36"/>
  <c r="A299" i="36"/>
  <c r="B299" i="36"/>
  <c r="A300" i="36"/>
  <c r="B300" i="36"/>
  <c r="A301" i="36"/>
  <c r="B301" i="36"/>
  <c r="A302" i="36"/>
  <c r="B302" i="36"/>
  <c r="A303" i="36"/>
  <c r="B303" i="36"/>
  <c r="A304" i="36"/>
  <c r="B304" i="36"/>
  <c r="A305" i="36"/>
  <c r="B305" i="36"/>
  <c r="A306" i="36"/>
  <c r="B306" i="36"/>
  <c r="A307" i="36"/>
  <c r="B307" i="36"/>
  <c r="A308" i="36"/>
  <c r="B308" i="36"/>
  <c r="A309" i="36"/>
  <c r="B309" i="36"/>
  <c r="A310" i="36"/>
  <c r="B310" i="36"/>
  <c r="A311" i="36"/>
  <c r="B311" i="36"/>
  <c r="A312" i="36"/>
  <c r="B312" i="36"/>
  <c r="A313" i="36"/>
  <c r="B313" i="36"/>
  <c r="A314" i="36"/>
  <c r="B314" i="36"/>
  <c r="A315" i="36"/>
  <c r="B315" i="36"/>
  <c r="A316" i="36"/>
  <c r="B316" i="36"/>
  <c r="A12" i="9"/>
  <c r="B12" i="9"/>
  <c r="A13" i="9"/>
  <c r="B13" i="9"/>
  <c r="A14" i="9"/>
  <c r="B14" i="9"/>
  <c r="A15" i="9"/>
  <c r="B15" i="9"/>
  <c r="A16" i="9"/>
  <c r="B16" i="9"/>
  <c r="A17" i="9"/>
  <c r="B17" i="9"/>
  <c r="A18" i="9"/>
  <c r="B18" i="9"/>
  <c r="A19" i="9"/>
  <c r="B19" i="9"/>
  <c r="A20" i="9"/>
  <c r="B20" i="9"/>
  <c r="A21" i="9"/>
  <c r="B21" i="9"/>
  <c r="A22" i="9"/>
  <c r="B22" i="9"/>
  <c r="A23" i="9"/>
  <c r="B23" i="9"/>
  <c r="A24" i="9"/>
  <c r="B24" i="9"/>
  <c r="A25" i="9"/>
  <c r="B25" i="9"/>
  <c r="A26" i="9"/>
  <c r="B26" i="9"/>
  <c r="A27" i="9"/>
  <c r="B27" i="9"/>
  <c r="A28" i="9"/>
  <c r="B28" i="9"/>
  <c r="A29" i="9"/>
  <c r="B29" i="9"/>
  <c r="A30" i="9"/>
  <c r="B30" i="9"/>
  <c r="A31" i="9"/>
  <c r="B31" i="9"/>
  <c r="A32" i="9"/>
  <c r="B32" i="9"/>
  <c r="A33" i="9"/>
  <c r="B33" i="9"/>
  <c r="A34" i="9"/>
  <c r="B34" i="9"/>
  <c r="A35" i="9"/>
  <c r="B35" i="9"/>
  <c r="A36" i="9"/>
  <c r="B36" i="9"/>
  <c r="A37" i="9"/>
  <c r="B37" i="9"/>
  <c r="A38" i="9"/>
  <c r="B38" i="9"/>
  <c r="A39" i="9"/>
  <c r="B39" i="9"/>
  <c r="A40" i="9"/>
  <c r="B40" i="9"/>
  <c r="A41" i="9"/>
  <c r="B41" i="9"/>
  <c r="A42" i="9"/>
  <c r="B42" i="9"/>
  <c r="A43" i="9"/>
  <c r="B43" i="9"/>
  <c r="A44" i="9"/>
  <c r="B44" i="9"/>
  <c r="A45" i="9"/>
  <c r="B45" i="9"/>
  <c r="A46" i="9"/>
  <c r="B46" i="9"/>
  <c r="A47" i="9"/>
  <c r="B47" i="9"/>
  <c r="A48" i="9"/>
  <c r="B48" i="9"/>
  <c r="A49" i="9"/>
  <c r="B49" i="9"/>
  <c r="A50" i="9"/>
  <c r="B50" i="9"/>
  <c r="A51" i="9"/>
  <c r="B51" i="9"/>
  <c r="A52" i="9"/>
  <c r="B52" i="9"/>
  <c r="A53" i="9"/>
  <c r="B53" i="9"/>
  <c r="A54" i="9"/>
  <c r="B54" i="9"/>
  <c r="A55" i="9"/>
  <c r="B55" i="9"/>
  <c r="A56" i="9"/>
  <c r="B56" i="9"/>
  <c r="A57" i="9"/>
  <c r="B57" i="9"/>
  <c r="A58" i="9"/>
  <c r="B58" i="9"/>
  <c r="A59" i="9"/>
  <c r="B59" i="9"/>
  <c r="A60" i="9"/>
  <c r="B60" i="9"/>
  <c r="A61" i="9"/>
  <c r="B61" i="9"/>
  <c r="A62" i="9"/>
  <c r="B62" i="9"/>
  <c r="A63" i="9"/>
  <c r="B63" i="9"/>
  <c r="A64" i="9"/>
  <c r="B64" i="9"/>
  <c r="A65" i="9"/>
  <c r="B65" i="9"/>
  <c r="A66" i="9"/>
  <c r="B66" i="9"/>
  <c r="A67" i="9"/>
  <c r="B67" i="9"/>
  <c r="A68" i="9"/>
  <c r="B68" i="9"/>
  <c r="A69" i="9"/>
  <c r="B69" i="9"/>
  <c r="A70" i="9"/>
  <c r="B70" i="9"/>
  <c r="A71" i="9"/>
  <c r="B71" i="9"/>
  <c r="A72" i="9"/>
  <c r="B72" i="9"/>
  <c r="A73" i="9"/>
  <c r="B73" i="9"/>
  <c r="A74" i="9"/>
  <c r="B74" i="9"/>
  <c r="A75" i="9"/>
  <c r="B75" i="9"/>
  <c r="A76" i="9"/>
  <c r="B76" i="9"/>
  <c r="A77" i="9"/>
  <c r="B77" i="9"/>
  <c r="A78" i="9"/>
  <c r="B78" i="9"/>
  <c r="A79" i="9"/>
  <c r="B79" i="9"/>
  <c r="A80" i="9"/>
  <c r="B80" i="9"/>
  <c r="A81" i="9"/>
  <c r="B81" i="9"/>
  <c r="A82" i="9"/>
  <c r="B82" i="9"/>
  <c r="A83" i="9"/>
  <c r="B83" i="9"/>
  <c r="A84" i="9"/>
  <c r="B84" i="9"/>
  <c r="A85" i="9"/>
  <c r="B85" i="9"/>
  <c r="A86" i="9"/>
  <c r="B86" i="9"/>
  <c r="A87" i="9"/>
  <c r="B87" i="9"/>
  <c r="A88" i="9"/>
  <c r="B88" i="9"/>
  <c r="A89" i="9"/>
  <c r="B89" i="9"/>
  <c r="A90" i="9"/>
  <c r="B90" i="9"/>
  <c r="A91" i="9"/>
  <c r="B91" i="9"/>
  <c r="A92" i="9"/>
  <c r="B92" i="9"/>
  <c r="A93" i="9"/>
  <c r="B93" i="9"/>
  <c r="A94" i="9"/>
  <c r="B94" i="9"/>
  <c r="A95" i="9"/>
  <c r="B95" i="9"/>
  <c r="A96" i="9"/>
  <c r="B96" i="9"/>
  <c r="A97" i="9"/>
  <c r="B97" i="9"/>
  <c r="A98" i="9"/>
  <c r="B98" i="9"/>
  <c r="A99" i="9"/>
  <c r="B99" i="9"/>
  <c r="A100" i="9"/>
  <c r="B100" i="9"/>
  <c r="A101" i="9"/>
  <c r="B101" i="9"/>
  <c r="A102" i="9"/>
  <c r="B102" i="9"/>
  <c r="A103" i="9"/>
  <c r="B103" i="9"/>
  <c r="A104" i="9"/>
  <c r="B104" i="9"/>
  <c r="A105" i="9"/>
  <c r="B105" i="9"/>
  <c r="A106" i="9"/>
  <c r="B106" i="9"/>
  <c r="A107" i="9"/>
  <c r="B107" i="9"/>
  <c r="A108" i="9"/>
  <c r="B108" i="9"/>
  <c r="A109" i="9"/>
  <c r="B109" i="9"/>
  <c r="A110" i="9"/>
  <c r="B110" i="9"/>
  <c r="A111" i="9"/>
  <c r="B111" i="9"/>
  <c r="A112" i="9"/>
  <c r="B112" i="9"/>
  <c r="A113" i="9"/>
  <c r="B113" i="9"/>
  <c r="A114" i="9"/>
  <c r="B114" i="9"/>
  <c r="A115" i="9"/>
  <c r="B115" i="9"/>
  <c r="A116" i="9"/>
  <c r="B116" i="9"/>
  <c r="A117" i="9"/>
  <c r="B117" i="9"/>
  <c r="A118" i="9"/>
  <c r="B118" i="9"/>
  <c r="A119" i="9"/>
  <c r="B119" i="9"/>
  <c r="A120" i="9"/>
  <c r="B120" i="9"/>
  <c r="A121" i="9"/>
  <c r="B121" i="9"/>
  <c r="A122" i="9"/>
  <c r="B122" i="9"/>
  <c r="A123" i="9"/>
  <c r="B123" i="9"/>
  <c r="A124" i="9"/>
  <c r="B124" i="9"/>
  <c r="A125" i="9"/>
  <c r="B125" i="9"/>
  <c r="A126" i="9"/>
  <c r="B126" i="9"/>
  <c r="A127" i="9"/>
  <c r="B127" i="9"/>
  <c r="A128" i="9"/>
  <c r="B128" i="9"/>
  <c r="A129" i="9"/>
  <c r="B129" i="9"/>
  <c r="A130" i="9"/>
  <c r="B130" i="9"/>
  <c r="A131" i="9"/>
  <c r="B131" i="9"/>
  <c r="A132" i="9"/>
  <c r="B132" i="9"/>
  <c r="A133" i="9"/>
  <c r="B133" i="9"/>
  <c r="A134" i="9"/>
  <c r="B134" i="9"/>
  <c r="A135" i="9"/>
  <c r="B135" i="9"/>
  <c r="A136" i="9"/>
  <c r="B136" i="9"/>
  <c r="A137" i="9"/>
  <c r="B137" i="9"/>
  <c r="A138" i="9"/>
  <c r="B138" i="9"/>
  <c r="A139" i="9"/>
  <c r="B139" i="9"/>
  <c r="A140" i="9"/>
  <c r="B140" i="9"/>
  <c r="A141" i="9"/>
  <c r="B141" i="9"/>
  <c r="A142" i="9"/>
  <c r="B142" i="9"/>
  <c r="A143" i="9"/>
  <c r="B143" i="9"/>
  <c r="A144" i="9"/>
  <c r="B144" i="9"/>
  <c r="A145" i="9"/>
  <c r="B145" i="9"/>
  <c r="A146" i="9"/>
  <c r="B146" i="9"/>
  <c r="A147" i="9"/>
  <c r="B147" i="9"/>
  <c r="A148" i="9"/>
  <c r="B148" i="9"/>
  <c r="A149" i="9"/>
  <c r="B149" i="9"/>
  <c r="A150" i="9"/>
  <c r="B150" i="9"/>
  <c r="A151" i="9"/>
  <c r="B151" i="9"/>
  <c r="A152" i="9"/>
  <c r="B152" i="9"/>
  <c r="A153" i="9"/>
  <c r="B153" i="9"/>
  <c r="A154" i="9"/>
  <c r="B154" i="9"/>
  <c r="A155" i="9"/>
  <c r="B155" i="9"/>
  <c r="A156" i="9"/>
  <c r="B156" i="9"/>
  <c r="A157" i="9"/>
  <c r="B157" i="9"/>
  <c r="A158" i="9"/>
  <c r="B158" i="9"/>
  <c r="A159" i="9"/>
  <c r="B159" i="9"/>
  <c r="A160" i="9"/>
  <c r="B160" i="9"/>
  <c r="A161" i="9"/>
  <c r="B161" i="9"/>
  <c r="A162" i="9"/>
  <c r="B162" i="9"/>
  <c r="A163" i="9"/>
  <c r="B163" i="9"/>
  <c r="A164" i="9"/>
  <c r="B164" i="9"/>
  <c r="A165" i="9"/>
  <c r="B165" i="9"/>
  <c r="A166" i="9"/>
  <c r="B166" i="9"/>
  <c r="A167" i="9"/>
  <c r="B167" i="9"/>
  <c r="A168" i="9"/>
  <c r="B168" i="9"/>
  <c r="A169" i="9"/>
  <c r="B169" i="9"/>
  <c r="A170" i="9"/>
  <c r="B170" i="9"/>
  <c r="A171" i="9"/>
  <c r="B171" i="9"/>
  <c r="A172" i="9"/>
  <c r="B172" i="9"/>
  <c r="A173" i="9"/>
  <c r="B173" i="9"/>
  <c r="A174" i="9"/>
  <c r="B174" i="9"/>
  <c r="A175" i="9"/>
  <c r="B175" i="9"/>
  <c r="A176" i="9"/>
  <c r="B176" i="9"/>
  <c r="A177" i="9"/>
  <c r="B177" i="9"/>
  <c r="A178" i="9"/>
  <c r="B178" i="9"/>
  <c r="A179" i="9"/>
  <c r="B179" i="9"/>
  <c r="A180" i="9"/>
  <c r="B180" i="9"/>
  <c r="A181" i="9"/>
  <c r="B181" i="9"/>
  <c r="A182" i="9"/>
  <c r="B182" i="9"/>
  <c r="A183" i="9"/>
  <c r="B183" i="9"/>
  <c r="A184" i="9"/>
  <c r="B184" i="9"/>
  <c r="A185" i="9"/>
  <c r="B185" i="9"/>
  <c r="A186" i="9"/>
  <c r="B186" i="9"/>
  <c r="A187" i="9"/>
  <c r="B187" i="9"/>
  <c r="A188" i="9"/>
  <c r="B188" i="9"/>
  <c r="A189" i="9"/>
  <c r="B189" i="9"/>
  <c r="A190" i="9"/>
  <c r="B190" i="9"/>
  <c r="A191" i="9"/>
  <c r="B191" i="9"/>
  <c r="A192" i="9"/>
  <c r="B192" i="9"/>
  <c r="A193" i="9"/>
  <c r="B193" i="9"/>
  <c r="A194" i="9"/>
  <c r="B194" i="9"/>
  <c r="A195" i="9"/>
  <c r="B195" i="9"/>
  <c r="A196" i="9"/>
  <c r="B196" i="9"/>
  <c r="A197" i="9"/>
  <c r="B197" i="9"/>
  <c r="A198" i="9"/>
  <c r="B198" i="9"/>
  <c r="A199" i="9"/>
  <c r="B199" i="9"/>
  <c r="A200" i="9"/>
  <c r="B200" i="9"/>
  <c r="A201" i="9"/>
  <c r="B201" i="9"/>
  <c r="A202" i="9"/>
  <c r="B202" i="9"/>
  <c r="A203" i="9"/>
  <c r="B203" i="9"/>
  <c r="A204" i="9"/>
  <c r="B204" i="9"/>
  <c r="A205" i="9"/>
  <c r="B205" i="9"/>
  <c r="A206" i="9"/>
  <c r="B206" i="9"/>
  <c r="A207" i="9"/>
  <c r="B207" i="9"/>
  <c r="A208" i="9"/>
  <c r="B208" i="9"/>
  <c r="A209" i="9"/>
  <c r="B209" i="9"/>
  <c r="A210" i="9"/>
  <c r="B210" i="9"/>
  <c r="A211" i="9"/>
  <c r="B211" i="9"/>
  <c r="A212" i="9"/>
  <c r="B212" i="9"/>
  <c r="A213" i="9"/>
  <c r="B213" i="9"/>
  <c r="A214" i="9"/>
  <c r="B214" i="9"/>
  <c r="A215" i="9"/>
  <c r="B215" i="9"/>
  <c r="A216" i="9"/>
  <c r="B216" i="9"/>
  <c r="A217" i="9"/>
  <c r="B217" i="9"/>
  <c r="A218" i="9"/>
  <c r="B218" i="9"/>
  <c r="A219" i="9"/>
  <c r="B219" i="9"/>
  <c r="A220" i="9"/>
  <c r="B220" i="9"/>
  <c r="A221" i="9"/>
  <c r="B221" i="9"/>
  <c r="A222" i="9"/>
  <c r="B222" i="9"/>
  <c r="A223" i="9"/>
  <c r="B223" i="9"/>
  <c r="A224" i="9"/>
  <c r="B224" i="9"/>
  <c r="A225" i="9"/>
  <c r="B225" i="9"/>
  <c r="A226" i="9"/>
  <c r="B226" i="9"/>
  <c r="A227" i="9"/>
  <c r="B227" i="9"/>
  <c r="A228" i="9"/>
  <c r="B228" i="9"/>
  <c r="A229" i="9"/>
  <c r="B229" i="9"/>
  <c r="A230" i="9"/>
  <c r="B230" i="9"/>
  <c r="A231" i="9"/>
  <c r="B231" i="9"/>
  <c r="A232" i="9"/>
  <c r="B232" i="9"/>
  <c r="A233" i="9"/>
  <c r="B233" i="9"/>
  <c r="A234" i="9"/>
  <c r="B234" i="9"/>
  <c r="A235" i="9"/>
  <c r="B235" i="9"/>
  <c r="A236" i="9"/>
  <c r="B236" i="9"/>
  <c r="A237" i="9"/>
  <c r="B237" i="9"/>
  <c r="A238" i="9"/>
  <c r="B238" i="9"/>
  <c r="A239" i="9"/>
  <c r="B239" i="9"/>
  <c r="A240" i="9"/>
  <c r="B240" i="9"/>
  <c r="A241" i="9"/>
  <c r="B241" i="9"/>
  <c r="A242" i="9"/>
  <c r="B242" i="9"/>
  <c r="A243" i="9"/>
  <c r="B243" i="9"/>
  <c r="A244" i="9"/>
  <c r="B244" i="9"/>
  <c r="A245" i="9"/>
  <c r="B245" i="9"/>
  <c r="A246" i="9"/>
  <c r="B246" i="9"/>
  <c r="A247" i="9"/>
  <c r="B247" i="9"/>
  <c r="A248" i="9"/>
  <c r="B248" i="9"/>
  <c r="A249" i="9"/>
  <c r="B249" i="9"/>
  <c r="A250" i="9"/>
  <c r="B250" i="9"/>
  <c r="A251" i="9"/>
  <c r="B251" i="9"/>
  <c r="A252" i="9"/>
  <c r="B252" i="9"/>
  <c r="A253" i="9"/>
  <c r="B253" i="9"/>
  <c r="A254" i="9"/>
  <c r="B254" i="9"/>
  <c r="A255" i="9"/>
  <c r="B255" i="9"/>
  <c r="A256" i="9"/>
  <c r="B256" i="9"/>
  <c r="A257" i="9"/>
  <c r="B257" i="9"/>
  <c r="A258" i="9"/>
  <c r="B258" i="9"/>
  <c r="A259" i="9"/>
  <c r="B259" i="9"/>
  <c r="A260" i="9"/>
  <c r="B260" i="9"/>
  <c r="A261" i="9"/>
  <c r="B261" i="9"/>
  <c r="A262" i="9"/>
  <c r="B262" i="9"/>
  <c r="A263" i="9"/>
  <c r="B263" i="9"/>
  <c r="A264" i="9"/>
  <c r="B264" i="9"/>
  <c r="A265" i="9"/>
  <c r="B265" i="9"/>
  <c r="A266" i="9"/>
  <c r="B266" i="9"/>
  <c r="A267" i="9"/>
  <c r="B267" i="9"/>
  <c r="A268" i="9"/>
  <c r="B268" i="9"/>
  <c r="A269" i="9"/>
  <c r="B269" i="9"/>
  <c r="A270" i="9"/>
  <c r="B270" i="9"/>
  <c r="A271" i="9"/>
  <c r="B271" i="9"/>
  <c r="A272" i="9"/>
  <c r="B272" i="9"/>
  <c r="A273" i="9"/>
  <c r="B273" i="9"/>
  <c r="A274" i="9"/>
  <c r="B274" i="9"/>
  <c r="A275" i="9"/>
  <c r="B275" i="9"/>
  <c r="A276" i="9"/>
  <c r="B276" i="9"/>
  <c r="A277" i="9"/>
  <c r="B277" i="9"/>
  <c r="A278" i="9"/>
  <c r="B278" i="9"/>
  <c r="A279" i="9"/>
  <c r="B279" i="9"/>
  <c r="A280" i="9"/>
  <c r="B280" i="9"/>
  <c r="A281" i="9"/>
  <c r="B281" i="9"/>
  <c r="A282" i="9"/>
  <c r="B282" i="9"/>
  <c r="A283" i="9"/>
  <c r="B283" i="9"/>
  <c r="A284" i="9"/>
  <c r="B284" i="9"/>
  <c r="A285" i="9"/>
  <c r="B285" i="9"/>
  <c r="A286" i="9"/>
  <c r="B286" i="9"/>
  <c r="A287" i="9"/>
  <c r="B287" i="9"/>
  <c r="A288" i="9"/>
  <c r="B288" i="9"/>
  <c r="A289" i="9"/>
  <c r="B289" i="9"/>
  <c r="A290" i="9"/>
  <c r="B290" i="9"/>
  <c r="A291" i="9"/>
  <c r="B291" i="9"/>
  <c r="A292" i="9"/>
  <c r="B292" i="9"/>
  <c r="A293" i="9"/>
  <c r="B293" i="9"/>
  <c r="A294" i="9"/>
  <c r="B294" i="9"/>
  <c r="A295" i="9"/>
  <c r="B295" i="9"/>
  <c r="A296" i="9"/>
  <c r="B296" i="9"/>
  <c r="A297" i="9"/>
  <c r="B297" i="9"/>
  <c r="A298" i="9"/>
  <c r="B298" i="9"/>
  <c r="A299" i="9"/>
  <c r="B299" i="9"/>
  <c r="A300" i="9"/>
  <c r="B300" i="9"/>
  <c r="A301" i="9"/>
  <c r="B301" i="9"/>
  <c r="A302" i="9"/>
  <c r="B302" i="9"/>
  <c r="A303" i="9"/>
  <c r="B303" i="9"/>
  <c r="A304" i="9"/>
  <c r="B304" i="9"/>
  <c r="A305" i="9"/>
  <c r="B305" i="9"/>
  <c r="A306" i="9"/>
  <c r="B306" i="9"/>
  <c r="A307" i="9"/>
  <c r="B307" i="9"/>
  <c r="A308" i="9"/>
  <c r="B308" i="9"/>
  <c r="A309" i="9"/>
  <c r="B309" i="9"/>
  <c r="A310" i="9"/>
  <c r="B310" i="9"/>
  <c r="A311" i="9"/>
  <c r="B311" i="9"/>
  <c r="A312" i="9"/>
  <c r="B312" i="9"/>
  <c r="A313" i="9"/>
  <c r="B313" i="9"/>
  <c r="A314" i="9"/>
  <c r="B314" i="9"/>
  <c r="A315" i="9"/>
  <c r="B315" i="9"/>
  <c r="A316" i="9"/>
  <c r="B316" i="9"/>
  <c r="A317" i="9"/>
  <c r="B317" i="9"/>
  <c r="A318" i="9"/>
  <c r="B318" i="9"/>
  <c r="A319" i="9"/>
  <c r="B319" i="9"/>
  <c r="A6" i="33"/>
  <c r="B6" i="33"/>
  <c r="A7" i="33"/>
  <c r="B7" i="33"/>
  <c r="A8" i="33"/>
  <c r="B8" i="33"/>
  <c r="A9" i="33"/>
  <c r="B9" i="33"/>
  <c r="A10" i="33"/>
  <c r="B10" i="33"/>
  <c r="A11" i="33"/>
  <c r="B11" i="33"/>
  <c r="A12" i="33"/>
  <c r="B12" i="33"/>
  <c r="A13" i="33"/>
  <c r="B13" i="33"/>
  <c r="A14" i="33"/>
  <c r="B14" i="33"/>
  <c r="A15" i="33"/>
  <c r="B15" i="33"/>
  <c r="A16" i="33"/>
  <c r="B16" i="33"/>
  <c r="A17" i="33"/>
  <c r="B17" i="33"/>
  <c r="A18" i="33"/>
  <c r="B18" i="33"/>
  <c r="A19" i="33"/>
  <c r="B19" i="33"/>
  <c r="A20" i="33"/>
  <c r="B20" i="33"/>
  <c r="A21" i="33"/>
  <c r="B21" i="33"/>
  <c r="A22" i="33"/>
  <c r="B22" i="33"/>
  <c r="A23" i="33"/>
  <c r="B23" i="33"/>
  <c r="A24" i="33"/>
  <c r="B24" i="33"/>
  <c r="A25" i="33"/>
  <c r="B25" i="33"/>
  <c r="A26" i="33"/>
  <c r="B26" i="33"/>
  <c r="A27" i="33"/>
  <c r="B27" i="33"/>
  <c r="A28" i="33"/>
  <c r="B28" i="33"/>
  <c r="A29" i="33"/>
  <c r="B29" i="33"/>
  <c r="A30" i="33"/>
  <c r="B30" i="33"/>
  <c r="A31" i="33"/>
  <c r="B31" i="33"/>
  <c r="A32" i="33"/>
  <c r="B32" i="33"/>
  <c r="A33" i="33"/>
  <c r="B33" i="33"/>
  <c r="A34" i="33"/>
  <c r="B34" i="33"/>
  <c r="A35" i="33"/>
  <c r="B35" i="33"/>
  <c r="A36" i="33"/>
  <c r="B36" i="33"/>
  <c r="A37" i="33"/>
  <c r="B37" i="33"/>
  <c r="A38" i="33"/>
  <c r="B38" i="33"/>
  <c r="A39" i="33"/>
  <c r="B39" i="33"/>
  <c r="A40" i="33"/>
  <c r="B40" i="33"/>
  <c r="A41" i="33"/>
  <c r="B41" i="33"/>
  <c r="A42" i="33"/>
  <c r="B42" i="33"/>
  <c r="A43" i="33"/>
  <c r="B43" i="33"/>
  <c r="A44" i="33"/>
  <c r="B44" i="33"/>
  <c r="A45" i="33"/>
  <c r="B45" i="33"/>
  <c r="A46" i="33"/>
  <c r="B46" i="33"/>
  <c r="A47" i="33"/>
  <c r="B47" i="33"/>
  <c r="A48" i="33"/>
  <c r="B48" i="33"/>
  <c r="A49" i="33"/>
  <c r="B49" i="33"/>
  <c r="A50" i="33"/>
  <c r="B50" i="33"/>
  <c r="A51" i="33"/>
  <c r="B51" i="33"/>
  <c r="A52" i="33"/>
  <c r="B52" i="33"/>
  <c r="A53" i="33"/>
  <c r="B53" i="33"/>
  <c r="A54" i="33"/>
  <c r="B54" i="33"/>
  <c r="A55" i="33"/>
  <c r="B55" i="33"/>
  <c r="A56" i="33"/>
  <c r="B56" i="33"/>
  <c r="A57" i="33"/>
  <c r="B57" i="33"/>
  <c r="A58" i="33"/>
  <c r="B58" i="33"/>
  <c r="A59" i="33"/>
  <c r="B59" i="33"/>
  <c r="A60" i="33"/>
  <c r="B60" i="33"/>
  <c r="A61" i="33"/>
  <c r="B61" i="33"/>
  <c r="A62" i="33"/>
  <c r="B62" i="33"/>
  <c r="A63" i="33"/>
  <c r="B63" i="33"/>
  <c r="A64" i="33"/>
  <c r="B64" i="33"/>
  <c r="A65" i="33"/>
  <c r="B65" i="33"/>
  <c r="A66" i="33"/>
  <c r="B66" i="33"/>
  <c r="A67" i="33"/>
  <c r="B67" i="33"/>
  <c r="A68" i="33"/>
  <c r="B68" i="33"/>
  <c r="A69" i="33"/>
  <c r="B69" i="33"/>
  <c r="A70" i="33"/>
  <c r="B70" i="33"/>
  <c r="A71" i="33"/>
  <c r="B71" i="33"/>
  <c r="A72" i="33"/>
  <c r="B72" i="33"/>
  <c r="A73" i="33"/>
  <c r="B73" i="33"/>
  <c r="A74" i="33"/>
  <c r="B74" i="33"/>
  <c r="A75" i="33"/>
  <c r="B75" i="33"/>
  <c r="A76" i="33"/>
  <c r="B76" i="33"/>
  <c r="A77" i="33"/>
  <c r="B77" i="33"/>
  <c r="A78" i="33"/>
  <c r="B78" i="33"/>
  <c r="A79" i="33"/>
  <c r="B79" i="33"/>
  <c r="A80" i="33"/>
  <c r="B80" i="33"/>
  <c r="A81" i="33"/>
  <c r="B81" i="33"/>
  <c r="A82" i="33"/>
  <c r="B82" i="33"/>
  <c r="A83" i="33"/>
  <c r="B83" i="33"/>
  <c r="A84" i="33"/>
  <c r="B84" i="33"/>
  <c r="A85" i="33"/>
  <c r="B85" i="33"/>
  <c r="A86" i="33"/>
  <c r="B86" i="33"/>
  <c r="A87" i="33"/>
  <c r="B87" i="33"/>
  <c r="A88" i="33"/>
  <c r="B88" i="33"/>
  <c r="A89" i="33"/>
  <c r="B89" i="33"/>
  <c r="A90" i="33"/>
  <c r="B90" i="33"/>
  <c r="A91" i="33"/>
  <c r="B91" i="33"/>
  <c r="A92" i="33"/>
  <c r="B92" i="33"/>
  <c r="A93" i="33"/>
  <c r="B93" i="33"/>
  <c r="A94" i="33"/>
  <c r="B94" i="33"/>
  <c r="A95" i="33"/>
  <c r="B95" i="33"/>
  <c r="A96" i="33"/>
  <c r="B96" i="33"/>
  <c r="A97" i="33"/>
  <c r="B97" i="33"/>
  <c r="A98" i="33"/>
  <c r="B98" i="33"/>
  <c r="A99" i="33"/>
  <c r="B99" i="33"/>
  <c r="A100" i="33"/>
  <c r="B100" i="33"/>
  <c r="A101" i="33"/>
  <c r="B101" i="33"/>
  <c r="A102" i="33"/>
  <c r="B102" i="33"/>
  <c r="A103" i="33"/>
  <c r="B103" i="33"/>
  <c r="A104" i="33"/>
  <c r="B104" i="33"/>
  <c r="A105" i="33"/>
  <c r="B105" i="33"/>
  <c r="A106" i="33"/>
  <c r="B106" i="33"/>
  <c r="A107" i="33"/>
  <c r="B107" i="33"/>
  <c r="A108" i="33"/>
  <c r="B108" i="33"/>
  <c r="A109" i="33"/>
  <c r="B109" i="33"/>
  <c r="A110" i="33"/>
  <c r="B110" i="33"/>
  <c r="A111" i="33"/>
  <c r="B111" i="33"/>
  <c r="A112" i="33"/>
  <c r="B112" i="33"/>
  <c r="A113" i="33"/>
  <c r="B113" i="33"/>
  <c r="A114" i="33"/>
  <c r="B114" i="33"/>
  <c r="A115" i="33"/>
  <c r="B115" i="33"/>
  <c r="A116" i="33"/>
  <c r="B116" i="33"/>
  <c r="A117" i="33"/>
  <c r="B117" i="33"/>
  <c r="A118" i="33"/>
  <c r="B118" i="33"/>
  <c r="A119" i="33"/>
  <c r="B119" i="33"/>
  <c r="A120" i="33"/>
  <c r="B120" i="33"/>
  <c r="A121" i="33"/>
  <c r="B121" i="33"/>
  <c r="A122" i="33"/>
  <c r="B122" i="33"/>
  <c r="A123" i="33"/>
  <c r="B123" i="33"/>
  <c r="A124" i="33"/>
  <c r="B124" i="33"/>
  <c r="A125" i="33"/>
  <c r="B125" i="33"/>
  <c r="A126" i="33"/>
  <c r="B126" i="33"/>
  <c r="A127" i="33"/>
  <c r="B127" i="33"/>
  <c r="A128" i="33"/>
  <c r="B128" i="33"/>
  <c r="A129" i="33"/>
  <c r="B129" i="33"/>
  <c r="A130" i="33"/>
  <c r="B130" i="33"/>
  <c r="A131" i="33"/>
  <c r="B131" i="33"/>
  <c r="A132" i="33"/>
  <c r="B132" i="33"/>
  <c r="A133" i="33"/>
  <c r="B133" i="33"/>
  <c r="A134" i="33"/>
  <c r="B134" i="33"/>
  <c r="A135" i="33"/>
  <c r="B135" i="33"/>
  <c r="A136" i="33"/>
  <c r="B136" i="33"/>
  <c r="A137" i="33"/>
  <c r="B137" i="33"/>
  <c r="A138" i="33"/>
  <c r="B138" i="33"/>
  <c r="A139" i="33"/>
  <c r="B139" i="33"/>
  <c r="A140" i="33"/>
  <c r="B140" i="33"/>
  <c r="A141" i="33"/>
  <c r="B141" i="33"/>
  <c r="A142" i="33"/>
  <c r="B142" i="33"/>
  <c r="A143" i="33"/>
  <c r="B143" i="33"/>
  <c r="A144" i="33"/>
  <c r="B144" i="33"/>
  <c r="A145" i="33"/>
  <c r="B145" i="33"/>
  <c r="A146" i="33"/>
  <c r="B146" i="33"/>
  <c r="A147" i="33"/>
  <c r="B147" i="33"/>
  <c r="A148" i="33"/>
  <c r="B148" i="33"/>
  <c r="A149" i="33"/>
  <c r="B149" i="33"/>
  <c r="A150" i="33"/>
  <c r="B150" i="33"/>
  <c r="A151" i="33"/>
  <c r="B151" i="33"/>
  <c r="A152" i="33"/>
  <c r="B152" i="33"/>
  <c r="A153" i="33"/>
  <c r="B153" i="33"/>
  <c r="A154" i="33"/>
  <c r="B154" i="33"/>
  <c r="A155" i="33"/>
  <c r="B155" i="33"/>
  <c r="A156" i="33"/>
  <c r="B156" i="33"/>
  <c r="A157" i="33"/>
  <c r="B157" i="33"/>
  <c r="A158" i="33"/>
  <c r="B158" i="33"/>
  <c r="A159" i="33"/>
  <c r="B159" i="33"/>
  <c r="A160" i="33"/>
  <c r="B160" i="33"/>
  <c r="A161" i="33"/>
  <c r="B161" i="33"/>
  <c r="A162" i="33"/>
  <c r="B162" i="33"/>
  <c r="A163" i="33"/>
  <c r="B163" i="33"/>
  <c r="A164" i="33"/>
  <c r="B164" i="33"/>
  <c r="A165" i="33"/>
  <c r="B165" i="33"/>
  <c r="A166" i="33"/>
  <c r="B166" i="33"/>
  <c r="A167" i="33"/>
  <c r="B167" i="33"/>
  <c r="A168" i="33"/>
  <c r="B168" i="33"/>
  <c r="A169" i="33"/>
  <c r="B169" i="33"/>
  <c r="A170" i="33"/>
  <c r="B170" i="33"/>
  <c r="A171" i="33"/>
  <c r="B171" i="33"/>
  <c r="A172" i="33"/>
  <c r="B172" i="33"/>
  <c r="A173" i="33"/>
  <c r="B173" i="33"/>
  <c r="A174" i="33"/>
  <c r="B174" i="33"/>
  <c r="A175" i="33"/>
  <c r="B175" i="33"/>
  <c r="A176" i="33"/>
  <c r="B176" i="33"/>
  <c r="A177" i="33"/>
  <c r="B177" i="33"/>
  <c r="A178" i="33"/>
  <c r="B178" i="33"/>
  <c r="A179" i="33"/>
  <c r="B179" i="33"/>
  <c r="A180" i="33"/>
  <c r="B180" i="33"/>
  <c r="A181" i="33"/>
  <c r="B181" i="33"/>
  <c r="A182" i="33"/>
  <c r="B182" i="33"/>
  <c r="A183" i="33"/>
  <c r="B183" i="33"/>
  <c r="A184" i="33"/>
  <c r="B184" i="33"/>
  <c r="A185" i="33"/>
  <c r="B185" i="33"/>
  <c r="A186" i="33"/>
  <c r="B186" i="33"/>
  <c r="A187" i="33"/>
  <c r="B187" i="33"/>
  <c r="A188" i="33"/>
  <c r="B188" i="33"/>
  <c r="A189" i="33"/>
  <c r="B189" i="33"/>
  <c r="A190" i="33"/>
  <c r="B190" i="33"/>
  <c r="A191" i="33"/>
  <c r="B191" i="33"/>
  <c r="A192" i="33"/>
  <c r="B192" i="33"/>
  <c r="A193" i="33"/>
  <c r="B193" i="33"/>
  <c r="A194" i="33"/>
  <c r="B194" i="33"/>
  <c r="A195" i="33"/>
  <c r="B195" i="33"/>
  <c r="A196" i="33"/>
  <c r="B196" i="33"/>
  <c r="A197" i="33"/>
  <c r="B197" i="33"/>
  <c r="A198" i="33"/>
  <c r="B198" i="33"/>
  <c r="A199" i="33"/>
  <c r="B199" i="33"/>
  <c r="A200" i="33"/>
  <c r="B200" i="33"/>
  <c r="A201" i="33"/>
  <c r="B201" i="33"/>
  <c r="A202" i="33"/>
  <c r="B202" i="33"/>
  <c r="A203" i="33"/>
  <c r="B203" i="33"/>
  <c r="A204" i="33"/>
  <c r="B204" i="33"/>
  <c r="A205" i="33"/>
  <c r="B205" i="33"/>
  <c r="A206" i="33"/>
  <c r="B206" i="33"/>
  <c r="A207" i="33"/>
  <c r="B207" i="33"/>
  <c r="A208" i="33"/>
  <c r="B208" i="33"/>
  <c r="A209" i="33"/>
  <c r="B209" i="33"/>
  <c r="A210" i="33"/>
  <c r="B210" i="33"/>
  <c r="A211" i="33"/>
  <c r="B211" i="33"/>
  <c r="A212" i="33"/>
  <c r="B212" i="33"/>
  <c r="A213" i="33"/>
  <c r="B213" i="33"/>
  <c r="A214" i="33"/>
  <c r="B214" i="33"/>
  <c r="A215" i="33"/>
  <c r="B215" i="33"/>
  <c r="A216" i="33"/>
  <c r="B216" i="33"/>
  <c r="A217" i="33"/>
  <c r="B217" i="33"/>
  <c r="A218" i="33"/>
  <c r="B218" i="33"/>
  <c r="A219" i="33"/>
  <c r="B219" i="33"/>
  <c r="A220" i="33"/>
  <c r="B220" i="33"/>
  <c r="A221" i="33"/>
  <c r="B221" i="33"/>
  <c r="A222" i="33"/>
  <c r="B222" i="33"/>
  <c r="A223" i="33"/>
  <c r="B223" i="33"/>
  <c r="A224" i="33"/>
  <c r="B224" i="33"/>
  <c r="A225" i="33"/>
  <c r="B225" i="33"/>
  <c r="A226" i="33"/>
  <c r="B226" i="33"/>
  <c r="A227" i="33"/>
  <c r="B227" i="33"/>
  <c r="A228" i="33"/>
  <c r="B228" i="33"/>
  <c r="A229" i="33"/>
  <c r="B229" i="33"/>
  <c r="A230" i="33"/>
  <c r="B230" i="33"/>
  <c r="A231" i="33"/>
  <c r="B231" i="33"/>
  <c r="A232" i="33"/>
  <c r="B232" i="33"/>
  <c r="A233" i="33"/>
  <c r="B233" i="33"/>
  <c r="A234" i="33"/>
  <c r="B234" i="33"/>
  <c r="A235" i="33"/>
  <c r="B235" i="33"/>
  <c r="A236" i="33"/>
  <c r="B236" i="33"/>
  <c r="A237" i="33"/>
  <c r="B237" i="33"/>
  <c r="A238" i="33"/>
  <c r="B238" i="33"/>
  <c r="A239" i="33"/>
  <c r="B239" i="33"/>
  <c r="A240" i="33"/>
  <c r="B240" i="33"/>
  <c r="A241" i="33"/>
  <c r="B241" i="33"/>
  <c r="A242" i="33"/>
  <c r="B242" i="33"/>
  <c r="A243" i="33"/>
  <c r="B243" i="33"/>
  <c r="A244" i="33"/>
  <c r="B244" i="33"/>
  <c r="A245" i="33"/>
  <c r="B245" i="33"/>
  <c r="A246" i="33"/>
  <c r="B246" i="33"/>
  <c r="A247" i="33"/>
  <c r="B247" i="33"/>
  <c r="A248" i="33"/>
  <c r="B248" i="33"/>
  <c r="A249" i="33"/>
  <c r="B249" i="33"/>
  <c r="A250" i="33"/>
  <c r="B250" i="33"/>
  <c r="A251" i="33"/>
  <c r="B251" i="33"/>
  <c r="A252" i="33"/>
  <c r="B252" i="33"/>
  <c r="A253" i="33"/>
  <c r="B253" i="33"/>
  <c r="A254" i="33"/>
  <c r="B254" i="33"/>
  <c r="A255" i="33"/>
  <c r="B255" i="33"/>
  <c r="A256" i="33"/>
  <c r="B256" i="33"/>
  <c r="A257" i="33"/>
  <c r="B257" i="33"/>
  <c r="A258" i="33"/>
  <c r="B258" i="33"/>
  <c r="A259" i="33"/>
  <c r="B259" i="33"/>
  <c r="A260" i="33"/>
  <c r="B260" i="33"/>
  <c r="A261" i="33"/>
  <c r="B261" i="33"/>
  <c r="A262" i="33"/>
  <c r="B262" i="33"/>
  <c r="A263" i="33"/>
  <c r="B263" i="33"/>
  <c r="A264" i="33"/>
  <c r="B264" i="33"/>
  <c r="A265" i="33"/>
  <c r="B265" i="33"/>
  <c r="A266" i="33"/>
  <c r="B266" i="33"/>
  <c r="A267" i="33"/>
  <c r="B267" i="33"/>
  <c r="A268" i="33"/>
  <c r="B268" i="33"/>
  <c r="A269" i="33"/>
  <c r="B269" i="33"/>
  <c r="A270" i="33"/>
  <c r="B270" i="33"/>
  <c r="A271" i="33"/>
  <c r="B271" i="33"/>
  <c r="A272" i="33"/>
  <c r="B272" i="33"/>
  <c r="A273" i="33"/>
  <c r="B273" i="33"/>
  <c r="A274" i="33"/>
  <c r="B274" i="33"/>
  <c r="A275" i="33"/>
  <c r="B275" i="33"/>
  <c r="A276" i="33"/>
  <c r="B276" i="33"/>
  <c r="A277" i="33"/>
  <c r="B277" i="33"/>
  <c r="A278" i="33"/>
  <c r="B278" i="33"/>
  <c r="A279" i="33"/>
  <c r="B279" i="33"/>
  <c r="A280" i="33"/>
  <c r="B280" i="33"/>
  <c r="A281" i="33"/>
  <c r="B281" i="33"/>
  <c r="A282" i="33"/>
  <c r="B282" i="33"/>
  <c r="A283" i="33"/>
  <c r="B283" i="33"/>
  <c r="A284" i="33"/>
  <c r="B284" i="33"/>
  <c r="A285" i="33"/>
  <c r="B285" i="33"/>
  <c r="A286" i="33"/>
  <c r="B286" i="33"/>
  <c r="A287" i="33"/>
  <c r="B287" i="33"/>
  <c r="A288" i="33"/>
  <c r="B288" i="33"/>
  <c r="A289" i="33"/>
  <c r="B289" i="33"/>
  <c r="A290" i="33"/>
  <c r="B290" i="33"/>
  <c r="A291" i="33"/>
  <c r="B291" i="33"/>
  <c r="A292" i="33"/>
  <c r="B292" i="33"/>
  <c r="A293" i="33"/>
  <c r="B293" i="33"/>
  <c r="A294" i="33"/>
  <c r="B294" i="33"/>
  <c r="A295" i="33"/>
  <c r="B295" i="33"/>
  <c r="A296" i="33"/>
  <c r="B296" i="33"/>
  <c r="A297" i="33"/>
  <c r="B297" i="33"/>
  <c r="A298" i="33"/>
  <c r="B298" i="33"/>
  <c r="A299" i="33"/>
  <c r="B299" i="33"/>
  <c r="A300" i="33"/>
  <c r="B300" i="33"/>
  <c r="A301" i="33"/>
  <c r="B301" i="33"/>
  <c r="A302" i="33"/>
  <c r="B302" i="33"/>
  <c r="A303" i="33"/>
  <c r="B303" i="33"/>
  <c r="A304" i="33"/>
  <c r="B304" i="33"/>
  <c r="A305" i="33"/>
  <c r="B305" i="33"/>
  <c r="A306" i="33"/>
  <c r="B306" i="33"/>
  <c r="A307" i="33"/>
  <c r="B307" i="33"/>
  <c r="A308" i="33"/>
  <c r="B308" i="33"/>
  <c r="A309" i="33"/>
  <c r="B309" i="33"/>
  <c r="A310" i="33"/>
  <c r="B310" i="33"/>
  <c r="A311" i="33"/>
  <c r="B311" i="33"/>
  <c r="A312" i="33"/>
  <c r="B312" i="33"/>
  <c r="A313" i="33"/>
  <c r="B313" i="33"/>
  <c r="A6" i="32"/>
  <c r="B6" i="32"/>
  <c r="A7" i="32"/>
  <c r="B7" i="32"/>
  <c r="A8" i="32"/>
  <c r="B8" i="32"/>
  <c r="A9" i="32"/>
  <c r="B9" i="32"/>
  <c r="A10" i="32"/>
  <c r="B10" i="32"/>
  <c r="A11" i="32"/>
  <c r="B11" i="32"/>
  <c r="A12" i="32"/>
  <c r="B12" i="32"/>
  <c r="A13" i="32"/>
  <c r="B13" i="32"/>
  <c r="A14" i="32"/>
  <c r="B14" i="32"/>
  <c r="A15" i="32"/>
  <c r="B15" i="32"/>
  <c r="A16" i="32"/>
  <c r="B16" i="32"/>
  <c r="A17" i="32"/>
  <c r="B17" i="32"/>
  <c r="A18" i="32"/>
  <c r="B18" i="32"/>
  <c r="A19" i="32"/>
  <c r="B19" i="32"/>
  <c r="A20" i="32"/>
  <c r="B20" i="32"/>
  <c r="A21" i="32"/>
  <c r="B21" i="32"/>
  <c r="A22" i="32"/>
  <c r="B22" i="32"/>
  <c r="A23" i="32"/>
  <c r="B23" i="32"/>
  <c r="A24" i="32"/>
  <c r="B24" i="32"/>
  <c r="A25" i="32"/>
  <c r="B25" i="32"/>
  <c r="A26" i="32"/>
  <c r="B26" i="32"/>
  <c r="A27" i="32"/>
  <c r="B27" i="32"/>
  <c r="A28" i="32"/>
  <c r="B28" i="32"/>
  <c r="A29" i="32"/>
  <c r="B29" i="32"/>
  <c r="A30" i="32"/>
  <c r="B30" i="32"/>
  <c r="A31" i="32"/>
  <c r="B31" i="32"/>
  <c r="A32" i="32"/>
  <c r="B32" i="32"/>
  <c r="A33" i="32"/>
  <c r="B33" i="32"/>
  <c r="A34" i="32"/>
  <c r="B34" i="32"/>
  <c r="A35" i="32"/>
  <c r="B35" i="32"/>
  <c r="A36" i="32"/>
  <c r="B36" i="32"/>
  <c r="A37" i="32"/>
  <c r="B37" i="32"/>
  <c r="A38" i="32"/>
  <c r="B38" i="32"/>
  <c r="A39" i="32"/>
  <c r="B39" i="32"/>
  <c r="A40" i="32"/>
  <c r="B40" i="32"/>
  <c r="A41" i="32"/>
  <c r="B41" i="32"/>
  <c r="A42" i="32"/>
  <c r="B42" i="32"/>
  <c r="A43" i="32"/>
  <c r="B43" i="32"/>
  <c r="A44" i="32"/>
  <c r="B44" i="32"/>
  <c r="A45" i="32"/>
  <c r="B45" i="32"/>
  <c r="A46" i="32"/>
  <c r="B46" i="32"/>
  <c r="A47" i="32"/>
  <c r="B47" i="32"/>
  <c r="A48" i="32"/>
  <c r="B48" i="32"/>
  <c r="A49" i="32"/>
  <c r="B49" i="32"/>
  <c r="A50" i="32"/>
  <c r="B50" i="32"/>
  <c r="A51" i="32"/>
  <c r="B51" i="32"/>
  <c r="A52" i="32"/>
  <c r="B52" i="32"/>
  <c r="A53" i="32"/>
  <c r="B53" i="32"/>
  <c r="A54" i="32"/>
  <c r="B54" i="32"/>
  <c r="A55" i="32"/>
  <c r="B55" i="32"/>
  <c r="A56" i="32"/>
  <c r="B56" i="32"/>
  <c r="A57" i="32"/>
  <c r="B57" i="32"/>
  <c r="A58" i="32"/>
  <c r="B58" i="32"/>
  <c r="A59" i="32"/>
  <c r="B59" i="32"/>
  <c r="A60" i="32"/>
  <c r="B60" i="32"/>
  <c r="A61" i="32"/>
  <c r="B61" i="32"/>
  <c r="A62" i="32"/>
  <c r="B62" i="32"/>
  <c r="A63" i="32"/>
  <c r="B63" i="32"/>
  <c r="A64" i="32"/>
  <c r="B64" i="32"/>
  <c r="A65" i="32"/>
  <c r="B65" i="32"/>
  <c r="A66" i="32"/>
  <c r="B66" i="32"/>
  <c r="A67" i="32"/>
  <c r="B67" i="32"/>
  <c r="A68" i="32"/>
  <c r="B68" i="32"/>
  <c r="A69" i="32"/>
  <c r="B69" i="32"/>
  <c r="A70" i="32"/>
  <c r="B70" i="32"/>
  <c r="A71" i="32"/>
  <c r="B71" i="32"/>
  <c r="A72" i="32"/>
  <c r="B72" i="32"/>
  <c r="A73" i="32"/>
  <c r="B73" i="32"/>
  <c r="A74" i="32"/>
  <c r="B74" i="32"/>
  <c r="A75" i="32"/>
  <c r="B75" i="32"/>
  <c r="A76" i="32"/>
  <c r="B76" i="32"/>
  <c r="A77" i="32"/>
  <c r="B77" i="32"/>
  <c r="A78" i="32"/>
  <c r="B78" i="32"/>
  <c r="A79" i="32"/>
  <c r="B79" i="32"/>
  <c r="A80" i="32"/>
  <c r="B80" i="32"/>
  <c r="A81" i="32"/>
  <c r="B81" i="32"/>
  <c r="A82" i="32"/>
  <c r="B82" i="32"/>
  <c r="A83" i="32"/>
  <c r="B83" i="32"/>
  <c r="A84" i="32"/>
  <c r="B84" i="32"/>
  <c r="A85" i="32"/>
  <c r="B85" i="32"/>
  <c r="A86" i="32"/>
  <c r="B86" i="32"/>
  <c r="A87" i="32"/>
  <c r="B87" i="32"/>
  <c r="A88" i="32"/>
  <c r="B88" i="32"/>
  <c r="A89" i="32"/>
  <c r="B89" i="32"/>
  <c r="A90" i="32"/>
  <c r="B90" i="32"/>
  <c r="A91" i="32"/>
  <c r="B91" i="32"/>
  <c r="A92" i="32"/>
  <c r="B92" i="32"/>
  <c r="A93" i="32"/>
  <c r="B93" i="32"/>
  <c r="A94" i="32"/>
  <c r="B94" i="32"/>
  <c r="A95" i="32"/>
  <c r="B95" i="32"/>
  <c r="A96" i="32"/>
  <c r="B96" i="32"/>
  <c r="A97" i="32"/>
  <c r="B97" i="32"/>
  <c r="A98" i="32"/>
  <c r="B98" i="32"/>
  <c r="A99" i="32"/>
  <c r="B99" i="32"/>
  <c r="A100" i="32"/>
  <c r="B100" i="32"/>
  <c r="A101" i="32"/>
  <c r="B101" i="32"/>
  <c r="A102" i="32"/>
  <c r="B102" i="32"/>
  <c r="A103" i="32"/>
  <c r="B103" i="32"/>
  <c r="A104" i="32"/>
  <c r="B104" i="32"/>
  <c r="A105" i="32"/>
  <c r="B105" i="32"/>
  <c r="A106" i="32"/>
  <c r="B106" i="32"/>
  <c r="A107" i="32"/>
  <c r="B107" i="32"/>
  <c r="A108" i="32"/>
  <c r="B108" i="32"/>
  <c r="A109" i="32"/>
  <c r="B109" i="32"/>
  <c r="A110" i="32"/>
  <c r="B110" i="32"/>
  <c r="A111" i="32"/>
  <c r="B111" i="32"/>
  <c r="A112" i="32"/>
  <c r="B112" i="32"/>
  <c r="A113" i="32"/>
  <c r="B113" i="32"/>
  <c r="A114" i="32"/>
  <c r="B114" i="32"/>
  <c r="A115" i="32"/>
  <c r="B115" i="32"/>
  <c r="A116" i="32"/>
  <c r="B116" i="32"/>
  <c r="A117" i="32"/>
  <c r="B117" i="32"/>
  <c r="A118" i="32"/>
  <c r="B118" i="32"/>
  <c r="A119" i="32"/>
  <c r="B119" i="32"/>
  <c r="A120" i="32"/>
  <c r="B120" i="32"/>
  <c r="A121" i="32"/>
  <c r="B121" i="32"/>
  <c r="A122" i="32"/>
  <c r="B122" i="32"/>
  <c r="A123" i="32"/>
  <c r="B123" i="32"/>
  <c r="A124" i="32"/>
  <c r="B124" i="32"/>
  <c r="A125" i="32"/>
  <c r="B125" i="32"/>
  <c r="A126" i="32"/>
  <c r="B126" i="32"/>
  <c r="A127" i="32"/>
  <c r="B127" i="32"/>
  <c r="A128" i="32"/>
  <c r="B128" i="32"/>
  <c r="A129" i="32"/>
  <c r="B129" i="32"/>
  <c r="A130" i="32"/>
  <c r="B130" i="32"/>
  <c r="A131" i="32"/>
  <c r="B131" i="32"/>
  <c r="A132" i="32"/>
  <c r="B132" i="32"/>
  <c r="A133" i="32"/>
  <c r="B133" i="32"/>
  <c r="A134" i="32"/>
  <c r="B134" i="32"/>
  <c r="A135" i="32"/>
  <c r="B135" i="32"/>
  <c r="A136" i="32"/>
  <c r="B136" i="32"/>
  <c r="A137" i="32"/>
  <c r="B137" i="32"/>
  <c r="A138" i="32"/>
  <c r="B138" i="32"/>
  <c r="A139" i="32"/>
  <c r="B139" i="32"/>
  <c r="A140" i="32"/>
  <c r="B140" i="32"/>
  <c r="A141" i="32"/>
  <c r="B141" i="32"/>
  <c r="A142" i="32"/>
  <c r="B142" i="32"/>
  <c r="A143" i="32"/>
  <c r="B143" i="32"/>
  <c r="A144" i="32"/>
  <c r="B144" i="32"/>
  <c r="A145" i="32"/>
  <c r="B145" i="32"/>
  <c r="A146" i="32"/>
  <c r="B146" i="32"/>
  <c r="A147" i="32"/>
  <c r="B147" i="32"/>
  <c r="A148" i="32"/>
  <c r="B148" i="32"/>
  <c r="A149" i="32"/>
  <c r="B149" i="32"/>
  <c r="A150" i="32"/>
  <c r="B150" i="32"/>
  <c r="A151" i="32"/>
  <c r="B151" i="32"/>
  <c r="A152" i="32"/>
  <c r="B152" i="32"/>
  <c r="A153" i="32"/>
  <c r="B153" i="32"/>
  <c r="A154" i="32"/>
  <c r="B154" i="32"/>
  <c r="A155" i="32"/>
  <c r="B155" i="32"/>
  <c r="A156" i="32"/>
  <c r="B156" i="32"/>
  <c r="A157" i="32"/>
  <c r="B157" i="32"/>
  <c r="A158" i="32"/>
  <c r="B158" i="32"/>
  <c r="A159" i="32"/>
  <c r="B159" i="32"/>
  <c r="A160" i="32"/>
  <c r="B160" i="32"/>
  <c r="A161" i="32"/>
  <c r="B161" i="32"/>
  <c r="A162" i="32"/>
  <c r="B162" i="32"/>
  <c r="A163" i="32"/>
  <c r="B163" i="32"/>
  <c r="A164" i="32"/>
  <c r="B164" i="32"/>
  <c r="A165" i="32"/>
  <c r="B165" i="32"/>
  <c r="A166" i="32"/>
  <c r="B166" i="32"/>
  <c r="A167" i="32"/>
  <c r="B167" i="32"/>
  <c r="A168" i="32"/>
  <c r="B168" i="32"/>
  <c r="A169" i="32"/>
  <c r="B169" i="32"/>
  <c r="A170" i="32"/>
  <c r="B170" i="32"/>
  <c r="A171" i="32"/>
  <c r="B171" i="32"/>
  <c r="A172" i="32"/>
  <c r="B172" i="32"/>
  <c r="A173" i="32"/>
  <c r="B173" i="32"/>
  <c r="A174" i="32"/>
  <c r="B174" i="32"/>
  <c r="A175" i="32"/>
  <c r="B175" i="32"/>
  <c r="A176" i="32"/>
  <c r="B176" i="32"/>
  <c r="A177" i="32"/>
  <c r="B177" i="32"/>
  <c r="A178" i="32"/>
  <c r="B178" i="32"/>
  <c r="A179" i="32"/>
  <c r="B179" i="32"/>
  <c r="A180" i="32"/>
  <c r="B180" i="32"/>
  <c r="A181" i="32"/>
  <c r="B181" i="32"/>
  <c r="A182" i="32"/>
  <c r="B182" i="32"/>
  <c r="A183" i="32"/>
  <c r="B183" i="32"/>
  <c r="A184" i="32"/>
  <c r="B184" i="32"/>
  <c r="A185" i="32"/>
  <c r="B185" i="32"/>
  <c r="A186" i="32"/>
  <c r="B186" i="32"/>
  <c r="A187" i="32"/>
  <c r="B187" i="32"/>
  <c r="A188" i="32"/>
  <c r="B188" i="32"/>
  <c r="A189" i="32"/>
  <c r="B189" i="32"/>
  <c r="A190" i="32"/>
  <c r="B190" i="32"/>
  <c r="A191" i="32"/>
  <c r="B191" i="32"/>
  <c r="A192" i="32"/>
  <c r="B192" i="32"/>
  <c r="A193" i="32"/>
  <c r="B193" i="32"/>
  <c r="A194" i="32"/>
  <c r="B194" i="32"/>
  <c r="A195" i="32"/>
  <c r="B195" i="32"/>
  <c r="A196" i="32"/>
  <c r="B196" i="32"/>
  <c r="A197" i="32"/>
  <c r="B197" i="32"/>
  <c r="A198" i="32"/>
  <c r="B198" i="32"/>
  <c r="A199" i="32"/>
  <c r="B199" i="32"/>
  <c r="A200" i="32"/>
  <c r="B200" i="32"/>
  <c r="A201" i="32"/>
  <c r="B201" i="32"/>
  <c r="A202" i="32"/>
  <c r="B202" i="32"/>
  <c r="A203" i="32"/>
  <c r="B203" i="32"/>
  <c r="A204" i="32"/>
  <c r="B204" i="32"/>
  <c r="A205" i="32"/>
  <c r="B205" i="32"/>
  <c r="A206" i="32"/>
  <c r="B206" i="32"/>
  <c r="A207" i="32"/>
  <c r="B207" i="32"/>
  <c r="A208" i="32"/>
  <c r="B208" i="32"/>
  <c r="A209" i="32"/>
  <c r="B209" i="32"/>
  <c r="A210" i="32"/>
  <c r="B210" i="32"/>
  <c r="A211" i="32"/>
  <c r="B211" i="32"/>
  <c r="A212" i="32"/>
  <c r="B212" i="32"/>
  <c r="A213" i="32"/>
  <c r="B213" i="32"/>
  <c r="A214" i="32"/>
  <c r="B214" i="32"/>
  <c r="A215" i="32"/>
  <c r="B215" i="32"/>
  <c r="A216" i="32"/>
  <c r="B216" i="32"/>
  <c r="A217" i="32"/>
  <c r="B217" i="32"/>
  <c r="A218" i="32"/>
  <c r="B218" i="32"/>
  <c r="A219" i="32"/>
  <c r="B219" i="32"/>
  <c r="A220" i="32"/>
  <c r="B220" i="32"/>
  <c r="A221" i="32"/>
  <c r="B221" i="32"/>
  <c r="A222" i="32"/>
  <c r="B222" i="32"/>
  <c r="A223" i="32"/>
  <c r="B223" i="32"/>
  <c r="A224" i="32"/>
  <c r="B224" i="32"/>
  <c r="A225" i="32"/>
  <c r="B225" i="32"/>
  <c r="A226" i="32"/>
  <c r="B226" i="32"/>
  <c r="A227" i="32"/>
  <c r="B227" i="32"/>
  <c r="A228" i="32"/>
  <c r="B228" i="32"/>
  <c r="A229" i="32"/>
  <c r="B229" i="32"/>
  <c r="A230" i="32"/>
  <c r="B230" i="32"/>
  <c r="A231" i="32"/>
  <c r="B231" i="32"/>
  <c r="A232" i="32"/>
  <c r="B232" i="32"/>
  <c r="A233" i="32"/>
  <c r="B233" i="32"/>
  <c r="A234" i="32"/>
  <c r="B234" i="32"/>
  <c r="A235" i="32"/>
  <c r="B235" i="32"/>
  <c r="A236" i="32"/>
  <c r="B236" i="32"/>
  <c r="A237" i="32"/>
  <c r="B237" i="32"/>
  <c r="A238" i="32"/>
  <c r="B238" i="32"/>
  <c r="A239" i="32"/>
  <c r="B239" i="32"/>
  <c r="A240" i="32"/>
  <c r="B240" i="32"/>
  <c r="A241" i="32"/>
  <c r="B241" i="32"/>
  <c r="A242" i="32"/>
  <c r="B242" i="32"/>
  <c r="A243" i="32"/>
  <c r="B243" i="32"/>
  <c r="A244" i="32"/>
  <c r="B244" i="32"/>
  <c r="A245" i="32"/>
  <c r="B245" i="32"/>
  <c r="A246" i="32"/>
  <c r="B246" i="32"/>
  <c r="A247" i="32"/>
  <c r="B247" i="32"/>
  <c r="A248" i="32"/>
  <c r="B248" i="32"/>
  <c r="A249" i="32"/>
  <c r="B249" i="32"/>
  <c r="A250" i="32"/>
  <c r="B250" i="32"/>
  <c r="A251" i="32"/>
  <c r="B251" i="32"/>
  <c r="A252" i="32"/>
  <c r="B252" i="32"/>
  <c r="A253" i="32"/>
  <c r="B253" i="32"/>
  <c r="A254" i="32"/>
  <c r="B254" i="32"/>
  <c r="A255" i="32"/>
  <c r="B255" i="32"/>
  <c r="A256" i="32"/>
  <c r="B256" i="32"/>
  <c r="A257" i="32"/>
  <c r="B257" i="32"/>
  <c r="A258" i="32"/>
  <c r="B258" i="32"/>
  <c r="A259" i="32"/>
  <c r="B259" i="32"/>
  <c r="A260" i="32"/>
  <c r="B260" i="32"/>
  <c r="A261" i="32"/>
  <c r="B261" i="32"/>
  <c r="A262" i="32"/>
  <c r="B262" i="32"/>
  <c r="A263" i="32"/>
  <c r="B263" i="32"/>
  <c r="A264" i="32"/>
  <c r="B264" i="32"/>
  <c r="A265" i="32"/>
  <c r="B265" i="32"/>
  <c r="A266" i="32"/>
  <c r="B266" i="32"/>
  <c r="A267" i="32"/>
  <c r="B267" i="32"/>
  <c r="A268" i="32"/>
  <c r="B268" i="32"/>
  <c r="A269" i="32"/>
  <c r="B269" i="32"/>
  <c r="A270" i="32"/>
  <c r="B270" i="32"/>
  <c r="A271" i="32"/>
  <c r="B271" i="32"/>
  <c r="A272" i="32"/>
  <c r="B272" i="32"/>
  <c r="A273" i="32"/>
  <c r="B273" i="32"/>
  <c r="A274" i="32"/>
  <c r="B274" i="32"/>
  <c r="A275" i="32"/>
  <c r="B275" i="32"/>
  <c r="A276" i="32"/>
  <c r="B276" i="32"/>
  <c r="A277" i="32"/>
  <c r="B277" i="32"/>
  <c r="A278" i="32"/>
  <c r="B278" i="32"/>
  <c r="A279" i="32"/>
  <c r="B279" i="32"/>
  <c r="A280" i="32"/>
  <c r="B280" i="32"/>
  <c r="A281" i="32"/>
  <c r="B281" i="32"/>
  <c r="A282" i="32"/>
  <c r="B282" i="32"/>
  <c r="A283" i="32"/>
  <c r="B283" i="32"/>
  <c r="A284" i="32"/>
  <c r="B284" i="32"/>
  <c r="A285" i="32"/>
  <c r="B285" i="32"/>
  <c r="A286" i="32"/>
  <c r="B286" i="32"/>
  <c r="A287" i="32"/>
  <c r="B287" i="32"/>
  <c r="A288" i="32"/>
  <c r="B288" i="32"/>
  <c r="A289" i="32"/>
  <c r="B289" i="32"/>
  <c r="A290" i="32"/>
  <c r="B290" i="32"/>
  <c r="A291" i="32"/>
  <c r="B291" i="32"/>
  <c r="A292" i="32"/>
  <c r="B292" i="32"/>
  <c r="A293" i="32"/>
  <c r="B293" i="32"/>
  <c r="A294" i="32"/>
  <c r="B294" i="32"/>
  <c r="A295" i="32"/>
  <c r="B295" i="32"/>
  <c r="A296" i="32"/>
  <c r="B296" i="32"/>
  <c r="A297" i="32"/>
  <c r="B297" i="32"/>
  <c r="A298" i="32"/>
  <c r="B298" i="32"/>
  <c r="A299" i="32"/>
  <c r="B299" i="32"/>
  <c r="A300" i="32"/>
  <c r="B300" i="32"/>
  <c r="A301" i="32"/>
  <c r="B301" i="32"/>
  <c r="A302" i="32"/>
  <c r="B302" i="32"/>
  <c r="A303" i="32"/>
  <c r="B303" i="32"/>
  <c r="A304" i="32"/>
  <c r="B304" i="32"/>
  <c r="A305" i="32"/>
  <c r="B305" i="32"/>
  <c r="A306" i="32"/>
  <c r="B306" i="32"/>
  <c r="A307" i="32"/>
  <c r="B307" i="32"/>
  <c r="A308" i="32"/>
  <c r="B308" i="32"/>
  <c r="A309" i="32"/>
  <c r="B309" i="32"/>
  <c r="A310" i="32"/>
  <c r="B310" i="32"/>
  <c r="A311" i="32"/>
  <c r="B311" i="32"/>
  <c r="A312" i="32"/>
  <c r="B312" i="32"/>
  <c r="A313" i="32"/>
  <c r="B313" i="32"/>
  <c r="Z8" i="19"/>
  <c r="AA8" i="19"/>
  <c r="Z9" i="19"/>
  <c r="AA9" i="19"/>
  <c r="D8" i="25" s="1"/>
  <c r="Z10" i="19"/>
  <c r="AA10" i="19"/>
  <c r="Z11" i="19"/>
  <c r="AA11" i="19"/>
  <c r="D10" i="25" s="1"/>
  <c r="Z12" i="19"/>
  <c r="AA12" i="19"/>
  <c r="D11" i="25" s="1"/>
  <c r="Z13" i="19"/>
  <c r="AA13" i="19"/>
  <c r="Z14" i="19"/>
  <c r="AA14" i="19"/>
  <c r="Z15" i="19"/>
  <c r="AA15" i="19"/>
  <c r="Z16" i="19"/>
  <c r="AA16" i="19"/>
  <c r="D15" i="25" s="1"/>
  <c r="Z17" i="19"/>
  <c r="AA17" i="19"/>
  <c r="D16" i="25" s="1"/>
  <c r="Z18" i="19"/>
  <c r="AA18" i="19"/>
  <c r="Z19" i="19"/>
  <c r="AA19" i="19"/>
  <c r="Z20" i="19"/>
  <c r="AA20" i="19"/>
  <c r="D19" i="25" s="1"/>
  <c r="Z21" i="19"/>
  <c r="AA21" i="19"/>
  <c r="D20" i="25" s="1"/>
  <c r="Z22" i="19"/>
  <c r="AA22" i="19"/>
  <c r="Z23" i="19"/>
  <c r="AA23" i="19"/>
  <c r="Z24" i="19"/>
  <c r="AA24" i="19"/>
  <c r="D23" i="25" s="1"/>
  <c r="Z25" i="19"/>
  <c r="AA25" i="19"/>
  <c r="Z26" i="19"/>
  <c r="AA26" i="19"/>
  <c r="Z27" i="19"/>
  <c r="AA27" i="19"/>
  <c r="D26" i="25" s="1"/>
  <c r="Z28" i="19"/>
  <c r="AA28" i="19"/>
  <c r="Z29" i="19"/>
  <c r="AA29" i="19"/>
  <c r="D28" i="25" s="1"/>
  <c r="Z30" i="19"/>
  <c r="AA30" i="19"/>
  <c r="Z31" i="19"/>
  <c r="AA31" i="19"/>
  <c r="Z32" i="19"/>
  <c r="AA32" i="19"/>
  <c r="D31" i="25" s="1"/>
  <c r="Z33" i="19"/>
  <c r="AA33" i="19"/>
  <c r="D32" i="25" s="1"/>
  <c r="Z34" i="19"/>
  <c r="AA34" i="19"/>
  <c r="Z35" i="19"/>
  <c r="AA35" i="19"/>
  <c r="D34" i="25" s="1"/>
  <c r="Z36" i="19"/>
  <c r="AA36" i="19"/>
  <c r="D35" i="25" s="1"/>
  <c r="Z37" i="19"/>
  <c r="AA37" i="19"/>
  <c r="D36" i="25" s="1"/>
  <c r="Z38" i="19"/>
  <c r="AA38" i="19"/>
  <c r="Z39" i="19"/>
  <c r="AA39" i="19"/>
  <c r="Z40" i="19"/>
  <c r="AA40" i="19"/>
  <c r="Z41" i="19"/>
  <c r="AA41" i="19"/>
  <c r="Z42" i="19"/>
  <c r="AA42" i="19"/>
  <c r="Z43" i="19"/>
  <c r="AA43" i="19"/>
  <c r="D42" i="25" s="1"/>
  <c r="Z44" i="19"/>
  <c r="AA44" i="19"/>
  <c r="D43" i="25" s="1"/>
  <c r="Z45" i="19"/>
  <c r="AA45" i="19"/>
  <c r="Z46" i="19"/>
  <c r="AA46" i="19"/>
  <c r="Z47" i="19"/>
  <c r="AA47" i="19"/>
  <c r="Z48" i="19"/>
  <c r="AA48" i="19"/>
  <c r="D47" i="25" s="1"/>
  <c r="Z49" i="19"/>
  <c r="AA49" i="19"/>
  <c r="D48" i="25" s="1"/>
  <c r="Z50" i="19"/>
  <c r="AA50" i="19"/>
  <c r="Z51" i="19"/>
  <c r="AA51" i="19"/>
  <c r="Z52" i="19"/>
  <c r="AA52" i="19"/>
  <c r="D51" i="25" s="1"/>
  <c r="Z53" i="19"/>
  <c r="AA53" i="19"/>
  <c r="D52" i="25" s="1"/>
  <c r="Z54" i="19"/>
  <c r="AA54" i="19"/>
  <c r="Z55" i="19"/>
  <c r="AA55" i="19"/>
  <c r="Z56" i="19"/>
  <c r="AA56" i="19"/>
  <c r="D55" i="25" s="1"/>
  <c r="Z57" i="19"/>
  <c r="AA57" i="19"/>
  <c r="Z58" i="19"/>
  <c r="AA58" i="19"/>
  <c r="Z59" i="19"/>
  <c r="AA59" i="19"/>
  <c r="Z60" i="19"/>
  <c r="AA60" i="19"/>
  <c r="D59" i="25" s="1"/>
  <c r="Z61" i="19"/>
  <c r="AA61" i="19"/>
  <c r="D60" i="25" s="1"/>
  <c r="Z62" i="19"/>
  <c r="AA62" i="19"/>
  <c r="Z63" i="19"/>
  <c r="AA63" i="19"/>
  <c r="Z64" i="19"/>
  <c r="AA64" i="19"/>
  <c r="D63" i="25" s="1"/>
  <c r="Z65" i="19"/>
  <c r="AA65" i="19"/>
  <c r="D64" i="25" s="1"/>
  <c r="Z66" i="19"/>
  <c r="AA66" i="19"/>
  <c r="Z67" i="19"/>
  <c r="AA67" i="19"/>
  <c r="D66" i="25" s="1"/>
  <c r="Z68" i="19"/>
  <c r="AA68" i="19"/>
  <c r="Z69" i="19"/>
  <c r="AA69" i="19"/>
  <c r="D68" i="25" s="1"/>
  <c r="Z70" i="19"/>
  <c r="AA70" i="19"/>
  <c r="Z71" i="19"/>
  <c r="AA71" i="19"/>
  <c r="Z72" i="19"/>
  <c r="AA72" i="19"/>
  <c r="D71" i="25" s="1"/>
  <c r="Z73" i="19"/>
  <c r="AA73" i="19"/>
  <c r="D72" i="25" s="1"/>
  <c r="Z74" i="19"/>
  <c r="AA74" i="19"/>
  <c r="Z75" i="19"/>
  <c r="AA75" i="19"/>
  <c r="D74" i="25" s="1"/>
  <c r="Z76" i="19"/>
  <c r="AA76" i="19"/>
  <c r="Z77" i="19"/>
  <c r="AA77" i="19"/>
  <c r="Z78" i="19"/>
  <c r="AA78" i="19"/>
  <c r="Z79" i="19"/>
  <c r="AA79" i="19"/>
  <c r="Z80" i="19"/>
  <c r="AA80" i="19"/>
  <c r="Z81" i="19"/>
  <c r="AA81" i="19"/>
  <c r="D80" i="25" s="1"/>
  <c r="Z82" i="19"/>
  <c r="AA82" i="19"/>
  <c r="Z83" i="19"/>
  <c r="AA83" i="19"/>
  <c r="Z84" i="19"/>
  <c r="AA84" i="19"/>
  <c r="Z85" i="19"/>
  <c r="AA85" i="19"/>
  <c r="D84" i="25" s="1"/>
  <c r="Z86" i="19"/>
  <c r="AA86" i="19"/>
  <c r="Z87" i="19"/>
  <c r="AA87" i="19"/>
  <c r="Z88" i="19"/>
  <c r="AA88" i="19"/>
  <c r="Z89" i="19"/>
  <c r="AA89" i="19"/>
  <c r="Z90" i="19"/>
  <c r="AA90" i="19"/>
  <c r="Z91" i="19"/>
  <c r="AA91" i="19"/>
  <c r="D90" i="25" s="1"/>
  <c r="Z92" i="19"/>
  <c r="AA92" i="19"/>
  <c r="Z93" i="19"/>
  <c r="AA93" i="19"/>
  <c r="Z94" i="19"/>
  <c r="AA94" i="19"/>
  <c r="Z95" i="19"/>
  <c r="AA95" i="19"/>
  <c r="Z96" i="19"/>
  <c r="AA96" i="19"/>
  <c r="Z97" i="19"/>
  <c r="AA97" i="19"/>
  <c r="D96" i="25" s="1"/>
  <c r="Z98" i="19"/>
  <c r="AA98" i="19"/>
  <c r="D97" i="25" s="1"/>
  <c r="Z99" i="19"/>
  <c r="AA99" i="19"/>
  <c r="D98" i="25" s="1"/>
  <c r="Z100" i="19"/>
  <c r="AA100" i="19"/>
  <c r="Z101" i="19"/>
  <c r="AA101" i="19"/>
  <c r="D100" i="25" s="1"/>
  <c r="Z102" i="19"/>
  <c r="AA102" i="19"/>
  <c r="Z103" i="19"/>
  <c r="AA103" i="19"/>
  <c r="Z104" i="19"/>
  <c r="AA104" i="19"/>
  <c r="D103" i="25" s="1"/>
  <c r="Z105" i="19"/>
  <c r="AA105" i="19"/>
  <c r="D104" i="25" s="1"/>
  <c r="Z106" i="19"/>
  <c r="AA106" i="19"/>
  <c r="Z107" i="19"/>
  <c r="AA107" i="19"/>
  <c r="D106" i="25" s="1"/>
  <c r="Z108" i="19"/>
  <c r="AA108" i="19"/>
  <c r="Z109" i="19"/>
  <c r="AA109" i="19"/>
  <c r="Z110" i="19"/>
  <c r="AA110" i="19"/>
  <c r="Z111" i="19"/>
  <c r="AA111" i="19"/>
  <c r="Z112" i="19"/>
  <c r="AA112" i="19"/>
  <c r="Z113" i="19"/>
  <c r="AA113" i="19"/>
  <c r="D112" i="25" s="1"/>
  <c r="Z114" i="19"/>
  <c r="AA114" i="19"/>
  <c r="Z115" i="19"/>
  <c r="AA115" i="19"/>
  <c r="Z116" i="19"/>
  <c r="AA116" i="19"/>
  <c r="Z117" i="19"/>
  <c r="AA117" i="19"/>
  <c r="D116" i="25" s="1"/>
  <c r="Z118" i="19"/>
  <c r="AA118" i="19"/>
  <c r="Z119" i="19"/>
  <c r="AA119" i="19"/>
  <c r="Z120" i="19"/>
  <c r="AA120" i="19"/>
  <c r="Z121" i="19"/>
  <c r="AA121" i="19"/>
  <c r="Z122" i="19"/>
  <c r="AA122" i="19"/>
  <c r="Z123" i="19"/>
  <c r="AA123" i="19"/>
  <c r="Z124" i="19"/>
  <c r="AA124" i="19"/>
  <c r="D123" i="25" s="1"/>
  <c r="Z125" i="19"/>
  <c r="AA125" i="19"/>
  <c r="D124" i="25" s="1"/>
  <c r="Z126" i="19"/>
  <c r="AA126" i="19"/>
  <c r="Z127" i="19"/>
  <c r="AA127" i="19"/>
  <c r="D126" i="25" s="1"/>
  <c r="Z128" i="19"/>
  <c r="AA128" i="19"/>
  <c r="Z129" i="19"/>
  <c r="AA129" i="19"/>
  <c r="Z130" i="19"/>
  <c r="AA130" i="19"/>
  <c r="Z131" i="19"/>
  <c r="AA131" i="19"/>
  <c r="D130" i="25" s="1"/>
  <c r="Z132" i="19"/>
  <c r="AA132" i="19"/>
  <c r="Z133" i="19"/>
  <c r="AA133" i="19"/>
  <c r="D132" i="25" s="1"/>
  <c r="Z134" i="19"/>
  <c r="AA134" i="19"/>
  <c r="Z135" i="19"/>
  <c r="AA135" i="19"/>
  <c r="Z136" i="19"/>
  <c r="AA136" i="19"/>
  <c r="Z137" i="19"/>
  <c r="AA137" i="19"/>
  <c r="Z138" i="19"/>
  <c r="AA138" i="19"/>
  <c r="Z139" i="19"/>
  <c r="AA139" i="19"/>
  <c r="D138" i="25" s="1"/>
  <c r="Z140" i="19"/>
  <c r="AA140" i="19"/>
  <c r="D139" i="25" s="1"/>
  <c r="Z141" i="19"/>
  <c r="AA141" i="19"/>
  <c r="D140" i="25" s="1"/>
  <c r="Z142" i="19"/>
  <c r="AA142" i="19"/>
  <c r="Z143" i="19"/>
  <c r="AA143" i="19"/>
  <c r="D142" i="25" s="1"/>
  <c r="Z144" i="19"/>
  <c r="AA144" i="19"/>
  <c r="Z145" i="19"/>
  <c r="AA145" i="19"/>
  <c r="Z146" i="19"/>
  <c r="AA146" i="19"/>
  <c r="Z147" i="19"/>
  <c r="AA147" i="19"/>
  <c r="Z148" i="19"/>
  <c r="AA148" i="19"/>
  <c r="Z149" i="19"/>
  <c r="AA149" i="19"/>
  <c r="Z150" i="19"/>
  <c r="AA150" i="19"/>
  <c r="Z151" i="19"/>
  <c r="AA151" i="19"/>
  <c r="D150" i="25" s="1"/>
  <c r="Z152" i="19"/>
  <c r="AA152" i="19"/>
  <c r="Z153" i="19"/>
  <c r="AA153" i="19"/>
  <c r="Z154" i="19"/>
  <c r="AA154" i="19"/>
  <c r="Z155" i="19"/>
  <c r="AA155" i="19"/>
  <c r="D154" i="25" s="1"/>
  <c r="Z156" i="19"/>
  <c r="AA156" i="19"/>
  <c r="D155" i="25" s="1"/>
  <c r="Z157" i="19"/>
  <c r="AA157" i="19"/>
  <c r="D156" i="25" s="1"/>
  <c r="Z158" i="19"/>
  <c r="AA158" i="19"/>
  <c r="Z159" i="19"/>
  <c r="AA159" i="19"/>
  <c r="D158" i="25" s="1"/>
  <c r="Z160" i="19"/>
  <c r="AA160" i="19"/>
  <c r="Z161" i="19"/>
  <c r="AA161" i="19"/>
  <c r="Z162" i="19"/>
  <c r="AA162" i="19"/>
  <c r="Z163" i="19"/>
  <c r="AA163" i="19"/>
  <c r="D162" i="25" s="1"/>
  <c r="Z164" i="19"/>
  <c r="AA164" i="19"/>
  <c r="Z165" i="19"/>
  <c r="AA165" i="19"/>
  <c r="D164" i="25" s="1"/>
  <c r="Z166" i="19"/>
  <c r="AA166" i="19"/>
  <c r="Z167" i="19"/>
  <c r="AA167" i="19"/>
  <c r="D166" i="25" s="1"/>
  <c r="Z168" i="19"/>
  <c r="AA168" i="19"/>
  <c r="Z169" i="19"/>
  <c r="AA169" i="19"/>
  <c r="Z170" i="19"/>
  <c r="AA170" i="19"/>
  <c r="Z171" i="19"/>
  <c r="AA171" i="19"/>
  <c r="D170" i="25" s="1"/>
  <c r="Z172" i="19"/>
  <c r="AA172" i="19"/>
  <c r="D171" i="25" s="1"/>
  <c r="Z173" i="19"/>
  <c r="AA173" i="19"/>
  <c r="D172" i="25" s="1"/>
  <c r="Z174" i="19"/>
  <c r="AA174" i="19"/>
  <c r="Z175" i="19"/>
  <c r="AA175" i="19"/>
  <c r="D174" i="25" s="1"/>
  <c r="Z176" i="19"/>
  <c r="AA176" i="19"/>
  <c r="Z177" i="19"/>
  <c r="AA177" i="19"/>
  <c r="Z178" i="19"/>
  <c r="AA178" i="19"/>
  <c r="Z179" i="19"/>
  <c r="AA179" i="19"/>
  <c r="D178" i="25" s="1"/>
  <c r="Z180" i="19"/>
  <c r="AA180" i="19"/>
  <c r="Z181" i="19"/>
  <c r="AA181" i="19"/>
  <c r="D180" i="25" s="1"/>
  <c r="Z182" i="19"/>
  <c r="AA182" i="19"/>
  <c r="Z183" i="19"/>
  <c r="AA183" i="19"/>
  <c r="D182" i="25" s="1"/>
  <c r="Z184" i="19"/>
  <c r="AA184" i="19"/>
  <c r="Z185" i="19"/>
  <c r="AA185" i="19"/>
  <c r="Z186" i="19"/>
  <c r="AA186" i="19"/>
  <c r="Z187" i="19"/>
  <c r="AA187" i="19"/>
  <c r="D186" i="25" s="1"/>
  <c r="Z188" i="19"/>
  <c r="AA188" i="19"/>
  <c r="D187" i="25" s="1"/>
  <c r="Z189" i="19"/>
  <c r="AA189" i="19"/>
  <c r="D188" i="25" s="1"/>
  <c r="Z190" i="19"/>
  <c r="AA190" i="19"/>
  <c r="Z191" i="19"/>
  <c r="AA191" i="19"/>
  <c r="D190" i="25" s="1"/>
  <c r="Z192" i="19"/>
  <c r="AA192" i="19"/>
  <c r="Z193" i="19"/>
  <c r="AA193" i="19"/>
  <c r="Z194" i="19"/>
  <c r="AA194" i="19"/>
  <c r="Z195" i="19"/>
  <c r="AA195" i="19"/>
  <c r="D194" i="25" s="1"/>
  <c r="Z196" i="19"/>
  <c r="AA196" i="19"/>
  <c r="D195" i="25" s="1"/>
  <c r="Z197" i="19"/>
  <c r="AA197" i="19"/>
  <c r="D196" i="25" s="1"/>
  <c r="Z198" i="19"/>
  <c r="AA198" i="19"/>
  <c r="Z199" i="19"/>
  <c r="AA199" i="19"/>
  <c r="D198" i="25" s="1"/>
  <c r="Z200" i="19"/>
  <c r="AA200" i="19"/>
  <c r="Z201" i="19"/>
  <c r="AA201" i="19"/>
  <c r="Z202" i="19"/>
  <c r="AA202" i="19"/>
  <c r="Z203" i="19"/>
  <c r="AA203" i="19"/>
  <c r="D202" i="25" s="1"/>
  <c r="Z204" i="19"/>
  <c r="AA204" i="19"/>
  <c r="D203" i="25" s="1"/>
  <c r="Z205" i="19"/>
  <c r="AA205" i="19"/>
  <c r="D204" i="25" s="1"/>
  <c r="Z206" i="19"/>
  <c r="AA206" i="19"/>
  <c r="Z207" i="19"/>
  <c r="AA207" i="19"/>
  <c r="D206" i="25" s="1"/>
  <c r="Z208" i="19"/>
  <c r="AA208" i="19"/>
  <c r="Z209" i="19"/>
  <c r="AA209" i="19"/>
  <c r="Z210" i="19"/>
  <c r="AA210" i="19"/>
  <c r="Z211" i="19"/>
  <c r="AA211" i="19"/>
  <c r="D210" i="25" s="1"/>
  <c r="Z212" i="19"/>
  <c r="AA212" i="19"/>
  <c r="Z213" i="19"/>
  <c r="AA213" i="19"/>
  <c r="D212" i="25" s="1"/>
  <c r="Z214" i="19"/>
  <c r="AA214" i="19"/>
  <c r="Z215" i="19"/>
  <c r="AA215" i="19"/>
  <c r="D214" i="25" s="1"/>
  <c r="Z216" i="19"/>
  <c r="AA216" i="19"/>
  <c r="Z217" i="19"/>
  <c r="AA217" i="19"/>
  <c r="Z218" i="19"/>
  <c r="AA218" i="19"/>
  <c r="Z219" i="19"/>
  <c r="AA219" i="19"/>
  <c r="D218" i="25" s="1"/>
  <c r="Z220" i="19"/>
  <c r="AA220" i="19"/>
  <c r="D219" i="25" s="1"/>
  <c r="Z221" i="19"/>
  <c r="AA221" i="19"/>
  <c r="D220" i="25" s="1"/>
  <c r="Z222" i="19"/>
  <c r="AA222" i="19"/>
  <c r="Z223" i="19"/>
  <c r="AA223" i="19"/>
  <c r="D222" i="25" s="1"/>
  <c r="Z224" i="19"/>
  <c r="AA224" i="19"/>
  <c r="Z225" i="19"/>
  <c r="AA225" i="19"/>
  <c r="Z226" i="19"/>
  <c r="AA226" i="19"/>
  <c r="Z227" i="19"/>
  <c r="AA227" i="19"/>
  <c r="D226" i="25" s="1"/>
  <c r="Z228" i="19"/>
  <c r="AA228" i="19"/>
  <c r="Z229" i="19"/>
  <c r="AA229" i="19"/>
  <c r="D228" i="25" s="1"/>
  <c r="Z230" i="19"/>
  <c r="AA230" i="19"/>
  <c r="Z231" i="19"/>
  <c r="AA231" i="19"/>
  <c r="D230" i="25" s="1"/>
  <c r="Z232" i="19"/>
  <c r="AA232" i="19"/>
  <c r="Z233" i="19"/>
  <c r="AA233" i="19"/>
  <c r="Z234" i="19"/>
  <c r="AA234" i="19"/>
  <c r="Z235" i="19"/>
  <c r="AA235" i="19"/>
  <c r="D234" i="25" s="1"/>
  <c r="Z236" i="19"/>
  <c r="AA236" i="19"/>
  <c r="D235" i="25" s="1"/>
  <c r="Z237" i="19"/>
  <c r="AA237" i="19"/>
  <c r="D236" i="25" s="1"/>
  <c r="Z238" i="19"/>
  <c r="AA238" i="19"/>
  <c r="Z239" i="19"/>
  <c r="AA239" i="19"/>
  <c r="D238" i="25" s="1"/>
  <c r="Z240" i="19"/>
  <c r="AA240" i="19"/>
  <c r="Z241" i="19"/>
  <c r="AA241" i="19"/>
  <c r="Z242" i="19"/>
  <c r="AA242" i="19"/>
  <c r="Z243" i="19"/>
  <c r="AA243" i="19"/>
  <c r="D242" i="25" s="1"/>
  <c r="Z244" i="19"/>
  <c r="AA244" i="19"/>
  <c r="D243" i="25" s="1"/>
  <c r="Z245" i="19"/>
  <c r="AA245" i="19"/>
  <c r="D244" i="25" s="1"/>
  <c r="Z246" i="19"/>
  <c r="AA246" i="19"/>
  <c r="Z247" i="19"/>
  <c r="AA247" i="19"/>
  <c r="D246" i="25" s="1"/>
  <c r="Z248" i="19"/>
  <c r="AA248" i="19"/>
  <c r="Z249" i="19"/>
  <c r="AA249" i="19"/>
  <c r="Z250" i="19"/>
  <c r="AA250" i="19"/>
  <c r="Z251" i="19"/>
  <c r="AA251" i="19"/>
  <c r="D250" i="25" s="1"/>
  <c r="Z252" i="19"/>
  <c r="AA252" i="19"/>
  <c r="D251" i="25" s="1"/>
  <c r="Z253" i="19"/>
  <c r="AA253" i="19"/>
  <c r="D252" i="25" s="1"/>
  <c r="Z254" i="19"/>
  <c r="AA254" i="19"/>
  <c r="Z255" i="19"/>
  <c r="AA255" i="19"/>
  <c r="D254" i="25" s="1"/>
  <c r="Z256" i="19"/>
  <c r="AA256" i="19"/>
  <c r="Z257" i="19"/>
  <c r="AA257" i="19"/>
  <c r="Z258" i="19"/>
  <c r="AA258" i="19"/>
  <c r="Z259" i="19"/>
  <c r="AA259" i="19"/>
  <c r="D258" i="25" s="1"/>
  <c r="Z260" i="19"/>
  <c r="AA260" i="19"/>
  <c r="Z261" i="19"/>
  <c r="AA261" i="19"/>
  <c r="D260" i="25" s="1"/>
  <c r="Z262" i="19"/>
  <c r="AA262" i="19"/>
  <c r="Z263" i="19"/>
  <c r="AA263" i="19"/>
  <c r="D262" i="25" s="1"/>
  <c r="Z264" i="19"/>
  <c r="AA264" i="19"/>
  <c r="Z265" i="19"/>
  <c r="AA265" i="19"/>
  <c r="Z266" i="19"/>
  <c r="AA266" i="19"/>
  <c r="Z267" i="19"/>
  <c r="AA267" i="19"/>
  <c r="D266" i="25" s="1"/>
  <c r="Z268" i="19"/>
  <c r="AA268" i="19"/>
  <c r="D267" i="25" s="1"/>
  <c r="Z269" i="19"/>
  <c r="AA269" i="19"/>
  <c r="D268" i="25" s="1"/>
  <c r="Z270" i="19"/>
  <c r="AA270" i="19"/>
  <c r="Z271" i="19"/>
  <c r="AA271" i="19"/>
  <c r="D270" i="25" s="1"/>
  <c r="Z272" i="19"/>
  <c r="AA272" i="19"/>
  <c r="Z273" i="19"/>
  <c r="AA273" i="19"/>
  <c r="Z274" i="19"/>
  <c r="AA274" i="19"/>
  <c r="Z275" i="19"/>
  <c r="AA275" i="19"/>
  <c r="D274" i="25" s="1"/>
  <c r="Z276" i="19"/>
  <c r="AA276" i="19"/>
  <c r="Z277" i="19"/>
  <c r="AA277" i="19"/>
  <c r="D276" i="25" s="1"/>
  <c r="Z278" i="19"/>
  <c r="AA278" i="19"/>
  <c r="Z279" i="19"/>
  <c r="AA279" i="19"/>
  <c r="D278" i="25" s="1"/>
  <c r="Z280" i="19"/>
  <c r="AA280" i="19"/>
  <c r="Z281" i="19"/>
  <c r="AA281" i="19"/>
  <c r="Z282" i="19"/>
  <c r="AA282" i="19"/>
  <c r="Z283" i="19"/>
  <c r="AA283" i="19"/>
  <c r="D282" i="25" s="1"/>
  <c r="Z284" i="19"/>
  <c r="AA284" i="19"/>
  <c r="D283" i="25" s="1"/>
  <c r="Z285" i="19"/>
  <c r="AA285" i="19"/>
  <c r="D284" i="25" s="1"/>
  <c r="Z286" i="19"/>
  <c r="AA286" i="19"/>
  <c r="Z287" i="19"/>
  <c r="AA287" i="19"/>
  <c r="D286" i="25" s="1"/>
  <c r="Z288" i="19"/>
  <c r="AA288" i="19"/>
  <c r="Z289" i="19"/>
  <c r="AA289" i="19"/>
  <c r="Z290" i="19"/>
  <c r="AA290" i="19"/>
  <c r="Z291" i="19"/>
  <c r="AA291" i="19"/>
  <c r="D290" i="25" s="1"/>
  <c r="Z292" i="19"/>
  <c r="AA292" i="19"/>
  <c r="Z293" i="19"/>
  <c r="AA293" i="19"/>
  <c r="D292" i="25" s="1"/>
  <c r="Z294" i="19"/>
  <c r="AA294" i="19"/>
  <c r="Z295" i="19"/>
  <c r="AA295" i="19"/>
  <c r="D294" i="25" s="1"/>
  <c r="Z296" i="19"/>
  <c r="AA296" i="19"/>
  <c r="Z297" i="19"/>
  <c r="AA297" i="19"/>
  <c r="Z298" i="19"/>
  <c r="AA298" i="19"/>
  <c r="Z299" i="19"/>
  <c r="AA299" i="19"/>
  <c r="D298" i="25" s="1"/>
  <c r="Z300" i="19"/>
  <c r="AA300" i="19"/>
  <c r="D299" i="25" s="1"/>
  <c r="Z301" i="19"/>
  <c r="AA301" i="19"/>
  <c r="D300" i="25" s="1"/>
  <c r="Z302" i="19"/>
  <c r="AA302" i="19"/>
  <c r="Z303" i="19"/>
  <c r="AA303" i="19"/>
  <c r="D302" i="25" s="1"/>
  <c r="Z304" i="19"/>
  <c r="AA304" i="19"/>
  <c r="Z305" i="19"/>
  <c r="AA305" i="19"/>
  <c r="Z306" i="19"/>
  <c r="AA306" i="19"/>
  <c r="Z307" i="19"/>
  <c r="AA307" i="19"/>
  <c r="D306" i="25" s="1"/>
  <c r="Z308" i="19"/>
  <c r="AA308" i="19"/>
  <c r="Z309" i="19"/>
  <c r="AA309" i="19"/>
  <c r="D308" i="25" s="1"/>
  <c r="Z310" i="19"/>
  <c r="AA310" i="19"/>
  <c r="Z311" i="19"/>
  <c r="AA311" i="19"/>
  <c r="Z312" i="19"/>
  <c r="AA312" i="19"/>
  <c r="Z313" i="19"/>
  <c r="AA313" i="19"/>
  <c r="Z314" i="19"/>
  <c r="AA314" i="19"/>
  <c r="Z315" i="19"/>
  <c r="AA315" i="19"/>
  <c r="D314" i="25" s="1"/>
  <c r="V8" i="19"/>
  <c r="W8" i="19"/>
  <c r="X8" i="19"/>
  <c r="V9" i="19"/>
  <c r="W9" i="19"/>
  <c r="X9" i="19"/>
  <c r="V10" i="19"/>
  <c r="W10" i="19"/>
  <c r="X10" i="19"/>
  <c r="V11" i="19"/>
  <c r="W11" i="19"/>
  <c r="X11" i="19"/>
  <c r="V12" i="19"/>
  <c r="W12" i="19"/>
  <c r="X12" i="19"/>
  <c r="V13" i="19"/>
  <c r="W13" i="19"/>
  <c r="X13" i="19"/>
  <c r="V14" i="19"/>
  <c r="W14" i="19"/>
  <c r="X14" i="19"/>
  <c r="V15" i="19"/>
  <c r="W15" i="19"/>
  <c r="X15" i="19"/>
  <c r="V16" i="19"/>
  <c r="W16" i="19"/>
  <c r="X16" i="19"/>
  <c r="V17" i="19"/>
  <c r="W17" i="19"/>
  <c r="X17" i="19"/>
  <c r="V18" i="19"/>
  <c r="W18" i="19"/>
  <c r="X18" i="19"/>
  <c r="V19" i="19"/>
  <c r="W19" i="19"/>
  <c r="X19" i="19"/>
  <c r="V20" i="19"/>
  <c r="W20" i="19"/>
  <c r="X20" i="19"/>
  <c r="V21" i="19"/>
  <c r="W21" i="19"/>
  <c r="X21" i="19"/>
  <c r="V22" i="19"/>
  <c r="W22" i="19"/>
  <c r="X22" i="19"/>
  <c r="V23" i="19"/>
  <c r="W23" i="19"/>
  <c r="X23" i="19"/>
  <c r="V24" i="19"/>
  <c r="W24" i="19"/>
  <c r="X24" i="19"/>
  <c r="V25" i="19"/>
  <c r="W25" i="19"/>
  <c r="X25" i="19"/>
  <c r="V26" i="19"/>
  <c r="W26" i="19"/>
  <c r="X26" i="19"/>
  <c r="V27" i="19"/>
  <c r="W27" i="19"/>
  <c r="X27" i="19"/>
  <c r="V28" i="19"/>
  <c r="W28" i="19"/>
  <c r="X28" i="19"/>
  <c r="V29" i="19"/>
  <c r="W29" i="19"/>
  <c r="X29" i="19"/>
  <c r="V30" i="19"/>
  <c r="W30" i="19"/>
  <c r="X30" i="19"/>
  <c r="V31" i="19"/>
  <c r="W31" i="19"/>
  <c r="X31" i="19"/>
  <c r="V32" i="19"/>
  <c r="W32" i="19"/>
  <c r="X32" i="19"/>
  <c r="V33" i="19"/>
  <c r="W33" i="19"/>
  <c r="X33" i="19"/>
  <c r="V34" i="19"/>
  <c r="W34" i="19"/>
  <c r="X34" i="19"/>
  <c r="V35" i="19"/>
  <c r="W35" i="19"/>
  <c r="X35" i="19"/>
  <c r="V36" i="19"/>
  <c r="W36" i="19"/>
  <c r="X36" i="19"/>
  <c r="V37" i="19"/>
  <c r="W37" i="19"/>
  <c r="X37" i="19"/>
  <c r="V38" i="19"/>
  <c r="W38" i="19"/>
  <c r="X38" i="19"/>
  <c r="V39" i="19"/>
  <c r="W39" i="19"/>
  <c r="X39" i="19"/>
  <c r="V40" i="19"/>
  <c r="W40" i="19"/>
  <c r="X40" i="19"/>
  <c r="V41" i="19"/>
  <c r="W41" i="19"/>
  <c r="X41" i="19"/>
  <c r="V42" i="19"/>
  <c r="W42" i="19"/>
  <c r="X42" i="19"/>
  <c r="V43" i="19"/>
  <c r="W43" i="19"/>
  <c r="X43" i="19"/>
  <c r="V44" i="19"/>
  <c r="W44" i="19"/>
  <c r="X44" i="19"/>
  <c r="V45" i="19"/>
  <c r="W45" i="19"/>
  <c r="X45" i="19"/>
  <c r="V46" i="19"/>
  <c r="W46" i="19"/>
  <c r="X46" i="19"/>
  <c r="V47" i="19"/>
  <c r="W47" i="19"/>
  <c r="X47" i="19"/>
  <c r="V48" i="19"/>
  <c r="W48" i="19"/>
  <c r="X48" i="19"/>
  <c r="V49" i="19"/>
  <c r="W49" i="19"/>
  <c r="X49" i="19"/>
  <c r="V50" i="19"/>
  <c r="W50" i="19"/>
  <c r="X50" i="19"/>
  <c r="V51" i="19"/>
  <c r="W51" i="19"/>
  <c r="X51" i="19"/>
  <c r="V52" i="19"/>
  <c r="W52" i="19"/>
  <c r="X52" i="19"/>
  <c r="V53" i="19"/>
  <c r="W53" i="19"/>
  <c r="X53" i="19"/>
  <c r="V54" i="19"/>
  <c r="W54" i="19"/>
  <c r="X54" i="19"/>
  <c r="V55" i="19"/>
  <c r="W55" i="19"/>
  <c r="X55" i="19"/>
  <c r="V56" i="19"/>
  <c r="W56" i="19"/>
  <c r="X56" i="19"/>
  <c r="V57" i="19"/>
  <c r="W57" i="19"/>
  <c r="X57" i="19"/>
  <c r="V58" i="19"/>
  <c r="W58" i="19"/>
  <c r="X58" i="19"/>
  <c r="V59" i="19"/>
  <c r="W59" i="19"/>
  <c r="X59" i="19"/>
  <c r="V60" i="19"/>
  <c r="W60" i="19"/>
  <c r="X60" i="19"/>
  <c r="V61" i="19"/>
  <c r="W61" i="19"/>
  <c r="X61" i="19"/>
  <c r="V62" i="19"/>
  <c r="W62" i="19"/>
  <c r="X62" i="19"/>
  <c r="V63" i="19"/>
  <c r="W63" i="19"/>
  <c r="X63" i="19"/>
  <c r="V64" i="19"/>
  <c r="W64" i="19"/>
  <c r="X64" i="19"/>
  <c r="V65" i="19"/>
  <c r="W65" i="19"/>
  <c r="X65" i="19"/>
  <c r="V66" i="19"/>
  <c r="W66" i="19"/>
  <c r="X66" i="19"/>
  <c r="V67" i="19"/>
  <c r="W67" i="19"/>
  <c r="X67" i="19"/>
  <c r="V68" i="19"/>
  <c r="W68" i="19"/>
  <c r="X68" i="19"/>
  <c r="V69" i="19"/>
  <c r="W69" i="19"/>
  <c r="X69" i="19"/>
  <c r="V70" i="19"/>
  <c r="W70" i="19"/>
  <c r="X70" i="19"/>
  <c r="V71" i="19"/>
  <c r="W71" i="19"/>
  <c r="X71" i="19"/>
  <c r="V72" i="19"/>
  <c r="W72" i="19"/>
  <c r="X72" i="19"/>
  <c r="V73" i="19"/>
  <c r="W73" i="19"/>
  <c r="X73" i="19"/>
  <c r="V74" i="19"/>
  <c r="W74" i="19"/>
  <c r="X74" i="19"/>
  <c r="V75" i="19"/>
  <c r="W75" i="19"/>
  <c r="X75" i="19"/>
  <c r="V76" i="19"/>
  <c r="W76" i="19"/>
  <c r="X76" i="19"/>
  <c r="V77" i="19"/>
  <c r="W77" i="19"/>
  <c r="X77" i="19"/>
  <c r="V78" i="19"/>
  <c r="W78" i="19"/>
  <c r="X78" i="19"/>
  <c r="V79" i="19"/>
  <c r="W79" i="19"/>
  <c r="X79" i="19"/>
  <c r="V80" i="19"/>
  <c r="W80" i="19"/>
  <c r="X80" i="19"/>
  <c r="V81" i="19"/>
  <c r="W81" i="19"/>
  <c r="X81" i="19"/>
  <c r="V82" i="19"/>
  <c r="W82" i="19"/>
  <c r="X82" i="19"/>
  <c r="V83" i="19"/>
  <c r="W83" i="19"/>
  <c r="X83" i="19"/>
  <c r="V84" i="19"/>
  <c r="W84" i="19"/>
  <c r="X84" i="19"/>
  <c r="V85" i="19"/>
  <c r="W85" i="19"/>
  <c r="X85" i="19"/>
  <c r="V86" i="19"/>
  <c r="W86" i="19"/>
  <c r="X86" i="19"/>
  <c r="V87" i="19"/>
  <c r="W87" i="19"/>
  <c r="X87" i="19"/>
  <c r="V88" i="19"/>
  <c r="W88" i="19"/>
  <c r="X88" i="19"/>
  <c r="V89" i="19"/>
  <c r="W89" i="19"/>
  <c r="X89" i="19"/>
  <c r="V90" i="19"/>
  <c r="W90" i="19"/>
  <c r="X90" i="19"/>
  <c r="V91" i="19"/>
  <c r="W91" i="19"/>
  <c r="X91" i="19"/>
  <c r="V92" i="19"/>
  <c r="W92" i="19"/>
  <c r="X92" i="19"/>
  <c r="V93" i="19"/>
  <c r="W93" i="19"/>
  <c r="X93" i="19"/>
  <c r="V94" i="19"/>
  <c r="W94" i="19"/>
  <c r="X94" i="19"/>
  <c r="V95" i="19"/>
  <c r="W95" i="19"/>
  <c r="X95" i="19"/>
  <c r="V96" i="19"/>
  <c r="W96" i="19"/>
  <c r="X96" i="19"/>
  <c r="V97" i="19"/>
  <c r="W97" i="19"/>
  <c r="X97" i="19"/>
  <c r="V98" i="19"/>
  <c r="W98" i="19"/>
  <c r="X98" i="19"/>
  <c r="V99" i="19"/>
  <c r="W99" i="19"/>
  <c r="X99" i="19"/>
  <c r="V100" i="19"/>
  <c r="W100" i="19"/>
  <c r="X100" i="19"/>
  <c r="V101" i="19"/>
  <c r="W101" i="19"/>
  <c r="X101" i="19"/>
  <c r="V102" i="19"/>
  <c r="W102" i="19"/>
  <c r="X102" i="19"/>
  <c r="V103" i="19"/>
  <c r="W103" i="19"/>
  <c r="X103" i="19"/>
  <c r="V104" i="19"/>
  <c r="W104" i="19"/>
  <c r="X104" i="19"/>
  <c r="V105" i="19"/>
  <c r="W105" i="19"/>
  <c r="X105" i="19"/>
  <c r="V106" i="19"/>
  <c r="W106" i="19"/>
  <c r="X106" i="19"/>
  <c r="V107" i="19"/>
  <c r="W107" i="19"/>
  <c r="X107" i="19"/>
  <c r="V108" i="19"/>
  <c r="W108" i="19"/>
  <c r="X108" i="19"/>
  <c r="V109" i="19"/>
  <c r="W109" i="19"/>
  <c r="X109" i="19"/>
  <c r="V110" i="19"/>
  <c r="W110" i="19"/>
  <c r="X110" i="19"/>
  <c r="V111" i="19"/>
  <c r="W111" i="19"/>
  <c r="X111" i="19"/>
  <c r="V112" i="19"/>
  <c r="W112" i="19"/>
  <c r="X112" i="19"/>
  <c r="V113" i="19"/>
  <c r="W113" i="19"/>
  <c r="X113" i="19"/>
  <c r="V114" i="19"/>
  <c r="W114" i="19"/>
  <c r="X114" i="19"/>
  <c r="V115" i="19"/>
  <c r="W115" i="19"/>
  <c r="X115" i="19"/>
  <c r="V116" i="19"/>
  <c r="W116" i="19"/>
  <c r="X116" i="19"/>
  <c r="V117" i="19"/>
  <c r="W117" i="19"/>
  <c r="X117" i="19"/>
  <c r="V118" i="19"/>
  <c r="W118" i="19"/>
  <c r="X118" i="19"/>
  <c r="V119" i="19"/>
  <c r="W119" i="19"/>
  <c r="X119" i="19"/>
  <c r="V120" i="19"/>
  <c r="W120" i="19"/>
  <c r="X120" i="19"/>
  <c r="V121" i="19"/>
  <c r="W121" i="19"/>
  <c r="X121" i="19"/>
  <c r="V122" i="19"/>
  <c r="W122" i="19"/>
  <c r="X122" i="19"/>
  <c r="V123" i="19"/>
  <c r="W123" i="19"/>
  <c r="X123" i="19"/>
  <c r="V124" i="19"/>
  <c r="W124" i="19"/>
  <c r="X124" i="19"/>
  <c r="V125" i="19"/>
  <c r="W125" i="19"/>
  <c r="X125" i="19"/>
  <c r="V126" i="19"/>
  <c r="W126" i="19"/>
  <c r="X126" i="19"/>
  <c r="V127" i="19"/>
  <c r="W127" i="19"/>
  <c r="X127" i="19"/>
  <c r="V128" i="19"/>
  <c r="W128" i="19"/>
  <c r="X128" i="19"/>
  <c r="V129" i="19"/>
  <c r="W129" i="19"/>
  <c r="X129" i="19"/>
  <c r="V130" i="19"/>
  <c r="W130" i="19"/>
  <c r="X130" i="19"/>
  <c r="V131" i="19"/>
  <c r="W131" i="19"/>
  <c r="X131" i="19"/>
  <c r="V132" i="19"/>
  <c r="W132" i="19"/>
  <c r="X132" i="19"/>
  <c r="V133" i="19"/>
  <c r="W133" i="19"/>
  <c r="X133" i="19"/>
  <c r="V134" i="19"/>
  <c r="W134" i="19"/>
  <c r="X134" i="19"/>
  <c r="V135" i="19"/>
  <c r="W135" i="19"/>
  <c r="X135" i="19"/>
  <c r="V136" i="19"/>
  <c r="W136" i="19"/>
  <c r="X136" i="19"/>
  <c r="V137" i="19"/>
  <c r="W137" i="19"/>
  <c r="X137" i="19"/>
  <c r="V138" i="19"/>
  <c r="W138" i="19"/>
  <c r="X138" i="19"/>
  <c r="V139" i="19"/>
  <c r="W139" i="19"/>
  <c r="X139" i="19"/>
  <c r="V140" i="19"/>
  <c r="W140" i="19"/>
  <c r="X140" i="19"/>
  <c r="V141" i="19"/>
  <c r="W141" i="19"/>
  <c r="X141" i="19"/>
  <c r="V142" i="19"/>
  <c r="W142" i="19"/>
  <c r="X142" i="19"/>
  <c r="V143" i="19"/>
  <c r="W143" i="19"/>
  <c r="X143" i="19"/>
  <c r="V144" i="19"/>
  <c r="W144" i="19"/>
  <c r="X144" i="19"/>
  <c r="V145" i="19"/>
  <c r="W145" i="19"/>
  <c r="X145" i="19"/>
  <c r="V146" i="19"/>
  <c r="W146" i="19"/>
  <c r="X146" i="19"/>
  <c r="V147" i="19"/>
  <c r="W147" i="19"/>
  <c r="X147" i="19"/>
  <c r="V148" i="19"/>
  <c r="W148" i="19"/>
  <c r="X148" i="19"/>
  <c r="V149" i="19"/>
  <c r="W149" i="19"/>
  <c r="X149" i="19"/>
  <c r="V150" i="19"/>
  <c r="W150" i="19"/>
  <c r="X150" i="19"/>
  <c r="V151" i="19"/>
  <c r="W151" i="19"/>
  <c r="X151" i="19"/>
  <c r="V152" i="19"/>
  <c r="W152" i="19"/>
  <c r="X152" i="19"/>
  <c r="V153" i="19"/>
  <c r="W153" i="19"/>
  <c r="X153" i="19"/>
  <c r="V154" i="19"/>
  <c r="W154" i="19"/>
  <c r="X154" i="19"/>
  <c r="V155" i="19"/>
  <c r="W155" i="19"/>
  <c r="X155" i="19"/>
  <c r="V156" i="19"/>
  <c r="W156" i="19"/>
  <c r="X156" i="19"/>
  <c r="V157" i="19"/>
  <c r="W157" i="19"/>
  <c r="X157" i="19"/>
  <c r="V158" i="19"/>
  <c r="W158" i="19"/>
  <c r="X158" i="19"/>
  <c r="V159" i="19"/>
  <c r="W159" i="19"/>
  <c r="X159" i="19"/>
  <c r="V160" i="19"/>
  <c r="W160" i="19"/>
  <c r="X160" i="19"/>
  <c r="V161" i="19"/>
  <c r="W161" i="19"/>
  <c r="X161" i="19"/>
  <c r="V162" i="19"/>
  <c r="W162" i="19"/>
  <c r="X162" i="19"/>
  <c r="V163" i="19"/>
  <c r="W163" i="19"/>
  <c r="X163" i="19"/>
  <c r="V164" i="19"/>
  <c r="W164" i="19"/>
  <c r="X164" i="19"/>
  <c r="V165" i="19"/>
  <c r="W165" i="19"/>
  <c r="X165" i="19"/>
  <c r="V166" i="19"/>
  <c r="W166" i="19"/>
  <c r="X166" i="19"/>
  <c r="V167" i="19"/>
  <c r="W167" i="19"/>
  <c r="X167" i="19"/>
  <c r="V168" i="19"/>
  <c r="W168" i="19"/>
  <c r="X168" i="19"/>
  <c r="V169" i="19"/>
  <c r="W169" i="19"/>
  <c r="X169" i="19"/>
  <c r="V170" i="19"/>
  <c r="W170" i="19"/>
  <c r="X170" i="19"/>
  <c r="V171" i="19"/>
  <c r="W171" i="19"/>
  <c r="X171" i="19"/>
  <c r="V172" i="19"/>
  <c r="W172" i="19"/>
  <c r="X172" i="19"/>
  <c r="V173" i="19"/>
  <c r="W173" i="19"/>
  <c r="X173" i="19"/>
  <c r="V174" i="19"/>
  <c r="W174" i="19"/>
  <c r="X174" i="19"/>
  <c r="V175" i="19"/>
  <c r="W175" i="19"/>
  <c r="X175" i="19"/>
  <c r="V176" i="19"/>
  <c r="W176" i="19"/>
  <c r="X176" i="19"/>
  <c r="V177" i="19"/>
  <c r="W177" i="19"/>
  <c r="X177" i="19"/>
  <c r="V178" i="19"/>
  <c r="W178" i="19"/>
  <c r="X178" i="19"/>
  <c r="V179" i="19"/>
  <c r="W179" i="19"/>
  <c r="X179" i="19"/>
  <c r="V180" i="19"/>
  <c r="W180" i="19"/>
  <c r="X180" i="19"/>
  <c r="V181" i="19"/>
  <c r="W181" i="19"/>
  <c r="X181" i="19"/>
  <c r="V182" i="19"/>
  <c r="W182" i="19"/>
  <c r="X182" i="19"/>
  <c r="V183" i="19"/>
  <c r="W183" i="19"/>
  <c r="X183" i="19"/>
  <c r="V184" i="19"/>
  <c r="W184" i="19"/>
  <c r="X184" i="19"/>
  <c r="V185" i="19"/>
  <c r="W185" i="19"/>
  <c r="X185" i="19"/>
  <c r="V186" i="19"/>
  <c r="W186" i="19"/>
  <c r="X186" i="19"/>
  <c r="V187" i="19"/>
  <c r="W187" i="19"/>
  <c r="X187" i="19"/>
  <c r="V188" i="19"/>
  <c r="W188" i="19"/>
  <c r="X188" i="19"/>
  <c r="V189" i="19"/>
  <c r="W189" i="19"/>
  <c r="X189" i="19"/>
  <c r="V190" i="19"/>
  <c r="W190" i="19"/>
  <c r="X190" i="19"/>
  <c r="V191" i="19"/>
  <c r="W191" i="19"/>
  <c r="X191" i="19"/>
  <c r="V192" i="19"/>
  <c r="W192" i="19"/>
  <c r="X192" i="19"/>
  <c r="V193" i="19"/>
  <c r="W193" i="19"/>
  <c r="X193" i="19"/>
  <c r="V194" i="19"/>
  <c r="W194" i="19"/>
  <c r="X194" i="19"/>
  <c r="V195" i="19"/>
  <c r="W195" i="19"/>
  <c r="X195" i="19"/>
  <c r="V196" i="19"/>
  <c r="W196" i="19"/>
  <c r="X196" i="19"/>
  <c r="V197" i="19"/>
  <c r="W197" i="19"/>
  <c r="X197" i="19"/>
  <c r="V198" i="19"/>
  <c r="W198" i="19"/>
  <c r="X198" i="19"/>
  <c r="V199" i="19"/>
  <c r="W199" i="19"/>
  <c r="X199" i="19"/>
  <c r="V200" i="19"/>
  <c r="W200" i="19"/>
  <c r="X200" i="19"/>
  <c r="V201" i="19"/>
  <c r="W201" i="19"/>
  <c r="X201" i="19"/>
  <c r="V202" i="19"/>
  <c r="W202" i="19"/>
  <c r="X202" i="19"/>
  <c r="V203" i="19"/>
  <c r="W203" i="19"/>
  <c r="X203" i="19"/>
  <c r="V204" i="19"/>
  <c r="W204" i="19"/>
  <c r="X204" i="19"/>
  <c r="V205" i="19"/>
  <c r="W205" i="19"/>
  <c r="X205" i="19"/>
  <c r="V206" i="19"/>
  <c r="W206" i="19"/>
  <c r="X206" i="19"/>
  <c r="V207" i="19"/>
  <c r="W207" i="19"/>
  <c r="X207" i="19"/>
  <c r="V208" i="19"/>
  <c r="W208" i="19"/>
  <c r="X208" i="19"/>
  <c r="V209" i="19"/>
  <c r="W209" i="19"/>
  <c r="X209" i="19"/>
  <c r="V210" i="19"/>
  <c r="W210" i="19"/>
  <c r="X210" i="19"/>
  <c r="V211" i="19"/>
  <c r="W211" i="19"/>
  <c r="X211" i="19"/>
  <c r="V212" i="19"/>
  <c r="W212" i="19"/>
  <c r="X212" i="19"/>
  <c r="V213" i="19"/>
  <c r="W213" i="19"/>
  <c r="X213" i="19"/>
  <c r="V214" i="19"/>
  <c r="W214" i="19"/>
  <c r="X214" i="19"/>
  <c r="V215" i="19"/>
  <c r="W215" i="19"/>
  <c r="X215" i="19"/>
  <c r="V216" i="19"/>
  <c r="W216" i="19"/>
  <c r="X216" i="19"/>
  <c r="V217" i="19"/>
  <c r="W217" i="19"/>
  <c r="X217" i="19"/>
  <c r="V218" i="19"/>
  <c r="W218" i="19"/>
  <c r="X218" i="19"/>
  <c r="V219" i="19"/>
  <c r="W219" i="19"/>
  <c r="X219" i="19"/>
  <c r="V220" i="19"/>
  <c r="W220" i="19"/>
  <c r="X220" i="19"/>
  <c r="V221" i="19"/>
  <c r="W221" i="19"/>
  <c r="X221" i="19"/>
  <c r="V222" i="19"/>
  <c r="W222" i="19"/>
  <c r="X222" i="19"/>
  <c r="V223" i="19"/>
  <c r="W223" i="19"/>
  <c r="X223" i="19"/>
  <c r="V224" i="19"/>
  <c r="W224" i="19"/>
  <c r="X224" i="19"/>
  <c r="V225" i="19"/>
  <c r="W225" i="19"/>
  <c r="X225" i="19"/>
  <c r="V226" i="19"/>
  <c r="W226" i="19"/>
  <c r="X226" i="19"/>
  <c r="V227" i="19"/>
  <c r="W227" i="19"/>
  <c r="X227" i="19"/>
  <c r="V228" i="19"/>
  <c r="W228" i="19"/>
  <c r="X228" i="19"/>
  <c r="V229" i="19"/>
  <c r="W229" i="19"/>
  <c r="X229" i="19"/>
  <c r="V230" i="19"/>
  <c r="W230" i="19"/>
  <c r="X230" i="19"/>
  <c r="V231" i="19"/>
  <c r="W231" i="19"/>
  <c r="X231" i="19"/>
  <c r="V232" i="19"/>
  <c r="W232" i="19"/>
  <c r="X232" i="19"/>
  <c r="V233" i="19"/>
  <c r="W233" i="19"/>
  <c r="X233" i="19"/>
  <c r="V234" i="19"/>
  <c r="W234" i="19"/>
  <c r="X234" i="19"/>
  <c r="V235" i="19"/>
  <c r="W235" i="19"/>
  <c r="X235" i="19"/>
  <c r="V236" i="19"/>
  <c r="W236" i="19"/>
  <c r="X236" i="19"/>
  <c r="V237" i="19"/>
  <c r="W237" i="19"/>
  <c r="X237" i="19"/>
  <c r="V238" i="19"/>
  <c r="W238" i="19"/>
  <c r="X238" i="19"/>
  <c r="V239" i="19"/>
  <c r="W239" i="19"/>
  <c r="X239" i="19"/>
  <c r="V240" i="19"/>
  <c r="W240" i="19"/>
  <c r="X240" i="19"/>
  <c r="V241" i="19"/>
  <c r="W241" i="19"/>
  <c r="X241" i="19"/>
  <c r="V242" i="19"/>
  <c r="W242" i="19"/>
  <c r="X242" i="19"/>
  <c r="V243" i="19"/>
  <c r="W243" i="19"/>
  <c r="X243" i="19"/>
  <c r="V244" i="19"/>
  <c r="W244" i="19"/>
  <c r="X244" i="19"/>
  <c r="V245" i="19"/>
  <c r="W245" i="19"/>
  <c r="X245" i="19"/>
  <c r="V246" i="19"/>
  <c r="W246" i="19"/>
  <c r="X246" i="19"/>
  <c r="V247" i="19"/>
  <c r="W247" i="19"/>
  <c r="X247" i="19"/>
  <c r="V248" i="19"/>
  <c r="W248" i="19"/>
  <c r="X248" i="19"/>
  <c r="V249" i="19"/>
  <c r="W249" i="19"/>
  <c r="X249" i="19"/>
  <c r="V250" i="19"/>
  <c r="W250" i="19"/>
  <c r="X250" i="19"/>
  <c r="V251" i="19"/>
  <c r="W251" i="19"/>
  <c r="X251" i="19"/>
  <c r="V252" i="19"/>
  <c r="W252" i="19"/>
  <c r="X252" i="19"/>
  <c r="V253" i="19"/>
  <c r="W253" i="19"/>
  <c r="X253" i="19"/>
  <c r="V254" i="19"/>
  <c r="W254" i="19"/>
  <c r="X254" i="19"/>
  <c r="V255" i="19"/>
  <c r="W255" i="19"/>
  <c r="X255" i="19"/>
  <c r="V256" i="19"/>
  <c r="W256" i="19"/>
  <c r="X256" i="19"/>
  <c r="V257" i="19"/>
  <c r="W257" i="19"/>
  <c r="X257" i="19"/>
  <c r="V258" i="19"/>
  <c r="W258" i="19"/>
  <c r="X258" i="19"/>
  <c r="V259" i="19"/>
  <c r="W259" i="19"/>
  <c r="X259" i="19"/>
  <c r="V260" i="19"/>
  <c r="W260" i="19"/>
  <c r="X260" i="19"/>
  <c r="V261" i="19"/>
  <c r="W261" i="19"/>
  <c r="X261" i="19"/>
  <c r="V262" i="19"/>
  <c r="W262" i="19"/>
  <c r="X262" i="19"/>
  <c r="V263" i="19"/>
  <c r="W263" i="19"/>
  <c r="X263" i="19"/>
  <c r="V264" i="19"/>
  <c r="W264" i="19"/>
  <c r="X264" i="19"/>
  <c r="V265" i="19"/>
  <c r="W265" i="19"/>
  <c r="X265" i="19"/>
  <c r="V266" i="19"/>
  <c r="W266" i="19"/>
  <c r="X266" i="19"/>
  <c r="V267" i="19"/>
  <c r="W267" i="19"/>
  <c r="X267" i="19"/>
  <c r="V268" i="19"/>
  <c r="W268" i="19"/>
  <c r="X268" i="19"/>
  <c r="V269" i="19"/>
  <c r="W269" i="19"/>
  <c r="X269" i="19"/>
  <c r="V270" i="19"/>
  <c r="W270" i="19"/>
  <c r="X270" i="19"/>
  <c r="V271" i="19"/>
  <c r="W271" i="19"/>
  <c r="X271" i="19"/>
  <c r="V272" i="19"/>
  <c r="W272" i="19"/>
  <c r="X272" i="19"/>
  <c r="V273" i="19"/>
  <c r="W273" i="19"/>
  <c r="X273" i="19"/>
  <c r="V274" i="19"/>
  <c r="W274" i="19"/>
  <c r="X274" i="19"/>
  <c r="V275" i="19"/>
  <c r="W275" i="19"/>
  <c r="X275" i="19"/>
  <c r="V276" i="19"/>
  <c r="W276" i="19"/>
  <c r="X276" i="19"/>
  <c r="V277" i="19"/>
  <c r="W277" i="19"/>
  <c r="X277" i="19"/>
  <c r="V278" i="19"/>
  <c r="W278" i="19"/>
  <c r="X278" i="19"/>
  <c r="V279" i="19"/>
  <c r="W279" i="19"/>
  <c r="X279" i="19"/>
  <c r="V280" i="19"/>
  <c r="W280" i="19"/>
  <c r="X280" i="19"/>
  <c r="V281" i="19"/>
  <c r="W281" i="19"/>
  <c r="X281" i="19"/>
  <c r="V282" i="19"/>
  <c r="W282" i="19"/>
  <c r="X282" i="19"/>
  <c r="V283" i="19"/>
  <c r="W283" i="19"/>
  <c r="X283" i="19"/>
  <c r="V284" i="19"/>
  <c r="W284" i="19"/>
  <c r="X284" i="19"/>
  <c r="V285" i="19"/>
  <c r="W285" i="19"/>
  <c r="X285" i="19"/>
  <c r="V286" i="19"/>
  <c r="W286" i="19"/>
  <c r="X286" i="19"/>
  <c r="V287" i="19"/>
  <c r="W287" i="19"/>
  <c r="X287" i="19"/>
  <c r="V288" i="19"/>
  <c r="W288" i="19"/>
  <c r="X288" i="19"/>
  <c r="V289" i="19"/>
  <c r="W289" i="19"/>
  <c r="X289" i="19"/>
  <c r="V290" i="19"/>
  <c r="W290" i="19"/>
  <c r="X290" i="19"/>
  <c r="V291" i="19"/>
  <c r="W291" i="19"/>
  <c r="X291" i="19"/>
  <c r="V292" i="19"/>
  <c r="W292" i="19"/>
  <c r="X292" i="19"/>
  <c r="V293" i="19"/>
  <c r="W293" i="19"/>
  <c r="X293" i="19"/>
  <c r="V294" i="19"/>
  <c r="W294" i="19"/>
  <c r="X294" i="19"/>
  <c r="V295" i="19"/>
  <c r="W295" i="19"/>
  <c r="X295" i="19"/>
  <c r="V296" i="19"/>
  <c r="W296" i="19"/>
  <c r="X296" i="19"/>
  <c r="V297" i="19"/>
  <c r="W297" i="19"/>
  <c r="X297" i="19"/>
  <c r="V298" i="19"/>
  <c r="W298" i="19"/>
  <c r="X298" i="19"/>
  <c r="V299" i="19"/>
  <c r="W299" i="19"/>
  <c r="X299" i="19"/>
  <c r="V300" i="19"/>
  <c r="W300" i="19"/>
  <c r="X300" i="19"/>
  <c r="V301" i="19"/>
  <c r="W301" i="19"/>
  <c r="X301" i="19"/>
  <c r="V302" i="19"/>
  <c r="W302" i="19"/>
  <c r="X302" i="19"/>
  <c r="V303" i="19"/>
  <c r="W303" i="19"/>
  <c r="X303" i="19"/>
  <c r="V304" i="19"/>
  <c r="W304" i="19"/>
  <c r="X304" i="19"/>
  <c r="V305" i="19"/>
  <c r="W305" i="19"/>
  <c r="X305" i="19"/>
  <c r="V306" i="19"/>
  <c r="W306" i="19"/>
  <c r="X306" i="19"/>
  <c r="V307" i="19"/>
  <c r="W307" i="19"/>
  <c r="X307" i="19"/>
  <c r="V308" i="19"/>
  <c r="W308" i="19"/>
  <c r="X308" i="19"/>
  <c r="V309" i="19"/>
  <c r="W309" i="19"/>
  <c r="X309" i="19"/>
  <c r="V310" i="19"/>
  <c r="W310" i="19"/>
  <c r="X310" i="19"/>
  <c r="V311" i="19"/>
  <c r="W311" i="19"/>
  <c r="X311" i="19"/>
  <c r="V312" i="19"/>
  <c r="W312" i="19"/>
  <c r="X312" i="19"/>
  <c r="V313" i="19"/>
  <c r="W313" i="19"/>
  <c r="X313" i="19"/>
  <c r="V314" i="19"/>
  <c r="W314" i="19"/>
  <c r="X314" i="19"/>
  <c r="V315" i="19"/>
  <c r="W315" i="19"/>
  <c r="X315" i="19"/>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H8" i="19"/>
  <c r="I8" i="19"/>
  <c r="K8" i="19"/>
  <c r="L8" i="19"/>
  <c r="M8" i="19"/>
  <c r="N8" i="19"/>
  <c r="P8" i="19"/>
  <c r="Q8" i="19"/>
  <c r="H9" i="19"/>
  <c r="I9" i="19"/>
  <c r="K9" i="19"/>
  <c r="L9" i="19"/>
  <c r="M9" i="19"/>
  <c r="N9" i="19"/>
  <c r="P9" i="19"/>
  <c r="Q9" i="19"/>
  <c r="H10" i="19"/>
  <c r="I10" i="19"/>
  <c r="K10" i="19"/>
  <c r="L10" i="19"/>
  <c r="M10" i="19"/>
  <c r="N10" i="19"/>
  <c r="P10" i="19"/>
  <c r="Q10" i="19"/>
  <c r="H11" i="19"/>
  <c r="I11" i="19"/>
  <c r="K11" i="19"/>
  <c r="L11" i="19"/>
  <c r="M11" i="19"/>
  <c r="N11" i="19"/>
  <c r="P11" i="19"/>
  <c r="Q11" i="19"/>
  <c r="H12" i="19"/>
  <c r="I12" i="19"/>
  <c r="K12" i="19"/>
  <c r="L12" i="19"/>
  <c r="M12" i="19"/>
  <c r="N12" i="19"/>
  <c r="P12" i="19"/>
  <c r="Q12" i="19"/>
  <c r="H13" i="19"/>
  <c r="I13" i="19"/>
  <c r="K13" i="19"/>
  <c r="L13" i="19"/>
  <c r="M13" i="19"/>
  <c r="N13" i="19"/>
  <c r="P13" i="19"/>
  <c r="Q13" i="19"/>
  <c r="H14" i="19"/>
  <c r="I14" i="19"/>
  <c r="K14" i="19"/>
  <c r="L14" i="19"/>
  <c r="M14" i="19"/>
  <c r="N14" i="19"/>
  <c r="P14" i="19"/>
  <c r="Q14" i="19"/>
  <c r="H15" i="19"/>
  <c r="I15" i="19"/>
  <c r="K15" i="19"/>
  <c r="L15" i="19"/>
  <c r="M15" i="19"/>
  <c r="N15" i="19"/>
  <c r="P15" i="19"/>
  <c r="Q15" i="19"/>
  <c r="H16" i="19"/>
  <c r="I16" i="19"/>
  <c r="K16" i="19"/>
  <c r="L16" i="19"/>
  <c r="M16" i="19"/>
  <c r="N16" i="19"/>
  <c r="P16" i="19"/>
  <c r="Q16" i="19"/>
  <c r="H17" i="19"/>
  <c r="I17" i="19"/>
  <c r="K17" i="19"/>
  <c r="L17" i="19"/>
  <c r="M17" i="19"/>
  <c r="N17" i="19"/>
  <c r="P17" i="19"/>
  <c r="Q17" i="19"/>
  <c r="H18" i="19"/>
  <c r="I18" i="19"/>
  <c r="K18" i="19"/>
  <c r="L18" i="19"/>
  <c r="M18" i="19"/>
  <c r="N18" i="19"/>
  <c r="P18" i="19"/>
  <c r="Q18" i="19"/>
  <c r="H19" i="19"/>
  <c r="I19" i="19"/>
  <c r="K19" i="19"/>
  <c r="L19" i="19"/>
  <c r="M19" i="19"/>
  <c r="N19" i="19"/>
  <c r="P19" i="19"/>
  <c r="Q19" i="19"/>
  <c r="H20" i="19"/>
  <c r="I20" i="19"/>
  <c r="K20" i="19"/>
  <c r="L20" i="19"/>
  <c r="M20" i="19"/>
  <c r="N20" i="19"/>
  <c r="P20" i="19"/>
  <c r="Q20" i="19"/>
  <c r="H21" i="19"/>
  <c r="I21" i="19"/>
  <c r="K21" i="19"/>
  <c r="L21" i="19"/>
  <c r="M21" i="19"/>
  <c r="N21" i="19"/>
  <c r="P21" i="19"/>
  <c r="Q21" i="19"/>
  <c r="H22" i="19"/>
  <c r="I22" i="19"/>
  <c r="K22" i="19"/>
  <c r="L22" i="19"/>
  <c r="M22" i="19"/>
  <c r="N22" i="19"/>
  <c r="P22" i="19"/>
  <c r="Q22" i="19"/>
  <c r="H23" i="19"/>
  <c r="I23" i="19"/>
  <c r="K23" i="19"/>
  <c r="L23" i="19"/>
  <c r="M23" i="19"/>
  <c r="N23" i="19"/>
  <c r="P23" i="19"/>
  <c r="Q23" i="19"/>
  <c r="H24" i="19"/>
  <c r="I24" i="19"/>
  <c r="K24" i="19"/>
  <c r="L24" i="19"/>
  <c r="M24" i="19"/>
  <c r="N24" i="19"/>
  <c r="P24" i="19"/>
  <c r="Q24" i="19"/>
  <c r="H25" i="19"/>
  <c r="I25" i="19"/>
  <c r="K25" i="19"/>
  <c r="L25" i="19"/>
  <c r="M25" i="19"/>
  <c r="N25" i="19"/>
  <c r="P25" i="19"/>
  <c r="Q25" i="19"/>
  <c r="H26" i="19"/>
  <c r="I26" i="19"/>
  <c r="K26" i="19"/>
  <c r="L26" i="19"/>
  <c r="M26" i="19"/>
  <c r="N26" i="19"/>
  <c r="P26" i="19"/>
  <c r="Q26" i="19"/>
  <c r="H27" i="19"/>
  <c r="I27" i="19"/>
  <c r="K27" i="19"/>
  <c r="L27" i="19"/>
  <c r="M27" i="19"/>
  <c r="N27" i="19"/>
  <c r="P27" i="19"/>
  <c r="Q27" i="19"/>
  <c r="H28" i="19"/>
  <c r="I28" i="19"/>
  <c r="K28" i="19"/>
  <c r="L28" i="19"/>
  <c r="M28" i="19"/>
  <c r="N28" i="19"/>
  <c r="P28" i="19"/>
  <c r="Q28" i="19"/>
  <c r="H29" i="19"/>
  <c r="I29" i="19"/>
  <c r="K29" i="19"/>
  <c r="L29" i="19"/>
  <c r="M29" i="19"/>
  <c r="N29" i="19"/>
  <c r="P29" i="19"/>
  <c r="Q29" i="19"/>
  <c r="H30" i="19"/>
  <c r="I30" i="19"/>
  <c r="K30" i="19"/>
  <c r="L30" i="19"/>
  <c r="M30" i="19"/>
  <c r="N30" i="19"/>
  <c r="P30" i="19"/>
  <c r="Q30" i="19"/>
  <c r="H31" i="19"/>
  <c r="I31" i="19"/>
  <c r="K31" i="19"/>
  <c r="L31" i="19"/>
  <c r="M31" i="19"/>
  <c r="N31" i="19"/>
  <c r="P31" i="19"/>
  <c r="Q31" i="19"/>
  <c r="H32" i="19"/>
  <c r="I32" i="19"/>
  <c r="K32" i="19"/>
  <c r="L32" i="19"/>
  <c r="M32" i="19"/>
  <c r="N32" i="19"/>
  <c r="P32" i="19"/>
  <c r="Q32" i="19"/>
  <c r="H33" i="19"/>
  <c r="I33" i="19"/>
  <c r="K33" i="19"/>
  <c r="L33" i="19"/>
  <c r="M33" i="19"/>
  <c r="N33" i="19"/>
  <c r="P33" i="19"/>
  <c r="Q33" i="19"/>
  <c r="H34" i="19"/>
  <c r="I34" i="19"/>
  <c r="K34" i="19"/>
  <c r="L34" i="19"/>
  <c r="M34" i="19"/>
  <c r="N34" i="19"/>
  <c r="P34" i="19"/>
  <c r="Q34" i="19"/>
  <c r="H35" i="19"/>
  <c r="I35" i="19"/>
  <c r="K35" i="19"/>
  <c r="L35" i="19"/>
  <c r="M35" i="19"/>
  <c r="N35" i="19"/>
  <c r="P35" i="19"/>
  <c r="Q35" i="19"/>
  <c r="H36" i="19"/>
  <c r="I36" i="19"/>
  <c r="K36" i="19"/>
  <c r="L36" i="19"/>
  <c r="M36" i="19"/>
  <c r="N36" i="19"/>
  <c r="P36" i="19"/>
  <c r="Q36" i="19"/>
  <c r="H37" i="19"/>
  <c r="I37" i="19"/>
  <c r="K37" i="19"/>
  <c r="L37" i="19"/>
  <c r="M37" i="19"/>
  <c r="N37" i="19"/>
  <c r="P37" i="19"/>
  <c r="Q37" i="19"/>
  <c r="H38" i="19"/>
  <c r="I38" i="19"/>
  <c r="K38" i="19"/>
  <c r="L38" i="19"/>
  <c r="M38" i="19"/>
  <c r="N38" i="19"/>
  <c r="P38" i="19"/>
  <c r="Q38" i="19"/>
  <c r="H39" i="19"/>
  <c r="I39" i="19"/>
  <c r="K39" i="19"/>
  <c r="L39" i="19"/>
  <c r="M39" i="19"/>
  <c r="N39" i="19"/>
  <c r="P39" i="19"/>
  <c r="Q39" i="19"/>
  <c r="H40" i="19"/>
  <c r="I40" i="19"/>
  <c r="K40" i="19"/>
  <c r="L40" i="19"/>
  <c r="M40" i="19"/>
  <c r="N40" i="19"/>
  <c r="P40" i="19"/>
  <c r="Q40" i="19"/>
  <c r="H41" i="19"/>
  <c r="I41" i="19"/>
  <c r="K41" i="19"/>
  <c r="L41" i="19"/>
  <c r="M41" i="19"/>
  <c r="N41" i="19"/>
  <c r="P41" i="19"/>
  <c r="Q41" i="19"/>
  <c r="H42" i="19"/>
  <c r="I42" i="19"/>
  <c r="K42" i="19"/>
  <c r="L42" i="19"/>
  <c r="M42" i="19"/>
  <c r="N42" i="19"/>
  <c r="P42" i="19"/>
  <c r="Q42" i="19"/>
  <c r="H43" i="19"/>
  <c r="I43" i="19"/>
  <c r="K43" i="19"/>
  <c r="L43" i="19"/>
  <c r="M43" i="19"/>
  <c r="N43" i="19"/>
  <c r="P43" i="19"/>
  <c r="Q43" i="19"/>
  <c r="H44" i="19"/>
  <c r="I44" i="19"/>
  <c r="K44" i="19"/>
  <c r="L44" i="19"/>
  <c r="M44" i="19"/>
  <c r="N44" i="19"/>
  <c r="P44" i="19"/>
  <c r="Q44" i="19"/>
  <c r="H45" i="19"/>
  <c r="I45" i="19"/>
  <c r="K45" i="19"/>
  <c r="L45" i="19"/>
  <c r="M45" i="19"/>
  <c r="N45" i="19"/>
  <c r="P45" i="19"/>
  <c r="Q45" i="19"/>
  <c r="H46" i="19"/>
  <c r="I46" i="19"/>
  <c r="K46" i="19"/>
  <c r="L46" i="19"/>
  <c r="M46" i="19"/>
  <c r="N46" i="19"/>
  <c r="P46" i="19"/>
  <c r="Q46" i="19"/>
  <c r="H47" i="19"/>
  <c r="I47" i="19"/>
  <c r="K47" i="19"/>
  <c r="L47" i="19"/>
  <c r="M47" i="19"/>
  <c r="N47" i="19"/>
  <c r="P47" i="19"/>
  <c r="Q47" i="19"/>
  <c r="H48" i="19"/>
  <c r="I48" i="19"/>
  <c r="K48" i="19"/>
  <c r="L48" i="19"/>
  <c r="M48" i="19"/>
  <c r="N48" i="19"/>
  <c r="P48" i="19"/>
  <c r="Q48" i="19"/>
  <c r="H49" i="19"/>
  <c r="I49" i="19"/>
  <c r="K49" i="19"/>
  <c r="L49" i="19"/>
  <c r="M49" i="19"/>
  <c r="N49" i="19"/>
  <c r="P49" i="19"/>
  <c r="Q49" i="19"/>
  <c r="H50" i="19"/>
  <c r="I50" i="19"/>
  <c r="K50" i="19"/>
  <c r="L50" i="19"/>
  <c r="M50" i="19"/>
  <c r="N50" i="19"/>
  <c r="P50" i="19"/>
  <c r="Q50" i="19"/>
  <c r="H51" i="19"/>
  <c r="I51" i="19"/>
  <c r="K51" i="19"/>
  <c r="L51" i="19"/>
  <c r="M51" i="19"/>
  <c r="N51" i="19"/>
  <c r="P51" i="19"/>
  <c r="Q51" i="19"/>
  <c r="H52" i="19"/>
  <c r="I52" i="19"/>
  <c r="K52" i="19"/>
  <c r="L52" i="19"/>
  <c r="M52" i="19"/>
  <c r="N52" i="19"/>
  <c r="P52" i="19"/>
  <c r="Q52" i="19"/>
  <c r="H53" i="19"/>
  <c r="I53" i="19"/>
  <c r="K53" i="19"/>
  <c r="L53" i="19"/>
  <c r="M53" i="19"/>
  <c r="N53" i="19"/>
  <c r="P53" i="19"/>
  <c r="Q53" i="19"/>
  <c r="H54" i="19"/>
  <c r="I54" i="19"/>
  <c r="K54" i="19"/>
  <c r="L54" i="19"/>
  <c r="M54" i="19"/>
  <c r="N54" i="19"/>
  <c r="P54" i="19"/>
  <c r="Q54" i="19"/>
  <c r="H55" i="19"/>
  <c r="I55" i="19"/>
  <c r="K55" i="19"/>
  <c r="L55" i="19"/>
  <c r="M55" i="19"/>
  <c r="N55" i="19"/>
  <c r="P55" i="19"/>
  <c r="Q55" i="19"/>
  <c r="H56" i="19"/>
  <c r="I56" i="19"/>
  <c r="K56" i="19"/>
  <c r="L56" i="19"/>
  <c r="M56" i="19"/>
  <c r="N56" i="19"/>
  <c r="P56" i="19"/>
  <c r="Q56" i="19"/>
  <c r="H57" i="19"/>
  <c r="I57" i="19"/>
  <c r="K57" i="19"/>
  <c r="L57" i="19"/>
  <c r="M57" i="19"/>
  <c r="N57" i="19"/>
  <c r="P57" i="19"/>
  <c r="Q57" i="19"/>
  <c r="H58" i="19"/>
  <c r="I58" i="19"/>
  <c r="K58" i="19"/>
  <c r="L58" i="19"/>
  <c r="M58" i="19"/>
  <c r="N58" i="19"/>
  <c r="P58" i="19"/>
  <c r="Q58" i="19"/>
  <c r="H59" i="19"/>
  <c r="I59" i="19"/>
  <c r="K59" i="19"/>
  <c r="L59" i="19"/>
  <c r="M59" i="19"/>
  <c r="N59" i="19"/>
  <c r="P59" i="19"/>
  <c r="Q59" i="19"/>
  <c r="H60" i="19"/>
  <c r="I60" i="19"/>
  <c r="K60" i="19"/>
  <c r="L60" i="19"/>
  <c r="M60" i="19"/>
  <c r="N60" i="19"/>
  <c r="P60" i="19"/>
  <c r="Q60" i="19"/>
  <c r="H61" i="19"/>
  <c r="I61" i="19"/>
  <c r="K61" i="19"/>
  <c r="L61" i="19"/>
  <c r="M61" i="19"/>
  <c r="N61" i="19"/>
  <c r="P61" i="19"/>
  <c r="Q61" i="19"/>
  <c r="H62" i="19"/>
  <c r="I62" i="19"/>
  <c r="K62" i="19"/>
  <c r="L62" i="19"/>
  <c r="M62" i="19"/>
  <c r="N62" i="19"/>
  <c r="P62" i="19"/>
  <c r="Q62" i="19"/>
  <c r="H63" i="19"/>
  <c r="I63" i="19"/>
  <c r="K63" i="19"/>
  <c r="L63" i="19"/>
  <c r="M63" i="19"/>
  <c r="N63" i="19"/>
  <c r="P63" i="19"/>
  <c r="Q63" i="19"/>
  <c r="H64" i="19"/>
  <c r="I64" i="19"/>
  <c r="K64" i="19"/>
  <c r="L64" i="19"/>
  <c r="M64" i="19"/>
  <c r="N64" i="19"/>
  <c r="P64" i="19"/>
  <c r="Q64" i="19"/>
  <c r="H65" i="19"/>
  <c r="I65" i="19"/>
  <c r="K65" i="19"/>
  <c r="L65" i="19"/>
  <c r="M65" i="19"/>
  <c r="N65" i="19"/>
  <c r="P65" i="19"/>
  <c r="Q65" i="19"/>
  <c r="H66" i="19"/>
  <c r="I66" i="19"/>
  <c r="K66" i="19"/>
  <c r="L66" i="19"/>
  <c r="M66" i="19"/>
  <c r="N66" i="19"/>
  <c r="P66" i="19"/>
  <c r="Q66" i="19"/>
  <c r="H67" i="19"/>
  <c r="I67" i="19"/>
  <c r="K67" i="19"/>
  <c r="L67" i="19"/>
  <c r="M67" i="19"/>
  <c r="N67" i="19"/>
  <c r="P67" i="19"/>
  <c r="Q67" i="19"/>
  <c r="H68" i="19"/>
  <c r="I68" i="19"/>
  <c r="K68" i="19"/>
  <c r="L68" i="19"/>
  <c r="M68" i="19"/>
  <c r="N68" i="19"/>
  <c r="P68" i="19"/>
  <c r="Q68" i="19"/>
  <c r="H69" i="19"/>
  <c r="I69" i="19"/>
  <c r="K69" i="19"/>
  <c r="L69" i="19"/>
  <c r="M69" i="19"/>
  <c r="N69" i="19"/>
  <c r="P69" i="19"/>
  <c r="Q69" i="19"/>
  <c r="H70" i="19"/>
  <c r="I70" i="19"/>
  <c r="K70" i="19"/>
  <c r="L70" i="19"/>
  <c r="M70" i="19"/>
  <c r="N70" i="19"/>
  <c r="P70" i="19"/>
  <c r="Q70" i="19"/>
  <c r="H71" i="19"/>
  <c r="I71" i="19"/>
  <c r="K71" i="19"/>
  <c r="L71" i="19"/>
  <c r="M71" i="19"/>
  <c r="N71" i="19"/>
  <c r="P71" i="19"/>
  <c r="Q71" i="19"/>
  <c r="H72" i="19"/>
  <c r="I72" i="19"/>
  <c r="K72" i="19"/>
  <c r="L72" i="19"/>
  <c r="M72" i="19"/>
  <c r="N72" i="19"/>
  <c r="P72" i="19"/>
  <c r="Q72" i="19"/>
  <c r="H73" i="19"/>
  <c r="I73" i="19"/>
  <c r="K73" i="19"/>
  <c r="L73" i="19"/>
  <c r="M73" i="19"/>
  <c r="N73" i="19"/>
  <c r="P73" i="19"/>
  <c r="Q73" i="19"/>
  <c r="H74" i="19"/>
  <c r="I74" i="19"/>
  <c r="K74" i="19"/>
  <c r="L74" i="19"/>
  <c r="M74" i="19"/>
  <c r="N74" i="19"/>
  <c r="P74" i="19"/>
  <c r="Q74" i="19"/>
  <c r="H75" i="19"/>
  <c r="I75" i="19"/>
  <c r="K75" i="19"/>
  <c r="L75" i="19"/>
  <c r="M75" i="19"/>
  <c r="N75" i="19"/>
  <c r="P75" i="19"/>
  <c r="Q75" i="19"/>
  <c r="H76" i="19"/>
  <c r="I76" i="19"/>
  <c r="K76" i="19"/>
  <c r="L76" i="19"/>
  <c r="M76" i="19"/>
  <c r="N76" i="19"/>
  <c r="P76" i="19"/>
  <c r="Q76" i="19"/>
  <c r="H77" i="19"/>
  <c r="I77" i="19"/>
  <c r="K77" i="19"/>
  <c r="L77" i="19"/>
  <c r="M77" i="19"/>
  <c r="N77" i="19"/>
  <c r="P77" i="19"/>
  <c r="Q77" i="19"/>
  <c r="H78" i="19"/>
  <c r="I78" i="19"/>
  <c r="K78" i="19"/>
  <c r="L78" i="19"/>
  <c r="M78" i="19"/>
  <c r="N78" i="19"/>
  <c r="P78" i="19"/>
  <c r="Q78" i="19"/>
  <c r="H79" i="19"/>
  <c r="I79" i="19"/>
  <c r="K79" i="19"/>
  <c r="L79" i="19"/>
  <c r="M79" i="19"/>
  <c r="N79" i="19"/>
  <c r="P79" i="19"/>
  <c r="Q79" i="19"/>
  <c r="H80" i="19"/>
  <c r="I80" i="19"/>
  <c r="K80" i="19"/>
  <c r="L80" i="19"/>
  <c r="M80" i="19"/>
  <c r="N80" i="19"/>
  <c r="P80" i="19"/>
  <c r="Q80" i="19"/>
  <c r="H81" i="19"/>
  <c r="I81" i="19"/>
  <c r="K81" i="19"/>
  <c r="L81" i="19"/>
  <c r="M81" i="19"/>
  <c r="N81" i="19"/>
  <c r="P81" i="19"/>
  <c r="Q81" i="19"/>
  <c r="H82" i="19"/>
  <c r="I82" i="19"/>
  <c r="K82" i="19"/>
  <c r="L82" i="19"/>
  <c r="M82" i="19"/>
  <c r="N82" i="19"/>
  <c r="P82" i="19"/>
  <c r="Q82" i="19"/>
  <c r="H83" i="19"/>
  <c r="I83" i="19"/>
  <c r="K83" i="19"/>
  <c r="L83" i="19"/>
  <c r="M83" i="19"/>
  <c r="N83" i="19"/>
  <c r="P83" i="19"/>
  <c r="Q83" i="19"/>
  <c r="H84" i="19"/>
  <c r="I84" i="19"/>
  <c r="K84" i="19"/>
  <c r="L84" i="19"/>
  <c r="M84" i="19"/>
  <c r="N84" i="19"/>
  <c r="P84" i="19"/>
  <c r="Q84" i="19"/>
  <c r="H85" i="19"/>
  <c r="I85" i="19"/>
  <c r="K85" i="19"/>
  <c r="L85" i="19"/>
  <c r="M85" i="19"/>
  <c r="N85" i="19"/>
  <c r="P85" i="19"/>
  <c r="Q85" i="19"/>
  <c r="H86" i="19"/>
  <c r="I86" i="19"/>
  <c r="K86" i="19"/>
  <c r="L86" i="19"/>
  <c r="M86" i="19"/>
  <c r="N86" i="19"/>
  <c r="P86" i="19"/>
  <c r="Q86" i="19"/>
  <c r="H87" i="19"/>
  <c r="I87" i="19"/>
  <c r="K87" i="19"/>
  <c r="L87" i="19"/>
  <c r="M87" i="19"/>
  <c r="N87" i="19"/>
  <c r="P87" i="19"/>
  <c r="Q87" i="19"/>
  <c r="H88" i="19"/>
  <c r="I88" i="19"/>
  <c r="K88" i="19"/>
  <c r="L88" i="19"/>
  <c r="M88" i="19"/>
  <c r="N88" i="19"/>
  <c r="P88" i="19"/>
  <c r="Q88" i="19"/>
  <c r="H89" i="19"/>
  <c r="I89" i="19"/>
  <c r="K89" i="19"/>
  <c r="L89" i="19"/>
  <c r="M89" i="19"/>
  <c r="N89" i="19"/>
  <c r="P89" i="19"/>
  <c r="Q89" i="19"/>
  <c r="H90" i="19"/>
  <c r="I90" i="19"/>
  <c r="K90" i="19"/>
  <c r="L90" i="19"/>
  <c r="M90" i="19"/>
  <c r="N90" i="19"/>
  <c r="P90" i="19"/>
  <c r="Q90" i="19"/>
  <c r="H91" i="19"/>
  <c r="I91" i="19"/>
  <c r="K91" i="19"/>
  <c r="L91" i="19"/>
  <c r="M91" i="19"/>
  <c r="N91" i="19"/>
  <c r="P91" i="19"/>
  <c r="Q91" i="19"/>
  <c r="H92" i="19"/>
  <c r="I92" i="19"/>
  <c r="K92" i="19"/>
  <c r="L92" i="19"/>
  <c r="M92" i="19"/>
  <c r="N92" i="19"/>
  <c r="P92" i="19"/>
  <c r="Q92" i="19"/>
  <c r="H93" i="19"/>
  <c r="I93" i="19"/>
  <c r="K93" i="19"/>
  <c r="L93" i="19"/>
  <c r="M93" i="19"/>
  <c r="N93" i="19"/>
  <c r="P93" i="19"/>
  <c r="Q93" i="19"/>
  <c r="H94" i="19"/>
  <c r="I94" i="19"/>
  <c r="K94" i="19"/>
  <c r="L94" i="19"/>
  <c r="M94" i="19"/>
  <c r="N94" i="19"/>
  <c r="P94" i="19"/>
  <c r="Q94" i="19"/>
  <c r="H95" i="19"/>
  <c r="I95" i="19"/>
  <c r="K95" i="19"/>
  <c r="L95" i="19"/>
  <c r="M95" i="19"/>
  <c r="N95" i="19"/>
  <c r="P95" i="19"/>
  <c r="Q95" i="19"/>
  <c r="H96" i="19"/>
  <c r="I96" i="19"/>
  <c r="K96" i="19"/>
  <c r="L96" i="19"/>
  <c r="M96" i="19"/>
  <c r="N96" i="19"/>
  <c r="P96" i="19"/>
  <c r="Q96" i="19"/>
  <c r="H97" i="19"/>
  <c r="I97" i="19"/>
  <c r="K97" i="19"/>
  <c r="L97" i="19"/>
  <c r="M97" i="19"/>
  <c r="N97" i="19"/>
  <c r="P97" i="19"/>
  <c r="Q97" i="19"/>
  <c r="H98" i="19"/>
  <c r="I98" i="19"/>
  <c r="K98" i="19"/>
  <c r="L98" i="19"/>
  <c r="M98" i="19"/>
  <c r="N98" i="19"/>
  <c r="P98" i="19"/>
  <c r="Q98" i="19"/>
  <c r="H99" i="19"/>
  <c r="I99" i="19"/>
  <c r="K99" i="19"/>
  <c r="L99" i="19"/>
  <c r="M99" i="19"/>
  <c r="N99" i="19"/>
  <c r="P99" i="19"/>
  <c r="Q99" i="19"/>
  <c r="H100" i="19"/>
  <c r="I100" i="19"/>
  <c r="K100" i="19"/>
  <c r="L100" i="19"/>
  <c r="M100" i="19"/>
  <c r="N100" i="19"/>
  <c r="P100" i="19"/>
  <c r="Q100" i="19"/>
  <c r="H101" i="19"/>
  <c r="I101" i="19"/>
  <c r="K101" i="19"/>
  <c r="L101" i="19"/>
  <c r="M101" i="19"/>
  <c r="N101" i="19"/>
  <c r="P101" i="19"/>
  <c r="Q101" i="19"/>
  <c r="H102" i="19"/>
  <c r="I102" i="19"/>
  <c r="K102" i="19"/>
  <c r="L102" i="19"/>
  <c r="M102" i="19"/>
  <c r="N102" i="19"/>
  <c r="P102" i="19"/>
  <c r="Q102" i="19"/>
  <c r="H103" i="19"/>
  <c r="I103" i="19"/>
  <c r="K103" i="19"/>
  <c r="L103" i="19"/>
  <c r="M103" i="19"/>
  <c r="N103" i="19"/>
  <c r="P103" i="19"/>
  <c r="Q103" i="19"/>
  <c r="H104" i="19"/>
  <c r="I104" i="19"/>
  <c r="K104" i="19"/>
  <c r="L104" i="19"/>
  <c r="M104" i="19"/>
  <c r="N104" i="19"/>
  <c r="P104" i="19"/>
  <c r="Q104" i="19"/>
  <c r="H105" i="19"/>
  <c r="I105" i="19"/>
  <c r="K105" i="19"/>
  <c r="L105" i="19"/>
  <c r="M105" i="19"/>
  <c r="N105" i="19"/>
  <c r="P105" i="19"/>
  <c r="Q105" i="19"/>
  <c r="H106" i="19"/>
  <c r="I106" i="19"/>
  <c r="K106" i="19"/>
  <c r="L106" i="19"/>
  <c r="M106" i="19"/>
  <c r="N106" i="19"/>
  <c r="P106" i="19"/>
  <c r="Q106" i="19"/>
  <c r="H107" i="19"/>
  <c r="I107" i="19"/>
  <c r="K107" i="19"/>
  <c r="L107" i="19"/>
  <c r="M107" i="19"/>
  <c r="N107" i="19"/>
  <c r="P107" i="19"/>
  <c r="Q107" i="19"/>
  <c r="H108" i="19"/>
  <c r="I108" i="19"/>
  <c r="K108" i="19"/>
  <c r="L108" i="19"/>
  <c r="M108" i="19"/>
  <c r="N108" i="19"/>
  <c r="P108" i="19"/>
  <c r="Q108" i="19"/>
  <c r="H109" i="19"/>
  <c r="I109" i="19"/>
  <c r="K109" i="19"/>
  <c r="L109" i="19"/>
  <c r="M109" i="19"/>
  <c r="N109" i="19"/>
  <c r="P109" i="19"/>
  <c r="Q109" i="19"/>
  <c r="H110" i="19"/>
  <c r="I110" i="19"/>
  <c r="K110" i="19"/>
  <c r="L110" i="19"/>
  <c r="M110" i="19"/>
  <c r="N110" i="19"/>
  <c r="P110" i="19"/>
  <c r="Q110" i="19"/>
  <c r="H111" i="19"/>
  <c r="I111" i="19"/>
  <c r="K111" i="19"/>
  <c r="L111" i="19"/>
  <c r="M111" i="19"/>
  <c r="N111" i="19"/>
  <c r="P111" i="19"/>
  <c r="Q111" i="19"/>
  <c r="H112" i="19"/>
  <c r="I112" i="19"/>
  <c r="K112" i="19"/>
  <c r="L112" i="19"/>
  <c r="M112" i="19"/>
  <c r="N112" i="19"/>
  <c r="P112" i="19"/>
  <c r="Q112" i="19"/>
  <c r="H113" i="19"/>
  <c r="I113" i="19"/>
  <c r="K113" i="19"/>
  <c r="L113" i="19"/>
  <c r="M113" i="19"/>
  <c r="N113" i="19"/>
  <c r="P113" i="19"/>
  <c r="Q113" i="19"/>
  <c r="H114" i="19"/>
  <c r="I114" i="19"/>
  <c r="K114" i="19"/>
  <c r="L114" i="19"/>
  <c r="M114" i="19"/>
  <c r="N114" i="19"/>
  <c r="P114" i="19"/>
  <c r="Q114" i="19"/>
  <c r="H115" i="19"/>
  <c r="I115" i="19"/>
  <c r="K115" i="19"/>
  <c r="L115" i="19"/>
  <c r="M115" i="19"/>
  <c r="N115" i="19"/>
  <c r="P115" i="19"/>
  <c r="Q115" i="19"/>
  <c r="H116" i="19"/>
  <c r="I116" i="19"/>
  <c r="K116" i="19"/>
  <c r="L116" i="19"/>
  <c r="M116" i="19"/>
  <c r="N116" i="19"/>
  <c r="P116" i="19"/>
  <c r="Q116" i="19"/>
  <c r="H117" i="19"/>
  <c r="I117" i="19"/>
  <c r="K117" i="19"/>
  <c r="L117" i="19"/>
  <c r="M117" i="19"/>
  <c r="N117" i="19"/>
  <c r="P117" i="19"/>
  <c r="Q117" i="19"/>
  <c r="H118" i="19"/>
  <c r="I118" i="19"/>
  <c r="K118" i="19"/>
  <c r="L118" i="19"/>
  <c r="M118" i="19"/>
  <c r="N118" i="19"/>
  <c r="P118" i="19"/>
  <c r="Q118" i="19"/>
  <c r="H119" i="19"/>
  <c r="I119" i="19"/>
  <c r="K119" i="19"/>
  <c r="L119" i="19"/>
  <c r="M119" i="19"/>
  <c r="N119" i="19"/>
  <c r="P119" i="19"/>
  <c r="Q119" i="19"/>
  <c r="H120" i="19"/>
  <c r="I120" i="19"/>
  <c r="K120" i="19"/>
  <c r="L120" i="19"/>
  <c r="M120" i="19"/>
  <c r="N120" i="19"/>
  <c r="P120" i="19"/>
  <c r="Q120" i="19"/>
  <c r="H121" i="19"/>
  <c r="I121" i="19"/>
  <c r="K121" i="19"/>
  <c r="L121" i="19"/>
  <c r="M121" i="19"/>
  <c r="N121" i="19"/>
  <c r="P121" i="19"/>
  <c r="Q121" i="19"/>
  <c r="H122" i="19"/>
  <c r="I122" i="19"/>
  <c r="K122" i="19"/>
  <c r="L122" i="19"/>
  <c r="M122" i="19"/>
  <c r="N122" i="19"/>
  <c r="P122" i="19"/>
  <c r="Q122" i="19"/>
  <c r="H123" i="19"/>
  <c r="I123" i="19"/>
  <c r="K123" i="19"/>
  <c r="L123" i="19"/>
  <c r="M123" i="19"/>
  <c r="N123" i="19"/>
  <c r="P123" i="19"/>
  <c r="Q123" i="19"/>
  <c r="H124" i="19"/>
  <c r="I124" i="19"/>
  <c r="K124" i="19"/>
  <c r="L124" i="19"/>
  <c r="M124" i="19"/>
  <c r="N124" i="19"/>
  <c r="P124" i="19"/>
  <c r="Q124" i="19"/>
  <c r="H125" i="19"/>
  <c r="I125" i="19"/>
  <c r="K125" i="19"/>
  <c r="L125" i="19"/>
  <c r="M125" i="19"/>
  <c r="N125" i="19"/>
  <c r="P125" i="19"/>
  <c r="Q125" i="19"/>
  <c r="H126" i="19"/>
  <c r="I126" i="19"/>
  <c r="K126" i="19"/>
  <c r="L126" i="19"/>
  <c r="M126" i="19"/>
  <c r="N126" i="19"/>
  <c r="P126" i="19"/>
  <c r="Q126" i="19"/>
  <c r="H127" i="19"/>
  <c r="I127" i="19"/>
  <c r="K127" i="19"/>
  <c r="L127" i="19"/>
  <c r="M127" i="19"/>
  <c r="N127" i="19"/>
  <c r="P127" i="19"/>
  <c r="Q127" i="19"/>
  <c r="H128" i="19"/>
  <c r="I128" i="19"/>
  <c r="K128" i="19"/>
  <c r="L128" i="19"/>
  <c r="M128" i="19"/>
  <c r="N128" i="19"/>
  <c r="P128" i="19"/>
  <c r="Q128" i="19"/>
  <c r="H129" i="19"/>
  <c r="I129" i="19"/>
  <c r="K129" i="19"/>
  <c r="L129" i="19"/>
  <c r="M129" i="19"/>
  <c r="N129" i="19"/>
  <c r="P129" i="19"/>
  <c r="Q129" i="19"/>
  <c r="H130" i="19"/>
  <c r="I130" i="19"/>
  <c r="K130" i="19"/>
  <c r="L130" i="19"/>
  <c r="M130" i="19"/>
  <c r="N130" i="19"/>
  <c r="P130" i="19"/>
  <c r="Q130" i="19"/>
  <c r="H131" i="19"/>
  <c r="I131" i="19"/>
  <c r="K131" i="19"/>
  <c r="L131" i="19"/>
  <c r="M131" i="19"/>
  <c r="N131" i="19"/>
  <c r="P131" i="19"/>
  <c r="Q131" i="19"/>
  <c r="H132" i="19"/>
  <c r="I132" i="19"/>
  <c r="K132" i="19"/>
  <c r="L132" i="19"/>
  <c r="M132" i="19"/>
  <c r="N132" i="19"/>
  <c r="P132" i="19"/>
  <c r="Q132" i="19"/>
  <c r="H133" i="19"/>
  <c r="I133" i="19"/>
  <c r="K133" i="19"/>
  <c r="L133" i="19"/>
  <c r="M133" i="19"/>
  <c r="N133" i="19"/>
  <c r="P133" i="19"/>
  <c r="Q133" i="19"/>
  <c r="H134" i="19"/>
  <c r="I134" i="19"/>
  <c r="K134" i="19"/>
  <c r="L134" i="19"/>
  <c r="M134" i="19"/>
  <c r="N134" i="19"/>
  <c r="P134" i="19"/>
  <c r="Q134" i="19"/>
  <c r="H135" i="19"/>
  <c r="I135" i="19"/>
  <c r="K135" i="19"/>
  <c r="L135" i="19"/>
  <c r="M135" i="19"/>
  <c r="N135" i="19"/>
  <c r="P135" i="19"/>
  <c r="Q135" i="19"/>
  <c r="H136" i="19"/>
  <c r="I136" i="19"/>
  <c r="K136" i="19"/>
  <c r="L136" i="19"/>
  <c r="M136" i="19"/>
  <c r="N136" i="19"/>
  <c r="P136" i="19"/>
  <c r="Q136" i="19"/>
  <c r="H137" i="19"/>
  <c r="I137" i="19"/>
  <c r="K137" i="19"/>
  <c r="L137" i="19"/>
  <c r="M137" i="19"/>
  <c r="N137" i="19"/>
  <c r="P137" i="19"/>
  <c r="Q137" i="19"/>
  <c r="H138" i="19"/>
  <c r="I138" i="19"/>
  <c r="K138" i="19"/>
  <c r="L138" i="19"/>
  <c r="M138" i="19"/>
  <c r="N138" i="19"/>
  <c r="P138" i="19"/>
  <c r="Q138" i="19"/>
  <c r="H139" i="19"/>
  <c r="I139" i="19"/>
  <c r="K139" i="19"/>
  <c r="L139" i="19"/>
  <c r="M139" i="19"/>
  <c r="N139" i="19"/>
  <c r="P139" i="19"/>
  <c r="Q139" i="19"/>
  <c r="H140" i="19"/>
  <c r="I140" i="19"/>
  <c r="K140" i="19"/>
  <c r="L140" i="19"/>
  <c r="M140" i="19"/>
  <c r="N140" i="19"/>
  <c r="P140" i="19"/>
  <c r="Q140" i="19"/>
  <c r="H141" i="19"/>
  <c r="I141" i="19"/>
  <c r="K141" i="19"/>
  <c r="L141" i="19"/>
  <c r="M141" i="19"/>
  <c r="N141" i="19"/>
  <c r="P141" i="19"/>
  <c r="Q141" i="19"/>
  <c r="H142" i="19"/>
  <c r="I142" i="19"/>
  <c r="K142" i="19"/>
  <c r="L142" i="19"/>
  <c r="M142" i="19"/>
  <c r="N142" i="19"/>
  <c r="P142" i="19"/>
  <c r="Q142" i="19"/>
  <c r="H143" i="19"/>
  <c r="I143" i="19"/>
  <c r="K143" i="19"/>
  <c r="L143" i="19"/>
  <c r="M143" i="19"/>
  <c r="N143" i="19"/>
  <c r="P143" i="19"/>
  <c r="Q143" i="19"/>
  <c r="H144" i="19"/>
  <c r="I144" i="19"/>
  <c r="K144" i="19"/>
  <c r="L144" i="19"/>
  <c r="M144" i="19"/>
  <c r="N144" i="19"/>
  <c r="P144" i="19"/>
  <c r="Q144" i="19"/>
  <c r="H145" i="19"/>
  <c r="I145" i="19"/>
  <c r="K145" i="19"/>
  <c r="L145" i="19"/>
  <c r="M145" i="19"/>
  <c r="N145" i="19"/>
  <c r="P145" i="19"/>
  <c r="Q145" i="19"/>
  <c r="H146" i="19"/>
  <c r="I146" i="19"/>
  <c r="K146" i="19"/>
  <c r="L146" i="19"/>
  <c r="M146" i="19"/>
  <c r="N146" i="19"/>
  <c r="P146" i="19"/>
  <c r="Q146" i="19"/>
  <c r="H147" i="19"/>
  <c r="I147" i="19"/>
  <c r="K147" i="19"/>
  <c r="L147" i="19"/>
  <c r="M147" i="19"/>
  <c r="N147" i="19"/>
  <c r="P147" i="19"/>
  <c r="Q147" i="19"/>
  <c r="H148" i="19"/>
  <c r="I148" i="19"/>
  <c r="K148" i="19"/>
  <c r="L148" i="19"/>
  <c r="M148" i="19"/>
  <c r="N148" i="19"/>
  <c r="P148" i="19"/>
  <c r="Q148" i="19"/>
  <c r="H149" i="19"/>
  <c r="I149" i="19"/>
  <c r="K149" i="19"/>
  <c r="L149" i="19"/>
  <c r="M149" i="19"/>
  <c r="N149" i="19"/>
  <c r="P149" i="19"/>
  <c r="Q149" i="19"/>
  <c r="H150" i="19"/>
  <c r="I150" i="19"/>
  <c r="K150" i="19"/>
  <c r="L150" i="19"/>
  <c r="M150" i="19"/>
  <c r="N150" i="19"/>
  <c r="P150" i="19"/>
  <c r="Q150" i="19"/>
  <c r="H151" i="19"/>
  <c r="I151" i="19"/>
  <c r="K151" i="19"/>
  <c r="L151" i="19"/>
  <c r="M151" i="19"/>
  <c r="N151" i="19"/>
  <c r="P151" i="19"/>
  <c r="Q151" i="19"/>
  <c r="H152" i="19"/>
  <c r="I152" i="19"/>
  <c r="K152" i="19"/>
  <c r="L152" i="19"/>
  <c r="M152" i="19"/>
  <c r="N152" i="19"/>
  <c r="P152" i="19"/>
  <c r="Q152" i="19"/>
  <c r="H153" i="19"/>
  <c r="I153" i="19"/>
  <c r="K153" i="19"/>
  <c r="L153" i="19"/>
  <c r="M153" i="19"/>
  <c r="N153" i="19"/>
  <c r="P153" i="19"/>
  <c r="Q153" i="19"/>
  <c r="H154" i="19"/>
  <c r="I154" i="19"/>
  <c r="K154" i="19"/>
  <c r="L154" i="19"/>
  <c r="M154" i="19"/>
  <c r="N154" i="19"/>
  <c r="P154" i="19"/>
  <c r="Q154" i="19"/>
  <c r="H155" i="19"/>
  <c r="I155" i="19"/>
  <c r="K155" i="19"/>
  <c r="L155" i="19"/>
  <c r="M155" i="19"/>
  <c r="N155" i="19"/>
  <c r="P155" i="19"/>
  <c r="Q155" i="19"/>
  <c r="H156" i="19"/>
  <c r="I156" i="19"/>
  <c r="K156" i="19"/>
  <c r="L156" i="19"/>
  <c r="M156" i="19"/>
  <c r="N156" i="19"/>
  <c r="P156" i="19"/>
  <c r="Q156" i="19"/>
  <c r="H157" i="19"/>
  <c r="I157" i="19"/>
  <c r="K157" i="19"/>
  <c r="L157" i="19"/>
  <c r="M157" i="19"/>
  <c r="N157" i="19"/>
  <c r="P157" i="19"/>
  <c r="Q157" i="19"/>
  <c r="H158" i="19"/>
  <c r="I158" i="19"/>
  <c r="K158" i="19"/>
  <c r="L158" i="19"/>
  <c r="M158" i="19"/>
  <c r="N158" i="19"/>
  <c r="P158" i="19"/>
  <c r="Q158" i="19"/>
  <c r="H159" i="19"/>
  <c r="I159" i="19"/>
  <c r="K159" i="19"/>
  <c r="L159" i="19"/>
  <c r="M159" i="19"/>
  <c r="N159" i="19"/>
  <c r="P159" i="19"/>
  <c r="Q159" i="19"/>
  <c r="H160" i="19"/>
  <c r="I160" i="19"/>
  <c r="K160" i="19"/>
  <c r="L160" i="19"/>
  <c r="M160" i="19"/>
  <c r="N160" i="19"/>
  <c r="P160" i="19"/>
  <c r="Q160" i="19"/>
  <c r="H161" i="19"/>
  <c r="I161" i="19"/>
  <c r="K161" i="19"/>
  <c r="L161" i="19"/>
  <c r="M161" i="19"/>
  <c r="N161" i="19"/>
  <c r="P161" i="19"/>
  <c r="Q161" i="19"/>
  <c r="H162" i="19"/>
  <c r="I162" i="19"/>
  <c r="K162" i="19"/>
  <c r="L162" i="19"/>
  <c r="M162" i="19"/>
  <c r="N162" i="19"/>
  <c r="P162" i="19"/>
  <c r="Q162" i="19"/>
  <c r="H163" i="19"/>
  <c r="I163" i="19"/>
  <c r="K163" i="19"/>
  <c r="L163" i="19"/>
  <c r="M163" i="19"/>
  <c r="N163" i="19"/>
  <c r="P163" i="19"/>
  <c r="Q163" i="19"/>
  <c r="H164" i="19"/>
  <c r="I164" i="19"/>
  <c r="K164" i="19"/>
  <c r="L164" i="19"/>
  <c r="M164" i="19"/>
  <c r="N164" i="19"/>
  <c r="P164" i="19"/>
  <c r="Q164" i="19"/>
  <c r="H165" i="19"/>
  <c r="I165" i="19"/>
  <c r="K165" i="19"/>
  <c r="L165" i="19"/>
  <c r="M165" i="19"/>
  <c r="N165" i="19"/>
  <c r="P165" i="19"/>
  <c r="Q165" i="19"/>
  <c r="H166" i="19"/>
  <c r="I166" i="19"/>
  <c r="K166" i="19"/>
  <c r="L166" i="19"/>
  <c r="M166" i="19"/>
  <c r="N166" i="19"/>
  <c r="P166" i="19"/>
  <c r="Q166" i="19"/>
  <c r="H167" i="19"/>
  <c r="I167" i="19"/>
  <c r="K167" i="19"/>
  <c r="L167" i="19"/>
  <c r="M167" i="19"/>
  <c r="N167" i="19"/>
  <c r="P167" i="19"/>
  <c r="Q167" i="19"/>
  <c r="H168" i="19"/>
  <c r="I168" i="19"/>
  <c r="K168" i="19"/>
  <c r="L168" i="19"/>
  <c r="M168" i="19"/>
  <c r="N168" i="19"/>
  <c r="P168" i="19"/>
  <c r="Q168" i="19"/>
  <c r="H169" i="19"/>
  <c r="I169" i="19"/>
  <c r="K169" i="19"/>
  <c r="L169" i="19"/>
  <c r="M169" i="19"/>
  <c r="N169" i="19"/>
  <c r="P169" i="19"/>
  <c r="Q169" i="19"/>
  <c r="H170" i="19"/>
  <c r="I170" i="19"/>
  <c r="K170" i="19"/>
  <c r="L170" i="19"/>
  <c r="M170" i="19"/>
  <c r="N170" i="19"/>
  <c r="P170" i="19"/>
  <c r="Q170" i="19"/>
  <c r="H171" i="19"/>
  <c r="I171" i="19"/>
  <c r="K171" i="19"/>
  <c r="L171" i="19"/>
  <c r="M171" i="19"/>
  <c r="N171" i="19"/>
  <c r="P171" i="19"/>
  <c r="Q171" i="19"/>
  <c r="H172" i="19"/>
  <c r="I172" i="19"/>
  <c r="K172" i="19"/>
  <c r="L172" i="19"/>
  <c r="M172" i="19"/>
  <c r="N172" i="19"/>
  <c r="P172" i="19"/>
  <c r="Q172" i="19"/>
  <c r="H173" i="19"/>
  <c r="I173" i="19"/>
  <c r="K173" i="19"/>
  <c r="L173" i="19"/>
  <c r="M173" i="19"/>
  <c r="N173" i="19"/>
  <c r="P173" i="19"/>
  <c r="Q173" i="19"/>
  <c r="H174" i="19"/>
  <c r="I174" i="19"/>
  <c r="K174" i="19"/>
  <c r="L174" i="19"/>
  <c r="M174" i="19"/>
  <c r="N174" i="19"/>
  <c r="P174" i="19"/>
  <c r="Q174" i="19"/>
  <c r="H175" i="19"/>
  <c r="I175" i="19"/>
  <c r="K175" i="19"/>
  <c r="L175" i="19"/>
  <c r="M175" i="19"/>
  <c r="N175" i="19"/>
  <c r="P175" i="19"/>
  <c r="Q175" i="19"/>
  <c r="H176" i="19"/>
  <c r="I176" i="19"/>
  <c r="K176" i="19"/>
  <c r="L176" i="19"/>
  <c r="M176" i="19"/>
  <c r="N176" i="19"/>
  <c r="P176" i="19"/>
  <c r="Q176" i="19"/>
  <c r="H177" i="19"/>
  <c r="I177" i="19"/>
  <c r="K177" i="19"/>
  <c r="L177" i="19"/>
  <c r="M177" i="19"/>
  <c r="N177" i="19"/>
  <c r="P177" i="19"/>
  <c r="Q177" i="19"/>
  <c r="H178" i="19"/>
  <c r="I178" i="19"/>
  <c r="K178" i="19"/>
  <c r="L178" i="19"/>
  <c r="M178" i="19"/>
  <c r="N178" i="19"/>
  <c r="P178" i="19"/>
  <c r="Q178" i="19"/>
  <c r="H179" i="19"/>
  <c r="I179" i="19"/>
  <c r="K179" i="19"/>
  <c r="L179" i="19"/>
  <c r="M179" i="19"/>
  <c r="N179" i="19"/>
  <c r="P179" i="19"/>
  <c r="Q179" i="19"/>
  <c r="H180" i="19"/>
  <c r="I180" i="19"/>
  <c r="K180" i="19"/>
  <c r="L180" i="19"/>
  <c r="M180" i="19"/>
  <c r="N180" i="19"/>
  <c r="P180" i="19"/>
  <c r="Q180" i="19"/>
  <c r="H181" i="19"/>
  <c r="I181" i="19"/>
  <c r="K181" i="19"/>
  <c r="L181" i="19"/>
  <c r="M181" i="19"/>
  <c r="N181" i="19"/>
  <c r="P181" i="19"/>
  <c r="Q181" i="19"/>
  <c r="H182" i="19"/>
  <c r="I182" i="19"/>
  <c r="K182" i="19"/>
  <c r="L182" i="19"/>
  <c r="M182" i="19"/>
  <c r="N182" i="19"/>
  <c r="P182" i="19"/>
  <c r="Q182" i="19"/>
  <c r="H183" i="19"/>
  <c r="I183" i="19"/>
  <c r="K183" i="19"/>
  <c r="L183" i="19"/>
  <c r="M183" i="19"/>
  <c r="N183" i="19"/>
  <c r="P183" i="19"/>
  <c r="Q183" i="19"/>
  <c r="H184" i="19"/>
  <c r="I184" i="19"/>
  <c r="K184" i="19"/>
  <c r="L184" i="19"/>
  <c r="M184" i="19"/>
  <c r="N184" i="19"/>
  <c r="P184" i="19"/>
  <c r="Q184" i="19"/>
  <c r="H185" i="19"/>
  <c r="I185" i="19"/>
  <c r="K185" i="19"/>
  <c r="L185" i="19"/>
  <c r="M185" i="19"/>
  <c r="N185" i="19"/>
  <c r="P185" i="19"/>
  <c r="Q185" i="19"/>
  <c r="H186" i="19"/>
  <c r="I186" i="19"/>
  <c r="K186" i="19"/>
  <c r="L186" i="19"/>
  <c r="M186" i="19"/>
  <c r="N186" i="19"/>
  <c r="P186" i="19"/>
  <c r="Q186" i="19"/>
  <c r="H187" i="19"/>
  <c r="I187" i="19"/>
  <c r="K187" i="19"/>
  <c r="L187" i="19"/>
  <c r="M187" i="19"/>
  <c r="N187" i="19"/>
  <c r="P187" i="19"/>
  <c r="Q187" i="19"/>
  <c r="H188" i="19"/>
  <c r="I188" i="19"/>
  <c r="K188" i="19"/>
  <c r="L188" i="19"/>
  <c r="M188" i="19"/>
  <c r="N188" i="19"/>
  <c r="P188" i="19"/>
  <c r="Q188" i="19"/>
  <c r="H189" i="19"/>
  <c r="I189" i="19"/>
  <c r="K189" i="19"/>
  <c r="L189" i="19"/>
  <c r="M189" i="19"/>
  <c r="N189" i="19"/>
  <c r="P189" i="19"/>
  <c r="Q189" i="19"/>
  <c r="H190" i="19"/>
  <c r="I190" i="19"/>
  <c r="K190" i="19"/>
  <c r="L190" i="19"/>
  <c r="M190" i="19"/>
  <c r="N190" i="19"/>
  <c r="P190" i="19"/>
  <c r="Q190" i="19"/>
  <c r="H191" i="19"/>
  <c r="I191" i="19"/>
  <c r="K191" i="19"/>
  <c r="L191" i="19"/>
  <c r="M191" i="19"/>
  <c r="N191" i="19"/>
  <c r="P191" i="19"/>
  <c r="Q191" i="19"/>
  <c r="H192" i="19"/>
  <c r="I192" i="19"/>
  <c r="K192" i="19"/>
  <c r="L192" i="19"/>
  <c r="M192" i="19"/>
  <c r="N192" i="19"/>
  <c r="P192" i="19"/>
  <c r="Q192" i="19"/>
  <c r="H193" i="19"/>
  <c r="I193" i="19"/>
  <c r="K193" i="19"/>
  <c r="L193" i="19"/>
  <c r="M193" i="19"/>
  <c r="N193" i="19"/>
  <c r="P193" i="19"/>
  <c r="Q193" i="19"/>
  <c r="H194" i="19"/>
  <c r="I194" i="19"/>
  <c r="K194" i="19"/>
  <c r="L194" i="19"/>
  <c r="M194" i="19"/>
  <c r="N194" i="19"/>
  <c r="P194" i="19"/>
  <c r="Q194" i="19"/>
  <c r="H195" i="19"/>
  <c r="I195" i="19"/>
  <c r="K195" i="19"/>
  <c r="L195" i="19"/>
  <c r="M195" i="19"/>
  <c r="N195" i="19"/>
  <c r="P195" i="19"/>
  <c r="Q195" i="19"/>
  <c r="H196" i="19"/>
  <c r="I196" i="19"/>
  <c r="K196" i="19"/>
  <c r="L196" i="19"/>
  <c r="M196" i="19"/>
  <c r="N196" i="19"/>
  <c r="P196" i="19"/>
  <c r="Q196" i="19"/>
  <c r="H197" i="19"/>
  <c r="I197" i="19"/>
  <c r="K197" i="19"/>
  <c r="L197" i="19"/>
  <c r="M197" i="19"/>
  <c r="N197" i="19"/>
  <c r="P197" i="19"/>
  <c r="Q197" i="19"/>
  <c r="H198" i="19"/>
  <c r="I198" i="19"/>
  <c r="K198" i="19"/>
  <c r="L198" i="19"/>
  <c r="M198" i="19"/>
  <c r="N198" i="19"/>
  <c r="P198" i="19"/>
  <c r="Q198" i="19"/>
  <c r="H199" i="19"/>
  <c r="I199" i="19"/>
  <c r="K199" i="19"/>
  <c r="L199" i="19"/>
  <c r="M199" i="19"/>
  <c r="N199" i="19"/>
  <c r="P199" i="19"/>
  <c r="Q199" i="19"/>
  <c r="H200" i="19"/>
  <c r="I200" i="19"/>
  <c r="K200" i="19"/>
  <c r="L200" i="19"/>
  <c r="M200" i="19"/>
  <c r="N200" i="19"/>
  <c r="P200" i="19"/>
  <c r="Q200" i="19"/>
  <c r="H201" i="19"/>
  <c r="I201" i="19"/>
  <c r="K201" i="19"/>
  <c r="L201" i="19"/>
  <c r="M201" i="19"/>
  <c r="N201" i="19"/>
  <c r="P201" i="19"/>
  <c r="Q201" i="19"/>
  <c r="H202" i="19"/>
  <c r="I202" i="19"/>
  <c r="K202" i="19"/>
  <c r="L202" i="19"/>
  <c r="M202" i="19"/>
  <c r="N202" i="19"/>
  <c r="P202" i="19"/>
  <c r="Q202" i="19"/>
  <c r="H203" i="19"/>
  <c r="I203" i="19"/>
  <c r="K203" i="19"/>
  <c r="L203" i="19"/>
  <c r="M203" i="19"/>
  <c r="N203" i="19"/>
  <c r="P203" i="19"/>
  <c r="Q203" i="19"/>
  <c r="H204" i="19"/>
  <c r="I204" i="19"/>
  <c r="K204" i="19"/>
  <c r="L204" i="19"/>
  <c r="M204" i="19"/>
  <c r="N204" i="19"/>
  <c r="P204" i="19"/>
  <c r="Q204" i="19"/>
  <c r="H205" i="19"/>
  <c r="I205" i="19"/>
  <c r="K205" i="19"/>
  <c r="L205" i="19"/>
  <c r="M205" i="19"/>
  <c r="N205" i="19"/>
  <c r="P205" i="19"/>
  <c r="Q205" i="19"/>
  <c r="H206" i="19"/>
  <c r="I206" i="19"/>
  <c r="K206" i="19"/>
  <c r="L206" i="19"/>
  <c r="M206" i="19"/>
  <c r="N206" i="19"/>
  <c r="P206" i="19"/>
  <c r="Q206" i="19"/>
  <c r="H207" i="19"/>
  <c r="I207" i="19"/>
  <c r="K207" i="19"/>
  <c r="L207" i="19"/>
  <c r="M207" i="19"/>
  <c r="N207" i="19"/>
  <c r="P207" i="19"/>
  <c r="Q207" i="19"/>
  <c r="H208" i="19"/>
  <c r="I208" i="19"/>
  <c r="K208" i="19"/>
  <c r="L208" i="19"/>
  <c r="M208" i="19"/>
  <c r="N208" i="19"/>
  <c r="P208" i="19"/>
  <c r="Q208" i="19"/>
  <c r="H209" i="19"/>
  <c r="I209" i="19"/>
  <c r="K209" i="19"/>
  <c r="L209" i="19"/>
  <c r="M209" i="19"/>
  <c r="N209" i="19"/>
  <c r="P209" i="19"/>
  <c r="Q209" i="19"/>
  <c r="H210" i="19"/>
  <c r="I210" i="19"/>
  <c r="K210" i="19"/>
  <c r="L210" i="19"/>
  <c r="M210" i="19"/>
  <c r="N210" i="19"/>
  <c r="P210" i="19"/>
  <c r="Q210" i="19"/>
  <c r="H211" i="19"/>
  <c r="I211" i="19"/>
  <c r="K211" i="19"/>
  <c r="L211" i="19"/>
  <c r="M211" i="19"/>
  <c r="N211" i="19"/>
  <c r="P211" i="19"/>
  <c r="Q211" i="19"/>
  <c r="H212" i="19"/>
  <c r="I212" i="19"/>
  <c r="K212" i="19"/>
  <c r="L212" i="19"/>
  <c r="M212" i="19"/>
  <c r="N212" i="19"/>
  <c r="P212" i="19"/>
  <c r="Q212" i="19"/>
  <c r="H213" i="19"/>
  <c r="I213" i="19"/>
  <c r="K213" i="19"/>
  <c r="L213" i="19"/>
  <c r="M213" i="19"/>
  <c r="N213" i="19"/>
  <c r="P213" i="19"/>
  <c r="Q213" i="19"/>
  <c r="H214" i="19"/>
  <c r="I214" i="19"/>
  <c r="K214" i="19"/>
  <c r="L214" i="19"/>
  <c r="M214" i="19"/>
  <c r="N214" i="19"/>
  <c r="P214" i="19"/>
  <c r="Q214" i="19"/>
  <c r="H215" i="19"/>
  <c r="I215" i="19"/>
  <c r="K215" i="19"/>
  <c r="L215" i="19"/>
  <c r="M215" i="19"/>
  <c r="N215" i="19"/>
  <c r="P215" i="19"/>
  <c r="Q215" i="19"/>
  <c r="H216" i="19"/>
  <c r="I216" i="19"/>
  <c r="K216" i="19"/>
  <c r="L216" i="19"/>
  <c r="M216" i="19"/>
  <c r="N216" i="19"/>
  <c r="P216" i="19"/>
  <c r="Q216" i="19"/>
  <c r="H217" i="19"/>
  <c r="I217" i="19"/>
  <c r="K217" i="19"/>
  <c r="L217" i="19"/>
  <c r="M217" i="19"/>
  <c r="N217" i="19"/>
  <c r="P217" i="19"/>
  <c r="Q217" i="19"/>
  <c r="H218" i="19"/>
  <c r="I218" i="19"/>
  <c r="K218" i="19"/>
  <c r="L218" i="19"/>
  <c r="M218" i="19"/>
  <c r="N218" i="19"/>
  <c r="P218" i="19"/>
  <c r="Q218" i="19"/>
  <c r="H219" i="19"/>
  <c r="I219" i="19"/>
  <c r="K219" i="19"/>
  <c r="L219" i="19"/>
  <c r="M219" i="19"/>
  <c r="N219" i="19"/>
  <c r="P219" i="19"/>
  <c r="Q219" i="19"/>
  <c r="H220" i="19"/>
  <c r="I220" i="19"/>
  <c r="K220" i="19"/>
  <c r="L220" i="19"/>
  <c r="M220" i="19"/>
  <c r="N220" i="19"/>
  <c r="P220" i="19"/>
  <c r="Q220" i="19"/>
  <c r="H221" i="19"/>
  <c r="I221" i="19"/>
  <c r="K221" i="19"/>
  <c r="L221" i="19"/>
  <c r="M221" i="19"/>
  <c r="N221" i="19"/>
  <c r="P221" i="19"/>
  <c r="Q221" i="19"/>
  <c r="H222" i="19"/>
  <c r="I222" i="19"/>
  <c r="K222" i="19"/>
  <c r="L222" i="19"/>
  <c r="M222" i="19"/>
  <c r="N222" i="19"/>
  <c r="P222" i="19"/>
  <c r="Q222" i="19"/>
  <c r="H223" i="19"/>
  <c r="I223" i="19"/>
  <c r="K223" i="19"/>
  <c r="L223" i="19"/>
  <c r="M223" i="19"/>
  <c r="N223" i="19"/>
  <c r="P223" i="19"/>
  <c r="Q223" i="19"/>
  <c r="H224" i="19"/>
  <c r="I224" i="19"/>
  <c r="K224" i="19"/>
  <c r="L224" i="19"/>
  <c r="M224" i="19"/>
  <c r="N224" i="19"/>
  <c r="P224" i="19"/>
  <c r="Q224" i="19"/>
  <c r="H225" i="19"/>
  <c r="I225" i="19"/>
  <c r="K225" i="19"/>
  <c r="L225" i="19"/>
  <c r="M225" i="19"/>
  <c r="N225" i="19"/>
  <c r="P225" i="19"/>
  <c r="Q225" i="19"/>
  <c r="H226" i="19"/>
  <c r="I226" i="19"/>
  <c r="K226" i="19"/>
  <c r="L226" i="19"/>
  <c r="M226" i="19"/>
  <c r="N226" i="19"/>
  <c r="P226" i="19"/>
  <c r="Q226" i="19"/>
  <c r="H227" i="19"/>
  <c r="I227" i="19"/>
  <c r="K227" i="19"/>
  <c r="L227" i="19"/>
  <c r="M227" i="19"/>
  <c r="N227" i="19"/>
  <c r="P227" i="19"/>
  <c r="Q227" i="19"/>
  <c r="H228" i="19"/>
  <c r="I228" i="19"/>
  <c r="K228" i="19"/>
  <c r="L228" i="19"/>
  <c r="M228" i="19"/>
  <c r="N228" i="19"/>
  <c r="P228" i="19"/>
  <c r="Q228" i="19"/>
  <c r="H229" i="19"/>
  <c r="I229" i="19"/>
  <c r="K229" i="19"/>
  <c r="L229" i="19"/>
  <c r="M229" i="19"/>
  <c r="N229" i="19"/>
  <c r="P229" i="19"/>
  <c r="Q229" i="19"/>
  <c r="H230" i="19"/>
  <c r="I230" i="19"/>
  <c r="K230" i="19"/>
  <c r="L230" i="19"/>
  <c r="M230" i="19"/>
  <c r="N230" i="19"/>
  <c r="P230" i="19"/>
  <c r="Q230" i="19"/>
  <c r="H231" i="19"/>
  <c r="I231" i="19"/>
  <c r="K231" i="19"/>
  <c r="L231" i="19"/>
  <c r="M231" i="19"/>
  <c r="N231" i="19"/>
  <c r="P231" i="19"/>
  <c r="Q231" i="19"/>
  <c r="H232" i="19"/>
  <c r="I232" i="19"/>
  <c r="K232" i="19"/>
  <c r="L232" i="19"/>
  <c r="M232" i="19"/>
  <c r="N232" i="19"/>
  <c r="P232" i="19"/>
  <c r="Q232" i="19"/>
  <c r="H233" i="19"/>
  <c r="I233" i="19"/>
  <c r="K233" i="19"/>
  <c r="L233" i="19"/>
  <c r="M233" i="19"/>
  <c r="N233" i="19"/>
  <c r="P233" i="19"/>
  <c r="Q233" i="19"/>
  <c r="H234" i="19"/>
  <c r="I234" i="19"/>
  <c r="K234" i="19"/>
  <c r="L234" i="19"/>
  <c r="M234" i="19"/>
  <c r="N234" i="19"/>
  <c r="P234" i="19"/>
  <c r="Q234" i="19"/>
  <c r="H235" i="19"/>
  <c r="I235" i="19"/>
  <c r="K235" i="19"/>
  <c r="L235" i="19"/>
  <c r="M235" i="19"/>
  <c r="N235" i="19"/>
  <c r="P235" i="19"/>
  <c r="Q235" i="19"/>
  <c r="H236" i="19"/>
  <c r="I236" i="19"/>
  <c r="K236" i="19"/>
  <c r="L236" i="19"/>
  <c r="M236" i="19"/>
  <c r="N236" i="19"/>
  <c r="P236" i="19"/>
  <c r="Q236" i="19"/>
  <c r="H237" i="19"/>
  <c r="I237" i="19"/>
  <c r="K237" i="19"/>
  <c r="L237" i="19"/>
  <c r="M237" i="19"/>
  <c r="N237" i="19"/>
  <c r="P237" i="19"/>
  <c r="Q237" i="19"/>
  <c r="H238" i="19"/>
  <c r="I238" i="19"/>
  <c r="K238" i="19"/>
  <c r="L238" i="19"/>
  <c r="M238" i="19"/>
  <c r="N238" i="19"/>
  <c r="P238" i="19"/>
  <c r="Q238" i="19"/>
  <c r="H239" i="19"/>
  <c r="I239" i="19"/>
  <c r="K239" i="19"/>
  <c r="L239" i="19"/>
  <c r="M239" i="19"/>
  <c r="N239" i="19"/>
  <c r="P239" i="19"/>
  <c r="Q239" i="19"/>
  <c r="H240" i="19"/>
  <c r="I240" i="19"/>
  <c r="K240" i="19"/>
  <c r="L240" i="19"/>
  <c r="M240" i="19"/>
  <c r="N240" i="19"/>
  <c r="P240" i="19"/>
  <c r="Q240" i="19"/>
  <c r="H241" i="19"/>
  <c r="I241" i="19"/>
  <c r="K241" i="19"/>
  <c r="L241" i="19"/>
  <c r="M241" i="19"/>
  <c r="N241" i="19"/>
  <c r="P241" i="19"/>
  <c r="Q241" i="19"/>
  <c r="H242" i="19"/>
  <c r="I242" i="19"/>
  <c r="K242" i="19"/>
  <c r="L242" i="19"/>
  <c r="M242" i="19"/>
  <c r="N242" i="19"/>
  <c r="P242" i="19"/>
  <c r="Q242" i="19"/>
  <c r="H243" i="19"/>
  <c r="I243" i="19"/>
  <c r="K243" i="19"/>
  <c r="L243" i="19"/>
  <c r="M243" i="19"/>
  <c r="N243" i="19"/>
  <c r="P243" i="19"/>
  <c r="Q243" i="19"/>
  <c r="H244" i="19"/>
  <c r="I244" i="19"/>
  <c r="K244" i="19"/>
  <c r="L244" i="19"/>
  <c r="M244" i="19"/>
  <c r="N244" i="19"/>
  <c r="P244" i="19"/>
  <c r="Q244" i="19"/>
  <c r="H245" i="19"/>
  <c r="I245" i="19"/>
  <c r="K245" i="19"/>
  <c r="L245" i="19"/>
  <c r="M245" i="19"/>
  <c r="N245" i="19"/>
  <c r="P245" i="19"/>
  <c r="Q245" i="19"/>
  <c r="H246" i="19"/>
  <c r="I246" i="19"/>
  <c r="K246" i="19"/>
  <c r="L246" i="19"/>
  <c r="M246" i="19"/>
  <c r="N246" i="19"/>
  <c r="P246" i="19"/>
  <c r="Q246" i="19"/>
  <c r="H247" i="19"/>
  <c r="I247" i="19"/>
  <c r="K247" i="19"/>
  <c r="L247" i="19"/>
  <c r="M247" i="19"/>
  <c r="N247" i="19"/>
  <c r="P247" i="19"/>
  <c r="Q247" i="19"/>
  <c r="H248" i="19"/>
  <c r="I248" i="19"/>
  <c r="K248" i="19"/>
  <c r="L248" i="19"/>
  <c r="M248" i="19"/>
  <c r="N248" i="19"/>
  <c r="P248" i="19"/>
  <c r="Q248" i="19"/>
  <c r="H249" i="19"/>
  <c r="I249" i="19"/>
  <c r="K249" i="19"/>
  <c r="L249" i="19"/>
  <c r="M249" i="19"/>
  <c r="N249" i="19"/>
  <c r="P249" i="19"/>
  <c r="Q249" i="19"/>
  <c r="H250" i="19"/>
  <c r="I250" i="19"/>
  <c r="K250" i="19"/>
  <c r="L250" i="19"/>
  <c r="M250" i="19"/>
  <c r="N250" i="19"/>
  <c r="P250" i="19"/>
  <c r="Q250" i="19"/>
  <c r="H251" i="19"/>
  <c r="I251" i="19"/>
  <c r="K251" i="19"/>
  <c r="L251" i="19"/>
  <c r="M251" i="19"/>
  <c r="N251" i="19"/>
  <c r="P251" i="19"/>
  <c r="Q251" i="19"/>
  <c r="H252" i="19"/>
  <c r="I252" i="19"/>
  <c r="K252" i="19"/>
  <c r="L252" i="19"/>
  <c r="M252" i="19"/>
  <c r="N252" i="19"/>
  <c r="P252" i="19"/>
  <c r="Q252" i="19"/>
  <c r="H253" i="19"/>
  <c r="I253" i="19"/>
  <c r="K253" i="19"/>
  <c r="L253" i="19"/>
  <c r="M253" i="19"/>
  <c r="N253" i="19"/>
  <c r="P253" i="19"/>
  <c r="Q253" i="19"/>
  <c r="H254" i="19"/>
  <c r="I254" i="19"/>
  <c r="K254" i="19"/>
  <c r="L254" i="19"/>
  <c r="M254" i="19"/>
  <c r="N254" i="19"/>
  <c r="P254" i="19"/>
  <c r="Q254" i="19"/>
  <c r="H255" i="19"/>
  <c r="I255" i="19"/>
  <c r="K255" i="19"/>
  <c r="L255" i="19"/>
  <c r="M255" i="19"/>
  <c r="N255" i="19"/>
  <c r="P255" i="19"/>
  <c r="Q255" i="19"/>
  <c r="H256" i="19"/>
  <c r="I256" i="19"/>
  <c r="K256" i="19"/>
  <c r="L256" i="19"/>
  <c r="M256" i="19"/>
  <c r="N256" i="19"/>
  <c r="P256" i="19"/>
  <c r="Q256" i="19"/>
  <c r="H257" i="19"/>
  <c r="I257" i="19"/>
  <c r="K257" i="19"/>
  <c r="L257" i="19"/>
  <c r="M257" i="19"/>
  <c r="N257" i="19"/>
  <c r="P257" i="19"/>
  <c r="Q257" i="19"/>
  <c r="H258" i="19"/>
  <c r="I258" i="19"/>
  <c r="K258" i="19"/>
  <c r="L258" i="19"/>
  <c r="M258" i="19"/>
  <c r="N258" i="19"/>
  <c r="P258" i="19"/>
  <c r="Q258" i="19"/>
  <c r="H259" i="19"/>
  <c r="I259" i="19"/>
  <c r="K259" i="19"/>
  <c r="L259" i="19"/>
  <c r="M259" i="19"/>
  <c r="N259" i="19"/>
  <c r="P259" i="19"/>
  <c r="Q259" i="19"/>
  <c r="H260" i="19"/>
  <c r="I260" i="19"/>
  <c r="K260" i="19"/>
  <c r="L260" i="19"/>
  <c r="M260" i="19"/>
  <c r="N260" i="19"/>
  <c r="P260" i="19"/>
  <c r="Q260" i="19"/>
  <c r="H261" i="19"/>
  <c r="I261" i="19"/>
  <c r="K261" i="19"/>
  <c r="L261" i="19"/>
  <c r="M261" i="19"/>
  <c r="N261" i="19"/>
  <c r="P261" i="19"/>
  <c r="Q261" i="19"/>
  <c r="H262" i="19"/>
  <c r="I262" i="19"/>
  <c r="K262" i="19"/>
  <c r="L262" i="19"/>
  <c r="M262" i="19"/>
  <c r="N262" i="19"/>
  <c r="P262" i="19"/>
  <c r="Q262" i="19"/>
  <c r="H263" i="19"/>
  <c r="I263" i="19"/>
  <c r="K263" i="19"/>
  <c r="L263" i="19"/>
  <c r="M263" i="19"/>
  <c r="N263" i="19"/>
  <c r="P263" i="19"/>
  <c r="Q263" i="19"/>
  <c r="H264" i="19"/>
  <c r="I264" i="19"/>
  <c r="K264" i="19"/>
  <c r="L264" i="19"/>
  <c r="M264" i="19"/>
  <c r="N264" i="19"/>
  <c r="P264" i="19"/>
  <c r="Q264" i="19"/>
  <c r="H265" i="19"/>
  <c r="I265" i="19"/>
  <c r="K265" i="19"/>
  <c r="L265" i="19"/>
  <c r="M265" i="19"/>
  <c r="N265" i="19"/>
  <c r="P265" i="19"/>
  <c r="Q265" i="19"/>
  <c r="H266" i="19"/>
  <c r="I266" i="19"/>
  <c r="K266" i="19"/>
  <c r="L266" i="19"/>
  <c r="M266" i="19"/>
  <c r="N266" i="19"/>
  <c r="P266" i="19"/>
  <c r="Q266" i="19"/>
  <c r="H267" i="19"/>
  <c r="I267" i="19"/>
  <c r="K267" i="19"/>
  <c r="L267" i="19"/>
  <c r="M267" i="19"/>
  <c r="N267" i="19"/>
  <c r="P267" i="19"/>
  <c r="Q267" i="19"/>
  <c r="H268" i="19"/>
  <c r="I268" i="19"/>
  <c r="K268" i="19"/>
  <c r="L268" i="19"/>
  <c r="M268" i="19"/>
  <c r="N268" i="19"/>
  <c r="P268" i="19"/>
  <c r="Q268" i="19"/>
  <c r="H269" i="19"/>
  <c r="I269" i="19"/>
  <c r="K269" i="19"/>
  <c r="L269" i="19"/>
  <c r="M269" i="19"/>
  <c r="N269" i="19"/>
  <c r="P269" i="19"/>
  <c r="Q269" i="19"/>
  <c r="H270" i="19"/>
  <c r="I270" i="19"/>
  <c r="K270" i="19"/>
  <c r="L270" i="19"/>
  <c r="M270" i="19"/>
  <c r="N270" i="19"/>
  <c r="P270" i="19"/>
  <c r="Q270" i="19"/>
  <c r="H271" i="19"/>
  <c r="I271" i="19"/>
  <c r="K271" i="19"/>
  <c r="L271" i="19"/>
  <c r="M271" i="19"/>
  <c r="N271" i="19"/>
  <c r="P271" i="19"/>
  <c r="Q271" i="19"/>
  <c r="H272" i="19"/>
  <c r="I272" i="19"/>
  <c r="K272" i="19"/>
  <c r="L272" i="19"/>
  <c r="M272" i="19"/>
  <c r="N272" i="19"/>
  <c r="P272" i="19"/>
  <c r="Q272" i="19"/>
  <c r="H273" i="19"/>
  <c r="I273" i="19"/>
  <c r="K273" i="19"/>
  <c r="L273" i="19"/>
  <c r="M273" i="19"/>
  <c r="N273" i="19"/>
  <c r="P273" i="19"/>
  <c r="Q273" i="19"/>
  <c r="H274" i="19"/>
  <c r="I274" i="19"/>
  <c r="K274" i="19"/>
  <c r="L274" i="19"/>
  <c r="M274" i="19"/>
  <c r="N274" i="19"/>
  <c r="P274" i="19"/>
  <c r="Q274" i="19"/>
  <c r="H275" i="19"/>
  <c r="I275" i="19"/>
  <c r="K275" i="19"/>
  <c r="L275" i="19"/>
  <c r="M275" i="19"/>
  <c r="N275" i="19"/>
  <c r="P275" i="19"/>
  <c r="Q275" i="19"/>
  <c r="H276" i="19"/>
  <c r="I276" i="19"/>
  <c r="K276" i="19"/>
  <c r="L276" i="19"/>
  <c r="M276" i="19"/>
  <c r="N276" i="19"/>
  <c r="P276" i="19"/>
  <c r="Q276" i="19"/>
  <c r="H277" i="19"/>
  <c r="I277" i="19"/>
  <c r="K277" i="19"/>
  <c r="L277" i="19"/>
  <c r="M277" i="19"/>
  <c r="N277" i="19"/>
  <c r="P277" i="19"/>
  <c r="Q277" i="19"/>
  <c r="H278" i="19"/>
  <c r="I278" i="19"/>
  <c r="K278" i="19"/>
  <c r="L278" i="19"/>
  <c r="M278" i="19"/>
  <c r="N278" i="19"/>
  <c r="P278" i="19"/>
  <c r="Q278" i="19"/>
  <c r="H279" i="19"/>
  <c r="I279" i="19"/>
  <c r="K279" i="19"/>
  <c r="L279" i="19"/>
  <c r="M279" i="19"/>
  <c r="N279" i="19"/>
  <c r="P279" i="19"/>
  <c r="Q279" i="19"/>
  <c r="H280" i="19"/>
  <c r="I280" i="19"/>
  <c r="K280" i="19"/>
  <c r="L280" i="19"/>
  <c r="M280" i="19"/>
  <c r="N280" i="19"/>
  <c r="P280" i="19"/>
  <c r="Q280" i="19"/>
  <c r="H281" i="19"/>
  <c r="I281" i="19"/>
  <c r="K281" i="19"/>
  <c r="L281" i="19"/>
  <c r="M281" i="19"/>
  <c r="N281" i="19"/>
  <c r="P281" i="19"/>
  <c r="Q281" i="19"/>
  <c r="H282" i="19"/>
  <c r="I282" i="19"/>
  <c r="K282" i="19"/>
  <c r="L282" i="19"/>
  <c r="M282" i="19"/>
  <c r="N282" i="19"/>
  <c r="P282" i="19"/>
  <c r="Q282" i="19"/>
  <c r="H283" i="19"/>
  <c r="I283" i="19"/>
  <c r="K283" i="19"/>
  <c r="L283" i="19"/>
  <c r="M283" i="19"/>
  <c r="N283" i="19"/>
  <c r="P283" i="19"/>
  <c r="Q283" i="19"/>
  <c r="H284" i="19"/>
  <c r="I284" i="19"/>
  <c r="K284" i="19"/>
  <c r="L284" i="19"/>
  <c r="M284" i="19"/>
  <c r="N284" i="19"/>
  <c r="P284" i="19"/>
  <c r="Q284" i="19"/>
  <c r="H285" i="19"/>
  <c r="I285" i="19"/>
  <c r="K285" i="19"/>
  <c r="L285" i="19"/>
  <c r="M285" i="19"/>
  <c r="N285" i="19"/>
  <c r="P285" i="19"/>
  <c r="Q285" i="19"/>
  <c r="H286" i="19"/>
  <c r="I286" i="19"/>
  <c r="K286" i="19"/>
  <c r="L286" i="19"/>
  <c r="M286" i="19"/>
  <c r="N286" i="19"/>
  <c r="P286" i="19"/>
  <c r="Q286" i="19"/>
  <c r="H287" i="19"/>
  <c r="I287" i="19"/>
  <c r="K287" i="19"/>
  <c r="L287" i="19"/>
  <c r="M287" i="19"/>
  <c r="N287" i="19"/>
  <c r="P287" i="19"/>
  <c r="Q287" i="19"/>
  <c r="H288" i="19"/>
  <c r="I288" i="19"/>
  <c r="K288" i="19"/>
  <c r="L288" i="19"/>
  <c r="M288" i="19"/>
  <c r="N288" i="19"/>
  <c r="P288" i="19"/>
  <c r="Q288" i="19"/>
  <c r="H289" i="19"/>
  <c r="I289" i="19"/>
  <c r="K289" i="19"/>
  <c r="L289" i="19"/>
  <c r="M289" i="19"/>
  <c r="N289" i="19"/>
  <c r="P289" i="19"/>
  <c r="Q289" i="19"/>
  <c r="H290" i="19"/>
  <c r="I290" i="19"/>
  <c r="K290" i="19"/>
  <c r="L290" i="19"/>
  <c r="M290" i="19"/>
  <c r="N290" i="19"/>
  <c r="P290" i="19"/>
  <c r="Q290" i="19"/>
  <c r="H291" i="19"/>
  <c r="I291" i="19"/>
  <c r="K291" i="19"/>
  <c r="L291" i="19"/>
  <c r="M291" i="19"/>
  <c r="N291" i="19"/>
  <c r="P291" i="19"/>
  <c r="Q291" i="19"/>
  <c r="H292" i="19"/>
  <c r="I292" i="19"/>
  <c r="K292" i="19"/>
  <c r="L292" i="19"/>
  <c r="M292" i="19"/>
  <c r="N292" i="19"/>
  <c r="P292" i="19"/>
  <c r="Q292" i="19"/>
  <c r="H293" i="19"/>
  <c r="I293" i="19"/>
  <c r="K293" i="19"/>
  <c r="L293" i="19"/>
  <c r="M293" i="19"/>
  <c r="N293" i="19"/>
  <c r="P293" i="19"/>
  <c r="Q293" i="19"/>
  <c r="H294" i="19"/>
  <c r="I294" i="19"/>
  <c r="K294" i="19"/>
  <c r="L294" i="19"/>
  <c r="M294" i="19"/>
  <c r="N294" i="19"/>
  <c r="P294" i="19"/>
  <c r="Q294" i="19"/>
  <c r="H295" i="19"/>
  <c r="I295" i="19"/>
  <c r="K295" i="19"/>
  <c r="L295" i="19"/>
  <c r="M295" i="19"/>
  <c r="N295" i="19"/>
  <c r="P295" i="19"/>
  <c r="Q295" i="19"/>
  <c r="H296" i="19"/>
  <c r="I296" i="19"/>
  <c r="K296" i="19"/>
  <c r="L296" i="19"/>
  <c r="M296" i="19"/>
  <c r="N296" i="19"/>
  <c r="P296" i="19"/>
  <c r="Q296" i="19"/>
  <c r="H297" i="19"/>
  <c r="I297" i="19"/>
  <c r="K297" i="19"/>
  <c r="L297" i="19"/>
  <c r="M297" i="19"/>
  <c r="N297" i="19"/>
  <c r="P297" i="19"/>
  <c r="Q297" i="19"/>
  <c r="H298" i="19"/>
  <c r="I298" i="19"/>
  <c r="K298" i="19"/>
  <c r="L298" i="19"/>
  <c r="M298" i="19"/>
  <c r="N298" i="19"/>
  <c r="P298" i="19"/>
  <c r="Q298" i="19"/>
  <c r="H299" i="19"/>
  <c r="I299" i="19"/>
  <c r="K299" i="19"/>
  <c r="L299" i="19"/>
  <c r="M299" i="19"/>
  <c r="N299" i="19"/>
  <c r="P299" i="19"/>
  <c r="Q299" i="19"/>
  <c r="H300" i="19"/>
  <c r="I300" i="19"/>
  <c r="K300" i="19"/>
  <c r="L300" i="19"/>
  <c r="M300" i="19"/>
  <c r="N300" i="19"/>
  <c r="P300" i="19"/>
  <c r="Q300" i="19"/>
  <c r="H301" i="19"/>
  <c r="I301" i="19"/>
  <c r="K301" i="19"/>
  <c r="L301" i="19"/>
  <c r="M301" i="19"/>
  <c r="N301" i="19"/>
  <c r="P301" i="19"/>
  <c r="Q301" i="19"/>
  <c r="H302" i="19"/>
  <c r="I302" i="19"/>
  <c r="K302" i="19"/>
  <c r="L302" i="19"/>
  <c r="M302" i="19"/>
  <c r="N302" i="19"/>
  <c r="P302" i="19"/>
  <c r="Q302" i="19"/>
  <c r="H303" i="19"/>
  <c r="I303" i="19"/>
  <c r="K303" i="19"/>
  <c r="L303" i="19"/>
  <c r="M303" i="19"/>
  <c r="N303" i="19"/>
  <c r="P303" i="19"/>
  <c r="Q303" i="19"/>
  <c r="H304" i="19"/>
  <c r="I304" i="19"/>
  <c r="K304" i="19"/>
  <c r="L304" i="19"/>
  <c r="M304" i="19"/>
  <c r="N304" i="19"/>
  <c r="P304" i="19"/>
  <c r="Q304" i="19"/>
  <c r="H305" i="19"/>
  <c r="I305" i="19"/>
  <c r="K305" i="19"/>
  <c r="L305" i="19"/>
  <c r="M305" i="19"/>
  <c r="N305" i="19"/>
  <c r="P305" i="19"/>
  <c r="Q305" i="19"/>
  <c r="H306" i="19"/>
  <c r="I306" i="19"/>
  <c r="K306" i="19"/>
  <c r="L306" i="19"/>
  <c r="M306" i="19"/>
  <c r="N306" i="19"/>
  <c r="P306" i="19"/>
  <c r="Q306" i="19"/>
  <c r="H307" i="19"/>
  <c r="I307" i="19"/>
  <c r="K307" i="19"/>
  <c r="L307" i="19"/>
  <c r="M307" i="19"/>
  <c r="N307" i="19"/>
  <c r="P307" i="19"/>
  <c r="Q307" i="19"/>
  <c r="H308" i="19"/>
  <c r="I308" i="19"/>
  <c r="K308" i="19"/>
  <c r="L308" i="19"/>
  <c r="M308" i="19"/>
  <c r="N308" i="19"/>
  <c r="P308" i="19"/>
  <c r="Q308" i="19"/>
  <c r="H309" i="19"/>
  <c r="I309" i="19"/>
  <c r="K309" i="19"/>
  <c r="L309" i="19"/>
  <c r="M309" i="19"/>
  <c r="N309" i="19"/>
  <c r="P309" i="19"/>
  <c r="Q309" i="19"/>
  <c r="H310" i="19"/>
  <c r="I310" i="19"/>
  <c r="K310" i="19"/>
  <c r="L310" i="19"/>
  <c r="M310" i="19"/>
  <c r="N310" i="19"/>
  <c r="P310" i="19"/>
  <c r="Q310" i="19"/>
  <c r="H311" i="19"/>
  <c r="I311" i="19"/>
  <c r="K311" i="19"/>
  <c r="L311" i="19"/>
  <c r="M311" i="19"/>
  <c r="N311" i="19"/>
  <c r="P311" i="19"/>
  <c r="Q311" i="19"/>
  <c r="H312" i="19"/>
  <c r="I312" i="19"/>
  <c r="K312" i="19"/>
  <c r="L312" i="19"/>
  <c r="M312" i="19"/>
  <c r="N312" i="19"/>
  <c r="P312" i="19"/>
  <c r="Q312" i="19"/>
  <c r="H313" i="19"/>
  <c r="I313" i="19"/>
  <c r="K313" i="19"/>
  <c r="L313" i="19"/>
  <c r="M313" i="19"/>
  <c r="N313" i="19"/>
  <c r="P313" i="19"/>
  <c r="Q313" i="19"/>
  <c r="H314" i="19"/>
  <c r="I314" i="19"/>
  <c r="K314" i="19"/>
  <c r="L314" i="19"/>
  <c r="M314" i="19"/>
  <c r="N314" i="19"/>
  <c r="P314" i="19"/>
  <c r="Q314" i="19"/>
  <c r="H315" i="19"/>
  <c r="I315" i="19"/>
  <c r="K315" i="19"/>
  <c r="L315" i="19"/>
  <c r="M315" i="19"/>
  <c r="N315" i="19"/>
  <c r="P315" i="19"/>
  <c r="Q315" i="19"/>
  <c r="C8" i="19"/>
  <c r="D8" i="19"/>
  <c r="E8" i="19"/>
  <c r="F8" i="19"/>
  <c r="C9" i="19"/>
  <c r="D9" i="19"/>
  <c r="E9" i="19"/>
  <c r="F9" i="19"/>
  <c r="C10" i="19"/>
  <c r="D10" i="19"/>
  <c r="E10" i="19"/>
  <c r="F10" i="19"/>
  <c r="C11" i="19"/>
  <c r="D11" i="19"/>
  <c r="E11" i="19"/>
  <c r="F11" i="19"/>
  <c r="C12" i="19"/>
  <c r="D12" i="19"/>
  <c r="E12" i="19"/>
  <c r="F12" i="19"/>
  <c r="C13" i="19"/>
  <c r="D13" i="19"/>
  <c r="E13" i="19"/>
  <c r="F13" i="19"/>
  <c r="C14" i="19"/>
  <c r="D14" i="19"/>
  <c r="E14" i="19"/>
  <c r="F14" i="19"/>
  <c r="C15" i="19"/>
  <c r="D15" i="19"/>
  <c r="E15" i="19"/>
  <c r="F15" i="19"/>
  <c r="C16" i="19"/>
  <c r="D16" i="19"/>
  <c r="E16" i="19"/>
  <c r="F16" i="19"/>
  <c r="C17" i="19"/>
  <c r="D17" i="19"/>
  <c r="E17" i="19"/>
  <c r="F17" i="19"/>
  <c r="C18" i="19"/>
  <c r="D18" i="19"/>
  <c r="E18" i="19"/>
  <c r="F18" i="19"/>
  <c r="C19" i="19"/>
  <c r="D19" i="19"/>
  <c r="E19" i="19"/>
  <c r="F19" i="19"/>
  <c r="C20" i="19"/>
  <c r="D20" i="19"/>
  <c r="E20" i="19"/>
  <c r="F20" i="19"/>
  <c r="C21" i="19"/>
  <c r="D21" i="19"/>
  <c r="E21" i="19"/>
  <c r="F21" i="19"/>
  <c r="C22" i="19"/>
  <c r="D22" i="19"/>
  <c r="E22" i="19"/>
  <c r="F22" i="19"/>
  <c r="C23" i="19"/>
  <c r="D23" i="19"/>
  <c r="E23" i="19"/>
  <c r="F23" i="19"/>
  <c r="C24" i="19"/>
  <c r="D24" i="19"/>
  <c r="E24" i="19"/>
  <c r="F24" i="19"/>
  <c r="C25" i="19"/>
  <c r="D25" i="19"/>
  <c r="E25" i="19"/>
  <c r="F25" i="19"/>
  <c r="C26" i="19"/>
  <c r="D26" i="19"/>
  <c r="E26" i="19"/>
  <c r="F26" i="19"/>
  <c r="C27" i="19"/>
  <c r="D27" i="19"/>
  <c r="E27" i="19"/>
  <c r="F27" i="19"/>
  <c r="C28" i="19"/>
  <c r="D28" i="19"/>
  <c r="E28" i="19"/>
  <c r="F28" i="19"/>
  <c r="C29" i="19"/>
  <c r="D29" i="19"/>
  <c r="E29" i="19"/>
  <c r="F29" i="19"/>
  <c r="C30" i="19"/>
  <c r="D30" i="19"/>
  <c r="E30" i="19"/>
  <c r="F30" i="19"/>
  <c r="C31" i="19"/>
  <c r="D31" i="19"/>
  <c r="E31" i="19"/>
  <c r="F31" i="19"/>
  <c r="C32" i="19"/>
  <c r="D32" i="19"/>
  <c r="E32" i="19"/>
  <c r="F32" i="19"/>
  <c r="C33" i="19"/>
  <c r="D33" i="19"/>
  <c r="E33" i="19"/>
  <c r="F33" i="19"/>
  <c r="C34" i="19"/>
  <c r="D34" i="19"/>
  <c r="E34" i="19"/>
  <c r="F34" i="19"/>
  <c r="C35" i="19"/>
  <c r="D35" i="19"/>
  <c r="E35" i="19"/>
  <c r="F35" i="19"/>
  <c r="C36" i="19"/>
  <c r="D36" i="19"/>
  <c r="E36" i="19"/>
  <c r="F36" i="19"/>
  <c r="C37" i="19"/>
  <c r="D37" i="19"/>
  <c r="E37" i="19"/>
  <c r="F37" i="19"/>
  <c r="C38" i="19"/>
  <c r="D38" i="19"/>
  <c r="E38" i="19"/>
  <c r="F38" i="19"/>
  <c r="C39" i="19"/>
  <c r="D39" i="19"/>
  <c r="E39" i="19"/>
  <c r="F39" i="19"/>
  <c r="C40" i="19"/>
  <c r="D40" i="19"/>
  <c r="E40" i="19"/>
  <c r="F40" i="19"/>
  <c r="C41" i="19"/>
  <c r="D41" i="19"/>
  <c r="E41" i="19"/>
  <c r="F41" i="19"/>
  <c r="C42" i="19"/>
  <c r="D42" i="19"/>
  <c r="E42" i="19"/>
  <c r="F42" i="19"/>
  <c r="C43" i="19"/>
  <c r="D43" i="19"/>
  <c r="E43" i="19"/>
  <c r="F43" i="19"/>
  <c r="C44" i="19"/>
  <c r="D44" i="19"/>
  <c r="E44" i="19"/>
  <c r="F44" i="19"/>
  <c r="C45" i="19"/>
  <c r="D45" i="19"/>
  <c r="E45" i="19"/>
  <c r="F45" i="19"/>
  <c r="C46" i="19"/>
  <c r="D46" i="19"/>
  <c r="E46" i="19"/>
  <c r="F46" i="19"/>
  <c r="C47" i="19"/>
  <c r="D47" i="19"/>
  <c r="E47" i="19"/>
  <c r="F47" i="19"/>
  <c r="C48" i="19"/>
  <c r="D48" i="19"/>
  <c r="E48" i="19"/>
  <c r="F48" i="19"/>
  <c r="C49" i="19"/>
  <c r="D49" i="19"/>
  <c r="E49" i="19"/>
  <c r="F49" i="19"/>
  <c r="C50" i="19"/>
  <c r="D50" i="19"/>
  <c r="E50" i="19"/>
  <c r="F50" i="19"/>
  <c r="C51" i="19"/>
  <c r="D51" i="19"/>
  <c r="E51" i="19"/>
  <c r="F51" i="19"/>
  <c r="C52" i="19"/>
  <c r="D52" i="19"/>
  <c r="E52" i="19"/>
  <c r="F52" i="19"/>
  <c r="C53" i="19"/>
  <c r="D53" i="19"/>
  <c r="E53" i="19"/>
  <c r="F53" i="19"/>
  <c r="C54" i="19"/>
  <c r="D54" i="19"/>
  <c r="E54" i="19"/>
  <c r="F54" i="19"/>
  <c r="C55" i="19"/>
  <c r="D55" i="19"/>
  <c r="E55" i="19"/>
  <c r="F55" i="19"/>
  <c r="C56" i="19"/>
  <c r="D56" i="19"/>
  <c r="E56" i="19"/>
  <c r="F56" i="19"/>
  <c r="C57" i="19"/>
  <c r="D57" i="19"/>
  <c r="E57" i="19"/>
  <c r="F57" i="19"/>
  <c r="C58" i="19"/>
  <c r="D58" i="19"/>
  <c r="E58" i="19"/>
  <c r="F58" i="19"/>
  <c r="C59" i="19"/>
  <c r="D59" i="19"/>
  <c r="E59" i="19"/>
  <c r="F59" i="19"/>
  <c r="C60" i="19"/>
  <c r="D60" i="19"/>
  <c r="E60" i="19"/>
  <c r="F60" i="19"/>
  <c r="C61" i="19"/>
  <c r="D61" i="19"/>
  <c r="E61" i="19"/>
  <c r="F61" i="19"/>
  <c r="C62" i="19"/>
  <c r="D62" i="19"/>
  <c r="E62" i="19"/>
  <c r="F62" i="19"/>
  <c r="C63" i="19"/>
  <c r="D63" i="19"/>
  <c r="E63" i="19"/>
  <c r="F63" i="19"/>
  <c r="C64" i="19"/>
  <c r="D64" i="19"/>
  <c r="E64" i="19"/>
  <c r="F64" i="19"/>
  <c r="C65" i="19"/>
  <c r="D65" i="19"/>
  <c r="E65" i="19"/>
  <c r="F65" i="19"/>
  <c r="C66" i="19"/>
  <c r="D66" i="19"/>
  <c r="E66" i="19"/>
  <c r="F66" i="19"/>
  <c r="C67" i="19"/>
  <c r="D67" i="19"/>
  <c r="E67" i="19"/>
  <c r="F67" i="19"/>
  <c r="C68" i="19"/>
  <c r="D68" i="19"/>
  <c r="E68" i="19"/>
  <c r="F68" i="19"/>
  <c r="C69" i="19"/>
  <c r="D69" i="19"/>
  <c r="E69" i="19"/>
  <c r="F69" i="19"/>
  <c r="C70" i="19"/>
  <c r="D70" i="19"/>
  <c r="E70" i="19"/>
  <c r="F70" i="19"/>
  <c r="C71" i="19"/>
  <c r="D71" i="19"/>
  <c r="E71" i="19"/>
  <c r="F71" i="19"/>
  <c r="C72" i="19"/>
  <c r="D72" i="19"/>
  <c r="E72" i="19"/>
  <c r="F72" i="19"/>
  <c r="C73" i="19"/>
  <c r="D73" i="19"/>
  <c r="E73" i="19"/>
  <c r="F73" i="19"/>
  <c r="C74" i="19"/>
  <c r="D74" i="19"/>
  <c r="E74" i="19"/>
  <c r="F74" i="19"/>
  <c r="C75" i="19"/>
  <c r="D75" i="19"/>
  <c r="E75" i="19"/>
  <c r="F75" i="19"/>
  <c r="C76" i="19"/>
  <c r="D76" i="19"/>
  <c r="E76" i="19"/>
  <c r="F76" i="19"/>
  <c r="C77" i="19"/>
  <c r="D77" i="19"/>
  <c r="E77" i="19"/>
  <c r="F77" i="19"/>
  <c r="D78" i="19"/>
  <c r="E78" i="19"/>
  <c r="F78" i="19"/>
  <c r="C79" i="19"/>
  <c r="D79" i="19"/>
  <c r="E79" i="19"/>
  <c r="F79" i="19"/>
  <c r="C80" i="19"/>
  <c r="D80" i="19"/>
  <c r="E80" i="19"/>
  <c r="F80" i="19"/>
  <c r="C81" i="19"/>
  <c r="D81" i="19"/>
  <c r="E81" i="19"/>
  <c r="F81" i="19"/>
  <c r="C82" i="19"/>
  <c r="D82" i="19"/>
  <c r="E82" i="19"/>
  <c r="F82" i="19"/>
  <c r="C83" i="19"/>
  <c r="D83" i="19"/>
  <c r="E83" i="19"/>
  <c r="F83" i="19"/>
  <c r="C84" i="19"/>
  <c r="D84" i="19"/>
  <c r="E84" i="19"/>
  <c r="F84" i="19"/>
  <c r="C85" i="19"/>
  <c r="D85" i="19"/>
  <c r="E85" i="19"/>
  <c r="F85" i="19"/>
  <c r="C86" i="19"/>
  <c r="D86" i="19"/>
  <c r="E86" i="19"/>
  <c r="F86" i="19"/>
  <c r="C87" i="19"/>
  <c r="D87" i="19"/>
  <c r="E87" i="19"/>
  <c r="F87" i="19"/>
  <c r="C88" i="19"/>
  <c r="D88" i="19"/>
  <c r="E88" i="19"/>
  <c r="F88" i="19"/>
  <c r="C89" i="19"/>
  <c r="D89" i="19"/>
  <c r="E89" i="19"/>
  <c r="F89" i="19"/>
  <c r="C90" i="19"/>
  <c r="D90" i="19"/>
  <c r="E90" i="19"/>
  <c r="F90" i="19"/>
  <c r="C91" i="19"/>
  <c r="D91" i="19"/>
  <c r="E91" i="19"/>
  <c r="F91" i="19"/>
  <c r="C92" i="19"/>
  <c r="D92" i="19"/>
  <c r="E92" i="19"/>
  <c r="F92" i="19"/>
  <c r="C93" i="19"/>
  <c r="D93" i="19"/>
  <c r="E93" i="19"/>
  <c r="F93" i="19"/>
  <c r="C94" i="19"/>
  <c r="D94" i="19"/>
  <c r="E94" i="19"/>
  <c r="F94" i="19"/>
  <c r="C95" i="19"/>
  <c r="D95" i="19"/>
  <c r="E95" i="19"/>
  <c r="F95" i="19"/>
  <c r="C96" i="19"/>
  <c r="D96" i="19"/>
  <c r="E96" i="19"/>
  <c r="F96" i="19"/>
  <c r="C97" i="19"/>
  <c r="D97" i="19"/>
  <c r="E97" i="19"/>
  <c r="F97" i="19"/>
  <c r="C98" i="19"/>
  <c r="D98" i="19"/>
  <c r="E98" i="19"/>
  <c r="F98" i="19"/>
  <c r="C99" i="19"/>
  <c r="D99" i="19"/>
  <c r="E99" i="19"/>
  <c r="F99" i="19"/>
  <c r="C100" i="19"/>
  <c r="D100" i="19"/>
  <c r="E100" i="19"/>
  <c r="F100" i="19"/>
  <c r="C101" i="19"/>
  <c r="D101" i="19"/>
  <c r="E101" i="19"/>
  <c r="F101" i="19"/>
  <c r="C102" i="19"/>
  <c r="D102" i="19"/>
  <c r="E102" i="19"/>
  <c r="F102" i="19"/>
  <c r="C103" i="19"/>
  <c r="D103" i="19"/>
  <c r="E103" i="19"/>
  <c r="F103" i="19"/>
  <c r="C104" i="19"/>
  <c r="D104" i="19"/>
  <c r="E104" i="19"/>
  <c r="F104" i="19"/>
  <c r="C105" i="19"/>
  <c r="D105" i="19"/>
  <c r="E105" i="19"/>
  <c r="F105" i="19"/>
  <c r="C106" i="19"/>
  <c r="D106" i="19"/>
  <c r="E106" i="19"/>
  <c r="F106" i="19"/>
  <c r="C107" i="19"/>
  <c r="D107" i="19"/>
  <c r="E107" i="19"/>
  <c r="F107" i="19"/>
  <c r="C108" i="19"/>
  <c r="D108" i="19"/>
  <c r="E108" i="19"/>
  <c r="F108" i="19"/>
  <c r="C109" i="19"/>
  <c r="D109" i="19"/>
  <c r="E109" i="19"/>
  <c r="F109" i="19"/>
  <c r="C110" i="19"/>
  <c r="D110" i="19"/>
  <c r="E110" i="19"/>
  <c r="F110" i="19"/>
  <c r="C111" i="19"/>
  <c r="D111" i="19"/>
  <c r="E111" i="19"/>
  <c r="F111" i="19"/>
  <c r="C112" i="19"/>
  <c r="D112" i="19"/>
  <c r="E112" i="19"/>
  <c r="F112" i="19"/>
  <c r="C113" i="19"/>
  <c r="D113" i="19"/>
  <c r="E113" i="19"/>
  <c r="F113" i="19"/>
  <c r="C114" i="19"/>
  <c r="D114" i="19"/>
  <c r="E114" i="19"/>
  <c r="F114" i="19"/>
  <c r="C115" i="19"/>
  <c r="D115" i="19"/>
  <c r="E115" i="19"/>
  <c r="F115" i="19"/>
  <c r="C116" i="19"/>
  <c r="D116" i="19"/>
  <c r="E116" i="19"/>
  <c r="F116" i="19"/>
  <c r="C117" i="19"/>
  <c r="D117" i="19"/>
  <c r="E117" i="19"/>
  <c r="F117" i="19"/>
  <c r="C118" i="19"/>
  <c r="D118" i="19"/>
  <c r="E118" i="19"/>
  <c r="F118" i="19"/>
  <c r="C119" i="19"/>
  <c r="D119" i="19"/>
  <c r="E119" i="19"/>
  <c r="F119" i="19"/>
  <c r="C120" i="19"/>
  <c r="D120" i="19"/>
  <c r="E120" i="19"/>
  <c r="F120" i="19"/>
  <c r="C121" i="19"/>
  <c r="D121" i="19"/>
  <c r="E121" i="19"/>
  <c r="F121" i="19"/>
  <c r="C122" i="19"/>
  <c r="D122" i="19"/>
  <c r="E122" i="19"/>
  <c r="F122" i="19"/>
  <c r="C123" i="19"/>
  <c r="D123" i="19"/>
  <c r="E123" i="19"/>
  <c r="F123" i="19"/>
  <c r="C124" i="19"/>
  <c r="D124" i="19"/>
  <c r="E124" i="19"/>
  <c r="F124" i="19"/>
  <c r="C125" i="19"/>
  <c r="D125" i="19"/>
  <c r="E125" i="19"/>
  <c r="F125" i="19"/>
  <c r="C126" i="19"/>
  <c r="D126" i="19"/>
  <c r="E126" i="19"/>
  <c r="F126" i="19"/>
  <c r="C127" i="19"/>
  <c r="D127" i="19"/>
  <c r="E127" i="19"/>
  <c r="F127" i="19"/>
  <c r="C128" i="19"/>
  <c r="D128" i="19"/>
  <c r="E128" i="19"/>
  <c r="F128" i="19"/>
  <c r="C129" i="19"/>
  <c r="D129" i="19"/>
  <c r="E129" i="19"/>
  <c r="F129" i="19"/>
  <c r="C130" i="19"/>
  <c r="D130" i="19"/>
  <c r="E130" i="19"/>
  <c r="F130" i="19"/>
  <c r="C131" i="19"/>
  <c r="D131" i="19"/>
  <c r="E131" i="19"/>
  <c r="F131" i="19"/>
  <c r="C132" i="19"/>
  <c r="D132" i="19"/>
  <c r="E132" i="19"/>
  <c r="F132" i="19"/>
  <c r="C133" i="19"/>
  <c r="D133" i="19"/>
  <c r="E133" i="19"/>
  <c r="F133" i="19"/>
  <c r="C134" i="19"/>
  <c r="D134" i="19"/>
  <c r="E134" i="19"/>
  <c r="F134" i="19"/>
  <c r="C135" i="19"/>
  <c r="D135" i="19"/>
  <c r="E135" i="19"/>
  <c r="F135" i="19"/>
  <c r="C136" i="19"/>
  <c r="D136" i="19"/>
  <c r="E136" i="19"/>
  <c r="F136" i="19"/>
  <c r="C137" i="19"/>
  <c r="D137" i="19"/>
  <c r="E137" i="19"/>
  <c r="F137" i="19"/>
  <c r="C138" i="19"/>
  <c r="D138" i="19"/>
  <c r="E138" i="19"/>
  <c r="F138" i="19"/>
  <c r="C139" i="19"/>
  <c r="D139" i="19"/>
  <c r="E139" i="19"/>
  <c r="F139" i="19"/>
  <c r="C140" i="19"/>
  <c r="D140" i="19"/>
  <c r="E140" i="19"/>
  <c r="F140" i="19"/>
  <c r="C141" i="19"/>
  <c r="D141" i="19"/>
  <c r="E141" i="19"/>
  <c r="F141" i="19"/>
  <c r="C142" i="19"/>
  <c r="D142" i="19"/>
  <c r="E142" i="19"/>
  <c r="F142" i="19"/>
  <c r="C143" i="19"/>
  <c r="D143" i="19"/>
  <c r="E143" i="19"/>
  <c r="F143" i="19"/>
  <c r="C144" i="19"/>
  <c r="D144" i="19"/>
  <c r="E144" i="19"/>
  <c r="F144" i="19"/>
  <c r="C145" i="19"/>
  <c r="D145" i="19"/>
  <c r="E145" i="19"/>
  <c r="F145" i="19"/>
  <c r="C146" i="19"/>
  <c r="D146" i="19"/>
  <c r="E146" i="19"/>
  <c r="F146" i="19"/>
  <c r="C147" i="19"/>
  <c r="D147" i="19"/>
  <c r="E147" i="19"/>
  <c r="F147" i="19"/>
  <c r="C148" i="19"/>
  <c r="D148" i="19"/>
  <c r="E148" i="19"/>
  <c r="F148" i="19"/>
  <c r="C149" i="19"/>
  <c r="D149" i="19"/>
  <c r="E149" i="19"/>
  <c r="F149" i="19"/>
  <c r="C150" i="19"/>
  <c r="D150" i="19"/>
  <c r="E150" i="19"/>
  <c r="F150" i="19"/>
  <c r="C151" i="19"/>
  <c r="D151" i="19"/>
  <c r="E151" i="19"/>
  <c r="F151" i="19"/>
  <c r="C152" i="19"/>
  <c r="D152" i="19"/>
  <c r="E152" i="19"/>
  <c r="F152" i="19"/>
  <c r="C153" i="19"/>
  <c r="D153" i="19"/>
  <c r="E153" i="19"/>
  <c r="F153" i="19"/>
  <c r="C154" i="19"/>
  <c r="D154" i="19"/>
  <c r="E154" i="19"/>
  <c r="F154" i="19"/>
  <c r="C155" i="19"/>
  <c r="D155" i="19"/>
  <c r="E155" i="19"/>
  <c r="F155" i="19"/>
  <c r="C156" i="19"/>
  <c r="D156" i="19"/>
  <c r="E156" i="19"/>
  <c r="F156" i="19"/>
  <c r="C157" i="19"/>
  <c r="D157" i="19"/>
  <c r="E157" i="19"/>
  <c r="F157" i="19"/>
  <c r="C158" i="19"/>
  <c r="D158" i="19"/>
  <c r="E158" i="19"/>
  <c r="F158" i="19"/>
  <c r="C159" i="19"/>
  <c r="D159" i="19"/>
  <c r="E159" i="19"/>
  <c r="F159" i="19"/>
  <c r="C160" i="19"/>
  <c r="D160" i="19"/>
  <c r="E160" i="19"/>
  <c r="F160" i="19"/>
  <c r="C161" i="19"/>
  <c r="D161" i="19"/>
  <c r="E161" i="19"/>
  <c r="F161" i="19"/>
  <c r="C162" i="19"/>
  <c r="D162" i="19"/>
  <c r="E162" i="19"/>
  <c r="F162" i="19"/>
  <c r="C163" i="19"/>
  <c r="D163" i="19"/>
  <c r="E163" i="19"/>
  <c r="F163" i="19"/>
  <c r="C164" i="19"/>
  <c r="D164" i="19"/>
  <c r="E164" i="19"/>
  <c r="F164" i="19"/>
  <c r="C165" i="19"/>
  <c r="D165" i="19"/>
  <c r="E165" i="19"/>
  <c r="F165" i="19"/>
  <c r="C166" i="19"/>
  <c r="D166" i="19"/>
  <c r="E166" i="19"/>
  <c r="F166" i="19"/>
  <c r="C167" i="19"/>
  <c r="D167" i="19"/>
  <c r="E167" i="19"/>
  <c r="F167" i="19"/>
  <c r="C168" i="19"/>
  <c r="D168" i="19"/>
  <c r="E168" i="19"/>
  <c r="F168" i="19"/>
  <c r="C169" i="19"/>
  <c r="D169" i="19"/>
  <c r="E169" i="19"/>
  <c r="F169" i="19"/>
  <c r="C170" i="19"/>
  <c r="D170" i="19"/>
  <c r="E170" i="19"/>
  <c r="F170" i="19"/>
  <c r="C171" i="19"/>
  <c r="D171" i="19"/>
  <c r="E171" i="19"/>
  <c r="F171" i="19"/>
  <c r="C172" i="19"/>
  <c r="D172" i="19"/>
  <c r="E172" i="19"/>
  <c r="F172" i="19"/>
  <c r="C173" i="19"/>
  <c r="D173" i="19"/>
  <c r="E173" i="19"/>
  <c r="F173" i="19"/>
  <c r="C174" i="19"/>
  <c r="D174" i="19"/>
  <c r="E174" i="19"/>
  <c r="F174" i="19"/>
  <c r="C175" i="19"/>
  <c r="D175" i="19"/>
  <c r="E175" i="19"/>
  <c r="F175" i="19"/>
  <c r="C176" i="19"/>
  <c r="D176" i="19"/>
  <c r="E176" i="19"/>
  <c r="F176" i="19"/>
  <c r="C177" i="19"/>
  <c r="D177" i="19"/>
  <c r="E177" i="19"/>
  <c r="F177" i="19"/>
  <c r="C178" i="19"/>
  <c r="D178" i="19"/>
  <c r="E178" i="19"/>
  <c r="F178" i="19"/>
  <c r="C179" i="19"/>
  <c r="D179" i="19"/>
  <c r="E179" i="19"/>
  <c r="F179" i="19"/>
  <c r="C180" i="19"/>
  <c r="D180" i="19"/>
  <c r="E180" i="19"/>
  <c r="F180" i="19"/>
  <c r="C181" i="19"/>
  <c r="D181" i="19"/>
  <c r="E181" i="19"/>
  <c r="F181" i="19"/>
  <c r="C182" i="19"/>
  <c r="D182" i="19"/>
  <c r="E182" i="19"/>
  <c r="F182" i="19"/>
  <c r="C183" i="19"/>
  <c r="D183" i="19"/>
  <c r="E183" i="19"/>
  <c r="F183" i="19"/>
  <c r="C184" i="19"/>
  <c r="D184" i="19"/>
  <c r="E184" i="19"/>
  <c r="F184" i="19"/>
  <c r="C185" i="19"/>
  <c r="D185" i="19"/>
  <c r="E185" i="19"/>
  <c r="F185" i="19"/>
  <c r="C186" i="19"/>
  <c r="D186" i="19"/>
  <c r="E186" i="19"/>
  <c r="F186" i="19"/>
  <c r="C187" i="19"/>
  <c r="D187" i="19"/>
  <c r="E187" i="19"/>
  <c r="F187" i="19"/>
  <c r="C188" i="19"/>
  <c r="D188" i="19"/>
  <c r="E188" i="19"/>
  <c r="F188" i="19"/>
  <c r="C189" i="19"/>
  <c r="D189" i="19"/>
  <c r="E189" i="19"/>
  <c r="F189" i="19"/>
  <c r="C190" i="19"/>
  <c r="D190" i="19"/>
  <c r="E190" i="19"/>
  <c r="F190" i="19"/>
  <c r="C191" i="19"/>
  <c r="D191" i="19"/>
  <c r="E191" i="19"/>
  <c r="F191" i="19"/>
  <c r="C192" i="19"/>
  <c r="D192" i="19"/>
  <c r="E192" i="19"/>
  <c r="F192" i="19"/>
  <c r="C193" i="19"/>
  <c r="D193" i="19"/>
  <c r="E193" i="19"/>
  <c r="F193" i="19"/>
  <c r="C194" i="19"/>
  <c r="D194" i="19"/>
  <c r="E194" i="19"/>
  <c r="F194" i="19"/>
  <c r="C195" i="19"/>
  <c r="D195" i="19"/>
  <c r="E195" i="19"/>
  <c r="F195" i="19"/>
  <c r="C196" i="19"/>
  <c r="D196" i="19"/>
  <c r="E196" i="19"/>
  <c r="F196" i="19"/>
  <c r="C197" i="19"/>
  <c r="D197" i="19"/>
  <c r="E197" i="19"/>
  <c r="F197" i="19"/>
  <c r="C198" i="19"/>
  <c r="D198" i="19"/>
  <c r="E198" i="19"/>
  <c r="F198" i="19"/>
  <c r="C199" i="19"/>
  <c r="D199" i="19"/>
  <c r="E199" i="19"/>
  <c r="F199" i="19"/>
  <c r="C200" i="19"/>
  <c r="D200" i="19"/>
  <c r="E200" i="19"/>
  <c r="F200" i="19"/>
  <c r="C201" i="19"/>
  <c r="D201" i="19"/>
  <c r="E201" i="19"/>
  <c r="F201" i="19"/>
  <c r="C202" i="19"/>
  <c r="D202" i="19"/>
  <c r="E202" i="19"/>
  <c r="F202" i="19"/>
  <c r="C203" i="19"/>
  <c r="D203" i="19"/>
  <c r="E203" i="19"/>
  <c r="F203" i="19"/>
  <c r="C204" i="19"/>
  <c r="D204" i="19"/>
  <c r="E204" i="19"/>
  <c r="F204" i="19"/>
  <c r="C205" i="19"/>
  <c r="D205" i="19"/>
  <c r="E205" i="19"/>
  <c r="F205" i="19"/>
  <c r="C206" i="19"/>
  <c r="D206" i="19"/>
  <c r="E206" i="19"/>
  <c r="F206" i="19"/>
  <c r="C207" i="19"/>
  <c r="D207" i="19"/>
  <c r="E207" i="19"/>
  <c r="F207" i="19"/>
  <c r="C208" i="19"/>
  <c r="D208" i="19"/>
  <c r="E208" i="19"/>
  <c r="F208" i="19"/>
  <c r="C209" i="19"/>
  <c r="D209" i="19"/>
  <c r="E209" i="19"/>
  <c r="F209" i="19"/>
  <c r="C210" i="19"/>
  <c r="D210" i="19"/>
  <c r="E210" i="19"/>
  <c r="F210" i="19"/>
  <c r="C211" i="19"/>
  <c r="D211" i="19"/>
  <c r="E211" i="19"/>
  <c r="F211" i="19"/>
  <c r="C212" i="19"/>
  <c r="D212" i="19"/>
  <c r="E212" i="19"/>
  <c r="F212" i="19"/>
  <c r="C213" i="19"/>
  <c r="D213" i="19"/>
  <c r="E213" i="19"/>
  <c r="F213" i="19"/>
  <c r="C214" i="19"/>
  <c r="D214" i="19"/>
  <c r="E214" i="19"/>
  <c r="F214" i="19"/>
  <c r="C215" i="19"/>
  <c r="D215" i="19"/>
  <c r="E215" i="19"/>
  <c r="F215" i="19"/>
  <c r="C216" i="19"/>
  <c r="D216" i="19"/>
  <c r="E216" i="19"/>
  <c r="F216" i="19"/>
  <c r="C217" i="19"/>
  <c r="D217" i="19"/>
  <c r="E217" i="19"/>
  <c r="F217" i="19"/>
  <c r="C218" i="19"/>
  <c r="D218" i="19"/>
  <c r="E218" i="19"/>
  <c r="F218" i="19"/>
  <c r="C219" i="19"/>
  <c r="D219" i="19"/>
  <c r="E219" i="19"/>
  <c r="F219" i="19"/>
  <c r="C220" i="19"/>
  <c r="D220" i="19"/>
  <c r="E220" i="19"/>
  <c r="F220" i="19"/>
  <c r="C221" i="19"/>
  <c r="D221" i="19"/>
  <c r="E221" i="19"/>
  <c r="F221" i="19"/>
  <c r="C222" i="19"/>
  <c r="D222" i="19"/>
  <c r="E222" i="19"/>
  <c r="F222" i="19"/>
  <c r="C223" i="19"/>
  <c r="D223" i="19"/>
  <c r="E223" i="19"/>
  <c r="F223" i="19"/>
  <c r="C224" i="19"/>
  <c r="D224" i="19"/>
  <c r="E224" i="19"/>
  <c r="F224" i="19"/>
  <c r="C225" i="19"/>
  <c r="D225" i="19"/>
  <c r="E225" i="19"/>
  <c r="F225" i="19"/>
  <c r="C226" i="19"/>
  <c r="D226" i="19"/>
  <c r="E226" i="19"/>
  <c r="F226" i="19"/>
  <c r="C227" i="19"/>
  <c r="D227" i="19"/>
  <c r="E227" i="19"/>
  <c r="F227" i="19"/>
  <c r="C228" i="19"/>
  <c r="D228" i="19"/>
  <c r="E228" i="19"/>
  <c r="F228" i="19"/>
  <c r="C229" i="19"/>
  <c r="D229" i="19"/>
  <c r="E229" i="19"/>
  <c r="F229" i="19"/>
  <c r="C230" i="19"/>
  <c r="D230" i="19"/>
  <c r="E230" i="19"/>
  <c r="F230" i="19"/>
  <c r="C231" i="19"/>
  <c r="D231" i="19"/>
  <c r="E231" i="19"/>
  <c r="F231" i="19"/>
  <c r="C232" i="19"/>
  <c r="D232" i="19"/>
  <c r="E232" i="19"/>
  <c r="F232" i="19"/>
  <c r="C233" i="19"/>
  <c r="D233" i="19"/>
  <c r="E233" i="19"/>
  <c r="F233" i="19"/>
  <c r="C234" i="19"/>
  <c r="D234" i="19"/>
  <c r="E234" i="19"/>
  <c r="F234" i="19"/>
  <c r="C235" i="19"/>
  <c r="D235" i="19"/>
  <c r="E235" i="19"/>
  <c r="F235" i="19"/>
  <c r="C236" i="19"/>
  <c r="D236" i="19"/>
  <c r="E236" i="19"/>
  <c r="F236" i="19"/>
  <c r="C237" i="19"/>
  <c r="D237" i="19"/>
  <c r="E237" i="19"/>
  <c r="F237" i="19"/>
  <c r="C238" i="19"/>
  <c r="D238" i="19"/>
  <c r="E238" i="19"/>
  <c r="F238" i="19"/>
  <c r="C239" i="19"/>
  <c r="D239" i="19"/>
  <c r="E239" i="19"/>
  <c r="F239" i="19"/>
  <c r="C240" i="19"/>
  <c r="D240" i="19"/>
  <c r="E240" i="19"/>
  <c r="F240" i="19"/>
  <c r="C241" i="19"/>
  <c r="D241" i="19"/>
  <c r="E241" i="19"/>
  <c r="F241" i="19"/>
  <c r="C242" i="19"/>
  <c r="D242" i="19"/>
  <c r="E242" i="19"/>
  <c r="F242" i="19"/>
  <c r="C243" i="19"/>
  <c r="D243" i="19"/>
  <c r="E243" i="19"/>
  <c r="F243" i="19"/>
  <c r="C244" i="19"/>
  <c r="D244" i="19"/>
  <c r="E244" i="19"/>
  <c r="F244" i="19"/>
  <c r="C245" i="19"/>
  <c r="D245" i="19"/>
  <c r="E245" i="19"/>
  <c r="F245" i="19"/>
  <c r="C246" i="19"/>
  <c r="D246" i="19"/>
  <c r="E246" i="19"/>
  <c r="F246" i="19"/>
  <c r="C247" i="19"/>
  <c r="D247" i="19"/>
  <c r="E247" i="19"/>
  <c r="F247" i="19"/>
  <c r="C248" i="19"/>
  <c r="D248" i="19"/>
  <c r="E248" i="19"/>
  <c r="F248" i="19"/>
  <c r="C249" i="19"/>
  <c r="D249" i="19"/>
  <c r="E249" i="19"/>
  <c r="F249" i="19"/>
  <c r="C250" i="19"/>
  <c r="D250" i="19"/>
  <c r="E250" i="19"/>
  <c r="F250" i="19"/>
  <c r="C251" i="19"/>
  <c r="D251" i="19"/>
  <c r="E251" i="19"/>
  <c r="F251" i="19"/>
  <c r="C252" i="19"/>
  <c r="D252" i="19"/>
  <c r="E252" i="19"/>
  <c r="F252" i="19"/>
  <c r="C253" i="19"/>
  <c r="D253" i="19"/>
  <c r="E253" i="19"/>
  <c r="F253" i="19"/>
  <c r="C254" i="19"/>
  <c r="D254" i="19"/>
  <c r="E254" i="19"/>
  <c r="F254" i="19"/>
  <c r="C255" i="19"/>
  <c r="D255" i="19"/>
  <c r="E255" i="19"/>
  <c r="F255" i="19"/>
  <c r="C256" i="19"/>
  <c r="D256" i="19"/>
  <c r="E256" i="19"/>
  <c r="F256" i="19"/>
  <c r="C257" i="19"/>
  <c r="D257" i="19"/>
  <c r="E257" i="19"/>
  <c r="F257" i="19"/>
  <c r="C258" i="19"/>
  <c r="D258" i="19"/>
  <c r="E258" i="19"/>
  <c r="F258" i="19"/>
  <c r="C259" i="19"/>
  <c r="D259" i="19"/>
  <c r="E259" i="19"/>
  <c r="F259" i="19"/>
  <c r="C260" i="19"/>
  <c r="D260" i="19"/>
  <c r="E260" i="19"/>
  <c r="F260" i="19"/>
  <c r="C261" i="19"/>
  <c r="D261" i="19"/>
  <c r="E261" i="19"/>
  <c r="F261" i="19"/>
  <c r="C262" i="19"/>
  <c r="D262" i="19"/>
  <c r="E262" i="19"/>
  <c r="F262" i="19"/>
  <c r="C263" i="19"/>
  <c r="D263" i="19"/>
  <c r="E263" i="19"/>
  <c r="F263" i="19"/>
  <c r="C264" i="19"/>
  <c r="D264" i="19"/>
  <c r="E264" i="19"/>
  <c r="F264" i="19"/>
  <c r="C265" i="19"/>
  <c r="D265" i="19"/>
  <c r="E265" i="19"/>
  <c r="F265" i="19"/>
  <c r="C266" i="19"/>
  <c r="D266" i="19"/>
  <c r="E266" i="19"/>
  <c r="F266" i="19"/>
  <c r="C267" i="19"/>
  <c r="D267" i="19"/>
  <c r="E267" i="19"/>
  <c r="F267" i="19"/>
  <c r="C268" i="19"/>
  <c r="D268" i="19"/>
  <c r="E268" i="19"/>
  <c r="F268" i="19"/>
  <c r="C269" i="19"/>
  <c r="D269" i="19"/>
  <c r="E269" i="19"/>
  <c r="F269" i="19"/>
  <c r="C270" i="19"/>
  <c r="D270" i="19"/>
  <c r="E270" i="19"/>
  <c r="F270" i="19"/>
  <c r="C271" i="19"/>
  <c r="D271" i="19"/>
  <c r="E271" i="19"/>
  <c r="F271" i="19"/>
  <c r="C272" i="19"/>
  <c r="D272" i="19"/>
  <c r="E272" i="19"/>
  <c r="F272" i="19"/>
  <c r="C273" i="19"/>
  <c r="D273" i="19"/>
  <c r="E273" i="19"/>
  <c r="F273" i="19"/>
  <c r="C274" i="19"/>
  <c r="D274" i="19"/>
  <c r="E274" i="19"/>
  <c r="F274" i="19"/>
  <c r="C275" i="19"/>
  <c r="D275" i="19"/>
  <c r="E275" i="19"/>
  <c r="F275" i="19"/>
  <c r="C276" i="19"/>
  <c r="D276" i="19"/>
  <c r="E276" i="19"/>
  <c r="F276" i="19"/>
  <c r="C277" i="19"/>
  <c r="D277" i="19"/>
  <c r="E277" i="19"/>
  <c r="F277" i="19"/>
  <c r="C278" i="19"/>
  <c r="D278" i="19"/>
  <c r="E278" i="19"/>
  <c r="F278" i="19"/>
  <c r="C279" i="19"/>
  <c r="D279" i="19"/>
  <c r="E279" i="19"/>
  <c r="F279" i="19"/>
  <c r="C280" i="19"/>
  <c r="D280" i="19"/>
  <c r="E280" i="19"/>
  <c r="F280" i="19"/>
  <c r="C281" i="19"/>
  <c r="D281" i="19"/>
  <c r="E281" i="19"/>
  <c r="F281" i="19"/>
  <c r="C282" i="19"/>
  <c r="D282" i="19"/>
  <c r="E282" i="19"/>
  <c r="F282" i="19"/>
  <c r="C283" i="19"/>
  <c r="D283" i="19"/>
  <c r="E283" i="19"/>
  <c r="F283" i="19"/>
  <c r="C284" i="19"/>
  <c r="D284" i="19"/>
  <c r="E284" i="19"/>
  <c r="F284" i="19"/>
  <c r="C285" i="19"/>
  <c r="D285" i="19"/>
  <c r="E285" i="19"/>
  <c r="F285" i="19"/>
  <c r="C286" i="19"/>
  <c r="D286" i="19"/>
  <c r="E286" i="19"/>
  <c r="F286" i="19"/>
  <c r="C287" i="19"/>
  <c r="D287" i="19"/>
  <c r="E287" i="19"/>
  <c r="F287" i="19"/>
  <c r="C288" i="19"/>
  <c r="D288" i="19"/>
  <c r="E288" i="19"/>
  <c r="F288" i="19"/>
  <c r="C289" i="19"/>
  <c r="D289" i="19"/>
  <c r="E289" i="19"/>
  <c r="F289" i="19"/>
  <c r="C290" i="19"/>
  <c r="D290" i="19"/>
  <c r="E290" i="19"/>
  <c r="F290" i="19"/>
  <c r="C291" i="19"/>
  <c r="D291" i="19"/>
  <c r="E291" i="19"/>
  <c r="F291" i="19"/>
  <c r="C292" i="19"/>
  <c r="D292" i="19"/>
  <c r="E292" i="19"/>
  <c r="F292" i="19"/>
  <c r="C293" i="19"/>
  <c r="D293" i="19"/>
  <c r="E293" i="19"/>
  <c r="F293" i="19"/>
  <c r="C294" i="19"/>
  <c r="D294" i="19"/>
  <c r="E294" i="19"/>
  <c r="F294" i="19"/>
  <c r="C295" i="19"/>
  <c r="D295" i="19"/>
  <c r="E295" i="19"/>
  <c r="F295" i="19"/>
  <c r="C296" i="19"/>
  <c r="D296" i="19"/>
  <c r="E296" i="19"/>
  <c r="F296" i="19"/>
  <c r="C297" i="19"/>
  <c r="D297" i="19"/>
  <c r="E297" i="19"/>
  <c r="F297" i="19"/>
  <c r="C298" i="19"/>
  <c r="D298" i="19"/>
  <c r="E298" i="19"/>
  <c r="F298" i="19"/>
  <c r="C299" i="19"/>
  <c r="D299" i="19"/>
  <c r="E299" i="19"/>
  <c r="F299" i="19"/>
  <c r="C300" i="19"/>
  <c r="D300" i="19"/>
  <c r="E300" i="19"/>
  <c r="F300" i="19"/>
  <c r="C301" i="19"/>
  <c r="D301" i="19"/>
  <c r="E301" i="19"/>
  <c r="F301" i="19"/>
  <c r="C302" i="19"/>
  <c r="D302" i="19"/>
  <c r="E302" i="19"/>
  <c r="F302" i="19"/>
  <c r="C303" i="19"/>
  <c r="D303" i="19"/>
  <c r="E303" i="19"/>
  <c r="F303" i="19"/>
  <c r="C304" i="19"/>
  <c r="D304" i="19"/>
  <c r="E304" i="19"/>
  <c r="F304" i="19"/>
  <c r="C305" i="19"/>
  <c r="D305" i="19"/>
  <c r="E305" i="19"/>
  <c r="F305" i="19"/>
  <c r="C306" i="19"/>
  <c r="D306" i="19"/>
  <c r="E306" i="19"/>
  <c r="F306" i="19"/>
  <c r="C307" i="19"/>
  <c r="D307" i="19"/>
  <c r="E307" i="19"/>
  <c r="F307" i="19"/>
  <c r="C308" i="19"/>
  <c r="D308" i="19"/>
  <c r="E308" i="19"/>
  <c r="F308" i="19"/>
  <c r="C309" i="19"/>
  <c r="D309" i="19"/>
  <c r="E309" i="19"/>
  <c r="F309" i="19"/>
  <c r="C310" i="19"/>
  <c r="D310" i="19"/>
  <c r="E310" i="19"/>
  <c r="F310" i="19"/>
  <c r="C311" i="19"/>
  <c r="D311" i="19"/>
  <c r="E311" i="19"/>
  <c r="F311" i="19"/>
  <c r="C312" i="19"/>
  <c r="D312" i="19"/>
  <c r="E312" i="19"/>
  <c r="F312" i="19"/>
  <c r="C313" i="19"/>
  <c r="D313" i="19"/>
  <c r="E313" i="19"/>
  <c r="F313" i="19"/>
  <c r="C314" i="19"/>
  <c r="D314" i="19"/>
  <c r="E314" i="19"/>
  <c r="F314" i="19"/>
  <c r="C315" i="19"/>
  <c r="D315" i="19"/>
  <c r="E315" i="19"/>
  <c r="F315" i="19"/>
  <c r="A8" i="19"/>
  <c r="B8" i="19"/>
  <c r="A9" i="19"/>
  <c r="B9" i="19"/>
  <c r="A10" i="19"/>
  <c r="B10" i="19"/>
  <c r="A11" i="19"/>
  <c r="B11" i="19"/>
  <c r="A12" i="19"/>
  <c r="B12" i="19"/>
  <c r="A13" i="19"/>
  <c r="B13" i="19"/>
  <c r="A14" i="19"/>
  <c r="B14" i="19"/>
  <c r="A15" i="19"/>
  <c r="B15" i="19"/>
  <c r="A16" i="19"/>
  <c r="B16" i="19"/>
  <c r="A17" i="19"/>
  <c r="B17" i="19"/>
  <c r="A18" i="19"/>
  <c r="B18" i="19"/>
  <c r="A19" i="19"/>
  <c r="B19" i="19"/>
  <c r="A20" i="19"/>
  <c r="B20" i="19"/>
  <c r="A21" i="19"/>
  <c r="B21" i="19"/>
  <c r="A22" i="19"/>
  <c r="B22" i="19"/>
  <c r="A23" i="19"/>
  <c r="B23" i="19"/>
  <c r="A24" i="19"/>
  <c r="B24" i="19"/>
  <c r="A25" i="19"/>
  <c r="B25" i="19"/>
  <c r="A26" i="19"/>
  <c r="B26" i="19"/>
  <c r="A27" i="19"/>
  <c r="B27" i="19"/>
  <c r="A28" i="19"/>
  <c r="B28" i="19"/>
  <c r="A29" i="19"/>
  <c r="B29" i="19"/>
  <c r="A30" i="19"/>
  <c r="B30" i="19"/>
  <c r="A31" i="19"/>
  <c r="B31" i="19"/>
  <c r="A32" i="19"/>
  <c r="B32" i="19"/>
  <c r="A33" i="19"/>
  <c r="B33" i="19"/>
  <c r="A34" i="19"/>
  <c r="B34" i="19"/>
  <c r="A35" i="19"/>
  <c r="B35" i="19"/>
  <c r="A36" i="19"/>
  <c r="B36" i="19"/>
  <c r="A37" i="19"/>
  <c r="B37" i="19"/>
  <c r="A38" i="19"/>
  <c r="B38" i="19"/>
  <c r="A39" i="19"/>
  <c r="B39" i="19"/>
  <c r="A40" i="19"/>
  <c r="B40" i="19"/>
  <c r="A41" i="19"/>
  <c r="B41" i="19"/>
  <c r="A42" i="19"/>
  <c r="B42" i="19"/>
  <c r="A43" i="19"/>
  <c r="B43" i="19"/>
  <c r="A44" i="19"/>
  <c r="B44" i="19"/>
  <c r="A45" i="19"/>
  <c r="B45" i="19"/>
  <c r="A46" i="19"/>
  <c r="B46" i="19"/>
  <c r="A47" i="19"/>
  <c r="B47" i="19"/>
  <c r="A48" i="19"/>
  <c r="B48" i="19"/>
  <c r="A49" i="19"/>
  <c r="B49" i="19"/>
  <c r="A50" i="19"/>
  <c r="B50" i="19"/>
  <c r="A51" i="19"/>
  <c r="B51" i="19"/>
  <c r="A52" i="19"/>
  <c r="B52" i="19"/>
  <c r="A53" i="19"/>
  <c r="B53" i="19"/>
  <c r="A54" i="19"/>
  <c r="B54" i="19"/>
  <c r="A55" i="19"/>
  <c r="B55" i="19"/>
  <c r="A56" i="19"/>
  <c r="B56" i="19"/>
  <c r="A57" i="19"/>
  <c r="B57" i="19"/>
  <c r="A58" i="19"/>
  <c r="B58" i="19"/>
  <c r="A59" i="19"/>
  <c r="B59" i="19"/>
  <c r="A60" i="19"/>
  <c r="B60" i="19"/>
  <c r="A61" i="19"/>
  <c r="B61" i="19"/>
  <c r="A62" i="19"/>
  <c r="B62" i="19"/>
  <c r="A63" i="19"/>
  <c r="B63" i="19"/>
  <c r="A64" i="19"/>
  <c r="B64" i="19"/>
  <c r="A65" i="19"/>
  <c r="B65" i="19"/>
  <c r="A66" i="19"/>
  <c r="B66" i="19"/>
  <c r="A67" i="19"/>
  <c r="B67" i="19"/>
  <c r="A68" i="19"/>
  <c r="B68" i="19"/>
  <c r="A69" i="19"/>
  <c r="B69" i="19"/>
  <c r="A70" i="19"/>
  <c r="B70" i="19"/>
  <c r="A71" i="19"/>
  <c r="B71" i="19"/>
  <c r="A72" i="19"/>
  <c r="B72" i="19"/>
  <c r="A73" i="19"/>
  <c r="B73" i="19"/>
  <c r="A74" i="19"/>
  <c r="B74" i="19"/>
  <c r="A75" i="19"/>
  <c r="B75" i="19"/>
  <c r="A76" i="19"/>
  <c r="B76" i="19"/>
  <c r="A77" i="19"/>
  <c r="B77" i="19"/>
  <c r="A78" i="19"/>
  <c r="B78" i="19"/>
  <c r="A79" i="19"/>
  <c r="B79" i="19"/>
  <c r="A80" i="19"/>
  <c r="B80" i="19"/>
  <c r="A81" i="19"/>
  <c r="B81" i="19"/>
  <c r="A82" i="19"/>
  <c r="B82" i="19"/>
  <c r="A83" i="19"/>
  <c r="B83" i="19"/>
  <c r="A84" i="19"/>
  <c r="B84" i="19"/>
  <c r="A85" i="19"/>
  <c r="B85" i="19"/>
  <c r="A86" i="19"/>
  <c r="B86" i="19"/>
  <c r="A87" i="19"/>
  <c r="B87" i="19"/>
  <c r="A88" i="19"/>
  <c r="B88" i="19"/>
  <c r="A89" i="19"/>
  <c r="B89" i="19"/>
  <c r="A90" i="19"/>
  <c r="B90" i="19"/>
  <c r="A91" i="19"/>
  <c r="B91" i="19"/>
  <c r="A92" i="19"/>
  <c r="B92" i="19"/>
  <c r="A93" i="19"/>
  <c r="B93" i="19"/>
  <c r="A94" i="19"/>
  <c r="B94" i="19"/>
  <c r="A95" i="19"/>
  <c r="B95" i="19"/>
  <c r="A96" i="19"/>
  <c r="B96" i="19"/>
  <c r="A97" i="19"/>
  <c r="B97" i="19"/>
  <c r="A98" i="19"/>
  <c r="B98" i="19"/>
  <c r="A99" i="19"/>
  <c r="B99" i="19"/>
  <c r="A100" i="19"/>
  <c r="B100" i="19"/>
  <c r="A101" i="19"/>
  <c r="B101" i="19"/>
  <c r="A102" i="19"/>
  <c r="B102" i="19"/>
  <c r="A103" i="19"/>
  <c r="B103" i="19"/>
  <c r="A104" i="19"/>
  <c r="B104" i="19"/>
  <c r="A105" i="19"/>
  <c r="B105" i="19"/>
  <c r="A106" i="19"/>
  <c r="B106" i="19"/>
  <c r="A107" i="19"/>
  <c r="B107" i="19"/>
  <c r="A108" i="19"/>
  <c r="B108" i="19"/>
  <c r="A109" i="19"/>
  <c r="B109" i="19"/>
  <c r="A110" i="19"/>
  <c r="B110" i="19"/>
  <c r="A111" i="19"/>
  <c r="B111" i="19"/>
  <c r="A112" i="19"/>
  <c r="B112" i="19"/>
  <c r="A113" i="19"/>
  <c r="B113" i="19"/>
  <c r="A114" i="19"/>
  <c r="B114" i="19"/>
  <c r="A115" i="19"/>
  <c r="B115" i="19"/>
  <c r="A116" i="19"/>
  <c r="B116" i="19"/>
  <c r="A117" i="19"/>
  <c r="B117" i="19"/>
  <c r="A118" i="19"/>
  <c r="B118" i="19"/>
  <c r="A119" i="19"/>
  <c r="B119" i="19"/>
  <c r="A120" i="19"/>
  <c r="B120" i="19"/>
  <c r="A121" i="19"/>
  <c r="B121" i="19"/>
  <c r="A122" i="19"/>
  <c r="B122" i="19"/>
  <c r="A123" i="19"/>
  <c r="B123" i="19"/>
  <c r="A124" i="19"/>
  <c r="B124" i="19"/>
  <c r="A125" i="19"/>
  <c r="B125" i="19"/>
  <c r="A126" i="19"/>
  <c r="B126" i="19"/>
  <c r="A127" i="19"/>
  <c r="B127" i="19"/>
  <c r="A128" i="19"/>
  <c r="B128" i="19"/>
  <c r="A129" i="19"/>
  <c r="B129" i="19"/>
  <c r="A130" i="19"/>
  <c r="B130" i="19"/>
  <c r="A131" i="19"/>
  <c r="B131" i="19"/>
  <c r="A132" i="19"/>
  <c r="B132" i="19"/>
  <c r="A133" i="19"/>
  <c r="B133" i="19"/>
  <c r="A134" i="19"/>
  <c r="B134" i="19"/>
  <c r="A135" i="19"/>
  <c r="B135" i="19"/>
  <c r="A136" i="19"/>
  <c r="B136" i="19"/>
  <c r="A137" i="19"/>
  <c r="B137" i="19"/>
  <c r="A138" i="19"/>
  <c r="B138" i="19"/>
  <c r="A139" i="19"/>
  <c r="B139" i="19"/>
  <c r="A140" i="19"/>
  <c r="B140" i="19"/>
  <c r="A141" i="19"/>
  <c r="B141" i="19"/>
  <c r="A142" i="19"/>
  <c r="B142" i="19"/>
  <c r="A143" i="19"/>
  <c r="B143" i="19"/>
  <c r="A144" i="19"/>
  <c r="B144" i="19"/>
  <c r="A145" i="19"/>
  <c r="B145" i="19"/>
  <c r="A146" i="19"/>
  <c r="B146" i="19"/>
  <c r="A147" i="19"/>
  <c r="B147" i="19"/>
  <c r="A148" i="19"/>
  <c r="B148" i="19"/>
  <c r="A149" i="19"/>
  <c r="B149" i="19"/>
  <c r="A150" i="19"/>
  <c r="B150" i="19"/>
  <c r="A151" i="19"/>
  <c r="B151" i="19"/>
  <c r="A152" i="19"/>
  <c r="B152" i="19"/>
  <c r="A153" i="19"/>
  <c r="B153" i="19"/>
  <c r="A154" i="19"/>
  <c r="B154" i="19"/>
  <c r="A155" i="19"/>
  <c r="B155" i="19"/>
  <c r="A156" i="19"/>
  <c r="B156" i="19"/>
  <c r="A157" i="19"/>
  <c r="B157" i="19"/>
  <c r="A158" i="19"/>
  <c r="B158" i="19"/>
  <c r="A159" i="19"/>
  <c r="B159" i="19"/>
  <c r="A160" i="19"/>
  <c r="B160" i="19"/>
  <c r="A161" i="19"/>
  <c r="B161" i="19"/>
  <c r="A162" i="19"/>
  <c r="B162" i="19"/>
  <c r="A163" i="19"/>
  <c r="B163" i="19"/>
  <c r="A164" i="19"/>
  <c r="B164" i="19"/>
  <c r="A165" i="19"/>
  <c r="B165" i="19"/>
  <c r="A166" i="19"/>
  <c r="B166" i="19"/>
  <c r="A167" i="19"/>
  <c r="B167" i="19"/>
  <c r="A168" i="19"/>
  <c r="B168" i="19"/>
  <c r="A169" i="19"/>
  <c r="B169" i="19"/>
  <c r="A170" i="19"/>
  <c r="B170" i="19"/>
  <c r="A171" i="19"/>
  <c r="B171" i="19"/>
  <c r="A172" i="19"/>
  <c r="B172" i="19"/>
  <c r="A173" i="19"/>
  <c r="B173" i="19"/>
  <c r="A174" i="19"/>
  <c r="B174" i="19"/>
  <c r="A175" i="19"/>
  <c r="B175" i="19"/>
  <c r="A176" i="19"/>
  <c r="B176" i="19"/>
  <c r="A177" i="19"/>
  <c r="B177" i="19"/>
  <c r="A178" i="19"/>
  <c r="B178" i="19"/>
  <c r="A179" i="19"/>
  <c r="B179" i="19"/>
  <c r="A180" i="19"/>
  <c r="B180" i="19"/>
  <c r="A181" i="19"/>
  <c r="B181" i="19"/>
  <c r="A182" i="19"/>
  <c r="B182" i="19"/>
  <c r="A183" i="19"/>
  <c r="B183" i="19"/>
  <c r="A184" i="19"/>
  <c r="B184" i="19"/>
  <c r="A185" i="19"/>
  <c r="B185" i="19"/>
  <c r="A186" i="19"/>
  <c r="B186" i="19"/>
  <c r="A187" i="19"/>
  <c r="B187" i="19"/>
  <c r="A188" i="19"/>
  <c r="B188" i="19"/>
  <c r="A189" i="19"/>
  <c r="B189" i="19"/>
  <c r="A190" i="19"/>
  <c r="B190" i="19"/>
  <c r="A191" i="19"/>
  <c r="B191" i="19"/>
  <c r="A192" i="19"/>
  <c r="B192" i="19"/>
  <c r="A193" i="19"/>
  <c r="B193" i="19"/>
  <c r="A194" i="19"/>
  <c r="B194" i="19"/>
  <c r="A195" i="19"/>
  <c r="B195" i="19"/>
  <c r="A196" i="19"/>
  <c r="B196" i="19"/>
  <c r="A197" i="19"/>
  <c r="B197" i="19"/>
  <c r="A198" i="19"/>
  <c r="B198" i="19"/>
  <c r="A199" i="19"/>
  <c r="B199" i="19"/>
  <c r="A200" i="19"/>
  <c r="B200" i="19"/>
  <c r="A201" i="19"/>
  <c r="B201" i="19"/>
  <c r="A202" i="19"/>
  <c r="B202" i="19"/>
  <c r="A203" i="19"/>
  <c r="B203" i="19"/>
  <c r="A204" i="19"/>
  <c r="B204" i="19"/>
  <c r="A205" i="19"/>
  <c r="B205" i="19"/>
  <c r="A206" i="19"/>
  <c r="B206" i="19"/>
  <c r="A207" i="19"/>
  <c r="B207" i="19"/>
  <c r="A208" i="19"/>
  <c r="B208" i="19"/>
  <c r="A209" i="19"/>
  <c r="B209" i="19"/>
  <c r="A210" i="19"/>
  <c r="B210" i="19"/>
  <c r="A211" i="19"/>
  <c r="B211" i="19"/>
  <c r="A212" i="19"/>
  <c r="B212" i="19"/>
  <c r="A213" i="19"/>
  <c r="B213" i="19"/>
  <c r="A214" i="19"/>
  <c r="B214" i="19"/>
  <c r="A215" i="19"/>
  <c r="B215" i="19"/>
  <c r="A216" i="19"/>
  <c r="B216" i="19"/>
  <c r="A217" i="19"/>
  <c r="B217" i="19"/>
  <c r="A218" i="19"/>
  <c r="B218" i="19"/>
  <c r="A219" i="19"/>
  <c r="B219" i="19"/>
  <c r="A220" i="19"/>
  <c r="B220" i="19"/>
  <c r="A221" i="19"/>
  <c r="B221" i="19"/>
  <c r="A222" i="19"/>
  <c r="B222" i="19"/>
  <c r="A223" i="19"/>
  <c r="B223" i="19"/>
  <c r="A224" i="19"/>
  <c r="B224" i="19"/>
  <c r="A225" i="19"/>
  <c r="B225" i="19"/>
  <c r="A226" i="19"/>
  <c r="B226" i="19"/>
  <c r="A227" i="19"/>
  <c r="B227" i="19"/>
  <c r="A228" i="19"/>
  <c r="B228" i="19"/>
  <c r="A229" i="19"/>
  <c r="B229" i="19"/>
  <c r="A230" i="19"/>
  <c r="B230" i="19"/>
  <c r="A231" i="19"/>
  <c r="B231" i="19"/>
  <c r="A232" i="19"/>
  <c r="B232" i="19"/>
  <c r="A233" i="19"/>
  <c r="B233" i="19"/>
  <c r="A234" i="19"/>
  <c r="B234" i="19"/>
  <c r="A235" i="19"/>
  <c r="B235" i="19"/>
  <c r="A236" i="19"/>
  <c r="B236" i="19"/>
  <c r="A237" i="19"/>
  <c r="B237" i="19"/>
  <c r="A238" i="19"/>
  <c r="B238" i="19"/>
  <c r="A239" i="19"/>
  <c r="B239" i="19"/>
  <c r="A240" i="19"/>
  <c r="B240" i="19"/>
  <c r="A241" i="19"/>
  <c r="B241" i="19"/>
  <c r="A242" i="19"/>
  <c r="B242" i="19"/>
  <c r="A243" i="19"/>
  <c r="B243" i="19"/>
  <c r="A244" i="19"/>
  <c r="B244" i="19"/>
  <c r="A245" i="19"/>
  <c r="B245" i="19"/>
  <c r="A246" i="19"/>
  <c r="B246" i="19"/>
  <c r="A247" i="19"/>
  <c r="B247" i="19"/>
  <c r="A248" i="19"/>
  <c r="B248" i="19"/>
  <c r="A249" i="19"/>
  <c r="B249" i="19"/>
  <c r="A250" i="19"/>
  <c r="B250" i="19"/>
  <c r="A251" i="19"/>
  <c r="B251" i="19"/>
  <c r="A252" i="19"/>
  <c r="B252" i="19"/>
  <c r="A253" i="19"/>
  <c r="B253" i="19"/>
  <c r="A254" i="19"/>
  <c r="B254" i="19"/>
  <c r="A255" i="19"/>
  <c r="B255" i="19"/>
  <c r="A256" i="19"/>
  <c r="B256" i="19"/>
  <c r="A257" i="19"/>
  <c r="B257" i="19"/>
  <c r="A258" i="19"/>
  <c r="B258" i="19"/>
  <c r="A259" i="19"/>
  <c r="B259" i="19"/>
  <c r="A260" i="19"/>
  <c r="B260" i="19"/>
  <c r="A261" i="19"/>
  <c r="B261" i="19"/>
  <c r="A262" i="19"/>
  <c r="B262" i="19"/>
  <c r="A263" i="19"/>
  <c r="B263" i="19"/>
  <c r="A264" i="19"/>
  <c r="B264" i="19"/>
  <c r="A265" i="19"/>
  <c r="B265" i="19"/>
  <c r="A266" i="19"/>
  <c r="B266" i="19"/>
  <c r="A267" i="19"/>
  <c r="B267" i="19"/>
  <c r="A268" i="19"/>
  <c r="B268" i="19"/>
  <c r="A269" i="19"/>
  <c r="B269" i="19"/>
  <c r="A270" i="19"/>
  <c r="B270" i="19"/>
  <c r="A271" i="19"/>
  <c r="B271" i="19"/>
  <c r="A272" i="19"/>
  <c r="B272" i="19"/>
  <c r="A273" i="19"/>
  <c r="B273" i="19"/>
  <c r="A274" i="19"/>
  <c r="B274" i="19"/>
  <c r="A275" i="19"/>
  <c r="B275" i="19"/>
  <c r="A276" i="19"/>
  <c r="B276" i="19"/>
  <c r="A277" i="19"/>
  <c r="B277" i="19"/>
  <c r="A278" i="19"/>
  <c r="B278" i="19"/>
  <c r="A279" i="19"/>
  <c r="B279" i="19"/>
  <c r="A280" i="19"/>
  <c r="B280" i="19"/>
  <c r="A281" i="19"/>
  <c r="B281" i="19"/>
  <c r="A282" i="19"/>
  <c r="B282" i="19"/>
  <c r="A283" i="19"/>
  <c r="B283" i="19"/>
  <c r="A284" i="19"/>
  <c r="B284" i="19"/>
  <c r="A285" i="19"/>
  <c r="B285" i="19"/>
  <c r="A286" i="19"/>
  <c r="B286" i="19"/>
  <c r="A287" i="19"/>
  <c r="B287" i="19"/>
  <c r="A288" i="19"/>
  <c r="B288" i="19"/>
  <c r="A289" i="19"/>
  <c r="B289" i="19"/>
  <c r="A290" i="19"/>
  <c r="B290" i="19"/>
  <c r="A291" i="19"/>
  <c r="B291" i="19"/>
  <c r="A292" i="19"/>
  <c r="B292" i="19"/>
  <c r="A293" i="19"/>
  <c r="B293" i="19"/>
  <c r="A294" i="19"/>
  <c r="B294" i="19"/>
  <c r="A295" i="19"/>
  <c r="B295" i="19"/>
  <c r="A296" i="19"/>
  <c r="B296" i="19"/>
  <c r="A297" i="19"/>
  <c r="B297" i="19"/>
  <c r="A298" i="19"/>
  <c r="B298" i="19"/>
  <c r="A299" i="19"/>
  <c r="B299" i="19"/>
  <c r="A300" i="19"/>
  <c r="B300" i="19"/>
  <c r="A301" i="19"/>
  <c r="B301" i="19"/>
  <c r="A302" i="19"/>
  <c r="B302" i="19"/>
  <c r="A303" i="19"/>
  <c r="B303" i="19"/>
  <c r="A304" i="19"/>
  <c r="B304" i="19"/>
  <c r="A305" i="19"/>
  <c r="B305" i="19"/>
  <c r="A306" i="19"/>
  <c r="B306" i="19"/>
  <c r="A307" i="19"/>
  <c r="B307" i="19"/>
  <c r="A308" i="19"/>
  <c r="B308" i="19"/>
  <c r="A309" i="19"/>
  <c r="B309" i="19"/>
  <c r="A310" i="19"/>
  <c r="B310" i="19"/>
  <c r="A311" i="19"/>
  <c r="B311" i="19"/>
  <c r="A312" i="19"/>
  <c r="B312" i="19"/>
  <c r="A313" i="19"/>
  <c r="B313" i="19"/>
  <c r="A314" i="19"/>
  <c r="B314" i="19"/>
  <c r="A315" i="19"/>
  <c r="B315" i="19"/>
  <c r="A313" i="25" l="1"/>
  <c r="A307" i="25"/>
  <c r="A301" i="25"/>
  <c r="A297" i="25"/>
  <c r="A293" i="25"/>
  <c r="A289" i="25"/>
  <c r="A287" i="25"/>
  <c r="A283" i="25"/>
  <c r="A277" i="25"/>
  <c r="A273" i="25"/>
  <c r="A265" i="25"/>
  <c r="A261" i="25"/>
  <c r="A257" i="25"/>
  <c r="A253" i="25"/>
  <c r="A251" i="25"/>
  <c r="A245" i="25"/>
  <c r="A241" i="25"/>
  <c r="A237" i="25"/>
  <c r="A233" i="25"/>
  <c r="A229" i="25"/>
  <c r="A225" i="25"/>
  <c r="A221" i="25"/>
  <c r="A215" i="25"/>
  <c r="A211" i="25"/>
  <c r="A207" i="25"/>
  <c r="A203" i="25"/>
  <c r="A201" i="25"/>
  <c r="A197" i="25"/>
  <c r="A193" i="25"/>
  <c r="A191" i="25"/>
  <c r="A187" i="25"/>
  <c r="A183" i="25"/>
  <c r="A179" i="25"/>
  <c r="A175" i="25"/>
  <c r="A171" i="25"/>
  <c r="A167" i="25"/>
  <c r="A163" i="25"/>
  <c r="A157" i="25"/>
  <c r="A153" i="25"/>
  <c r="A149" i="25"/>
  <c r="A145" i="25"/>
  <c r="A141" i="25"/>
  <c r="A137" i="25"/>
  <c r="A133" i="25"/>
  <c r="A129" i="25"/>
  <c r="A125" i="25"/>
  <c r="A123" i="25"/>
  <c r="A119" i="25"/>
  <c r="A115" i="25"/>
  <c r="A111" i="25"/>
  <c r="A105" i="25"/>
  <c r="A101" i="25"/>
  <c r="A97" i="25"/>
  <c r="A93" i="25"/>
  <c r="A87" i="25"/>
  <c r="A83" i="25"/>
  <c r="A79" i="25"/>
  <c r="A75" i="25"/>
  <c r="A71" i="25"/>
  <c r="A69" i="25"/>
  <c r="A65" i="25"/>
  <c r="A61" i="25"/>
  <c r="A57" i="25"/>
  <c r="A53" i="25"/>
  <c r="A49" i="25"/>
  <c r="A43" i="25"/>
  <c r="A39" i="25"/>
  <c r="A35" i="25"/>
  <c r="A31" i="25"/>
  <c r="A27" i="25"/>
  <c r="A23" i="25"/>
  <c r="A19" i="25"/>
  <c r="A15" i="25"/>
  <c r="A11" i="25"/>
  <c r="B312" i="25"/>
  <c r="B308" i="25"/>
  <c r="B302" i="25"/>
  <c r="B298" i="25"/>
  <c r="B294" i="25"/>
  <c r="B292" i="25"/>
  <c r="B288" i="25"/>
  <c r="B282" i="25"/>
  <c r="B280" i="25"/>
  <c r="B276" i="25"/>
  <c r="B272" i="25"/>
  <c r="B268" i="25"/>
  <c r="B264" i="25"/>
  <c r="B260" i="25"/>
  <c r="B256" i="25"/>
  <c r="B252" i="25"/>
  <c r="B246" i="25"/>
  <c r="B242" i="25"/>
  <c r="B238" i="25"/>
  <c r="B234" i="25"/>
  <c r="B230" i="25"/>
  <c r="B226" i="25"/>
  <c r="B222" i="25"/>
  <c r="B218" i="25"/>
  <c r="B214" i="25"/>
  <c r="B212" i="25"/>
  <c r="B208" i="25"/>
  <c r="A312" i="25"/>
  <c r="A310" i="25"/>
  <c r="A306" i="25"/>
  <c r="A302" i="25"/>
  <c r="A300" i="25"/>
  <c r="A296" i="25"/>
  <c r="A294" i="25"/>
  <c r="A290" i="25"/>
  <c r="A288" i="25"/>
  <c r="A284" i="25"/>
  <c r="A282" i="25"/>
  <c r="A278" i="25"/>
  <c r="A276" i="25"/>
  <c r="A274" i="25"/>
  <c r="A270" i="25"/>
  <c r="A268" i="25"/>
  <c r="A264" i="25"/>
  <c r="A262" i="25"/>
  <c r="A258" i="25"/>
  <c r="A252" i="25"/>
  <c r="A248" i="25"/>
  <c r="A244" i="25"/>
  <c r="A242" i="25"/>
  <c r="A238" i="25"/>
  <c r="A232" i="25"/>
  <c r="A226" i="25"/>
  <c r="A222" i="25"/>
  <c r="A218" i="25"/>
  <c r="A214" i="25"/>
  <c r="A210" i="25"/>
  <c r="A206" i="25"/>
  <c r="A202" i="25"/>
  <c r="A200" i="25"/>
  <c r="A196" i="25"/>
  <c r="A190" i="25"/>
  <c r="A186" i="25"/>
  <c r="A182" i="25"/>
  <c r="A178" i="25"/>
  <c r="A174" i="25"/>
  <c r="A170" i="25"/>
  <c r="A166" i="25"/>
  <c r="A162" i="25"/>
  <c r="A158" i="25"/>
  <c r="A154" i="25"/>
  <c r="A150" i="25"/>
  <c r="A146" i="25"/>
  <c r="A144" i="25"/>
  <c r="A140" i="25"/>
  <c r="A136" i="25"/>
  <c r="A132" i="25"/>
  <c r="A128" i="25"/>
  <c r="A124" i="25"/>
  <c r="A120" i="25"/>
  <c r="A116" i="25"/>
  <c r="A112" i="25"/>
  <c r="A108" i="25"/>
  <c r="A104" i="25"/>
  <c r="A100" i="25"/>
  <c r="A96" i="25"/>
  <c r="A92" i="25"/>
  <c r="A88" i="25"/>
  <c r="A84" i="25"/>
  <c r="A80" i="25"/>
  <c r="A76" i="25"/>
  <c r="A72" i="25"/>
  <c r="A68" i="25"/>
  <c r="A64" i="25"/>
  <c r="A60" i="25"/>
  <c r="A56" i="25"/>
  <c r="A52" i="25"/>
  <c r="A50" i="25"/>
  <c r="A46" i="25"/>
  <c r="A44" i="25"/>
  <c r="A40" i="25"/>
  <c r="A36" i="25"/>
  <c r="A32" i="25"/>
  <c r="A30" i="25"/>
  <c r="A26" i="25"/>
  <c r="A24" i="25"/>
  <c r="A20" i="25"/>
  <c r="A18" i="25"/>
  <c r="A14" i="25"/>
  <c r="A12" i="25"/>
  <c r="A8" i="25"/>
  <c r="B313" i="25"/>
  <c r="B311" i="25"/>
  <c r="B309" i="25"/>
  <c r="B307" i="25"/>
  <c r="B305" i="25"/>
  <c r="B303" i="25"/>
  <c r="B301" i="25"/>
  <c r="B299" i="25"/>
  <c r="B297" i="25"/>
  <c r="B295" i="25"/>
  <c r="B293" i="25"/>
  <c r="B291" i="25"/>
  <c r="B289" i="25"/>
  <c r="B287" i="25"/>
  <c r="B285" i="25"/>
  <c r="B283" i="25"/>
  <c r="B281" i="25"/>
  <c r="B279" i="25"/>
  <c r="B277" i="25"/>
  <c r="B275" i="25"/>
  <c r="B273" i="25"/>
  <c r="B271" i="25"/>
  <c r="B269" i="25"/>
  <c r="B267" i="25"/>
  <c r="B265" i="25"/>
  <c r="B263" i="25"/>
  <c r="B261" i="25"/>
  <c r="B259" i="25"/>
  <c r="B257" i="25"/>
  <c r="B255" i="25"/>
  <c r="B253" i="25"/>
  <c r="B251" i="25"/>
  <c r="B249" i="25"/>
  <c r="B247" i="25"/>
  <c r="B245" i="25"/>
  <c r="B243" i="25"/>
  <c r="B241" i="25"/>
  <c r="B239" i="25"/>
  <c r="B237" i="25"/>
  <c r="B235" i="25"/>
  <c r="B233" i="25"/>
  <c r="B231" i="25"/>
  <c r="B229" i="25"/>
  <c r="B227" i="25"/>
  <c r="B225" i="25"/>
  <c r="B223" i="25"/>
  <c r="B221" i="25"/>
  <c r="B219" i="25"/>
  <c r="B217" i="25"/>
  <c r="B215" i="25"/>
  <c r="B213" i="25"/>
  <c r="B211" i="25"/>
  <c r="B209" i="25"/>
  <c r="B207" i="25"/>
  <c r="B205" i="25"/>
  <c r="B203" i="25"/>
  <c r="B201" i="25"/>
  <c r="B199" i="25"/>
  <c r="B197" i="25"/>
  <c r="B195" i="25"/>
  <c r="B193" i="25"/>
  <c r="B191" i="25"/>
  <c r="B189" i="25"/>
  <c r="B187" i="25"/>
  <c r="B185" i="25"/>
  <c r="B183" i="25"/>
  <c r="B181" i="25"/>
  <c r="B179" i="25"/>
  <c r="B177" i="25"/>
  <c r="B175" i="25"/>
  <c r="B173" i="25"/>
  <c r="B171" i="25"/>
  <c r="B169" i="25"/>
  <c r="B167" i="25"/>
  <c r="B165" i="25"/>
  <c r="B163" i="25"/>
  <c r="B161" i="25"/>
  <c r="B159" i="25"/>
  <c r="B157" i="25"/>
  <c r="B155" i="25"/>
  <c r="B153" i="25"/>
  <c r="B151" i="25"/>
  <c r="B149" i="25"/>
  <c r="B147" i="25"/>
  <c r="B145" i="25"/>
  <c r="B143" i="25"/>
  <c r="B141" i="25"/>
  <c r="B139" i="25"/>
  <c r="B137" i="25"/>
  <c r="B135" i="25"/>
  <c r="B133" i="25"/>
  <c r="B131" i="25"/>
  <c r="B129" i="25"/>
  <c r="B127" i="25"/>
  <c r="B125" i="25"/>
  <c r="B123" i="25"/>
  <c r="B121" i="25"/>
  <c r="B119" i="25"/>
  <c r="B117" i="25"/>
  <c r="B115" i="25"/>
  <c r="B113" i="25"/>
  <c r="B111" i="25"/>
  <c r="B109" i="25"/>
  <c r="B107" i="25"/>
  <c r="B105" i="25"/>
  <c r="B103" i="25"/>
  <c r="B101" i="25"/>
  <c r="B99" i="25"/>
  <c r="B97" i="25"/>
  <c r="B95" i="25"/>
  <c r="B93" i="25"/>
  <c r="B91" i="25"/>
  <c r="B89" i="25"/>
  <c r="B87" i="25"/>
  <c r="B85" i="25"/>
  <c r="B83" i="25"/>
  <c r="B81" i="25"/>
  <c r="B79" i="25"/>
  <c r="B77" i="25"/>
  <c r="B75" i="25"/>
  <c r="B73" i="25"/>
  <c r="B71" i="25"/>
  <c r="B69" i="25"/>
  <c r="B67" i="25"/>
  <c r="B65" i="25"/>
  <c r="B63" i="25"/>
  <c r="B61" i="25"/>
  <c r="B59" i="25"/>
  <c r="B57" i="25"/>
  <c r="B55" i="25"/>
  <c r="B53" i="25"/>
  <c r="B51" i="25"/>
  <c r="B49" i="25"/>
  <c r="B47" i="25"/>
  <c r="B45" i="25"/>
  <c r="B43" i="25"/>
  <c r="B41" i="25"/>
  <c r="B39" i="25"/>
  <c r="B37" i="25"/>
  <c r="B35" i="25"/>
  <c r="B33" i="25"/>
  <c r="B31" i="25"/>
  <c r="B29" i="25"/>
  <c r="B27" i="25"/>
  <c r="B25" i="25"/>
  <c r="B23" i="25"/>
  <c r="B21" i="25"/>
  <c r="B19" i="25"/>
  <c r="B17" i="25"/>
  <c r="B15" i="25"/>
  <c r="B13" i="25"/>
  <c r="B11" i="25"/>
  <c r="B9" i="25"/>
  <c r="B7" i="25"/>
  <c r="A269" i="25"/>
  <c r="A89" i="25"/>
  <c r="B206" i="25"/>
  <c r="B204" i="25"/>
  <c r="B202" i="25"/>
  <c r="B200" i="25"/>
  <c r="B198" i="25"/>
  <c r="B196" i="25"/>
  <c r="B194" i="25"/>
  <c r="B192" i="25"/>
  <c r="B190" i="25"/>
  <c r="B188" i="25"/>
  <c r="B186" i="25"/>
  <c r="B184" i="25"/>
  <c r="B182" i="25"/>
  <c r="B180" i="25"/>
  <c r="B178" i="25"/>
  <c r="B176" i="25"/>
  <c r="B174" i="25"/>
  <c r="B172" i="25"/>
  <c r="B170" i="25"/>
  <c r="B168" i="25"/>
  <c r="B166" i="25"/>
  <c r="B164" i="25"/>
  <c r="B162" i="25"/>
  <c r="B160" i="25"/>
  <c r="B158" i="25"/>
  <c r="B156" i="25"/>
  <c r="B154" i="25"/>
  <c r="B152" i="25"/>
  <c r="B150" i="25"/>
  <c r="B148" i="25"/>
  <c r="B146" i="25"/>
  <c r="B144" i="25"/>
  <c r="B142" i="25"/>
  <c r="B140" i="25"/>
  <c r="B138" i="25"/>
  <c r="B136" i="25"/>
  <c r="B134" i="25"/>
  <c r="B132" i="25"/>
  <c r="B130" i="25"/>
  <c r="B128" i="25"/>
  <c r="B126" i="25"/>
  <c r="B124" i="25"/>
  <c r="B122" i="25"/>
  <c r="B120" i="25"/>
  <c r="B118" i="25"/>
  <c r="B116" i="25"/>
  <c r="B114" i="25"/>
  <c r="B112" i="25"/>
  <c r="B110" i="25"/>
  <c r="B108" i="25"/>
  <c r="B106" i="25"/>
  <c r="B104" i="25"/>
  <c r="B102" i="25"/>
  <c r="B100" i="25"/>
  <c r="B98" i="25"/>
  <c r="B96" i="25"/>
  <c r="B94" i="25"/>
  <c r="B92" i="25"/>
  <c r="B90" i="25"/>
  <c r="B88" i="25"/>
  <c r="B86" i="25"/>
  <c r="B84" i="25"/>
  <c r="B82" i="25"/>
  <c r="B80" i="25"/>
  <c r="B78" i="25"/>
  <c r="B76" i="25"/>
  <c r="B74" i="25"/>
  <c r="B72" i="25"/>
  <c r="B70" i="25"/>
  <c r="B68" i="25"/>
  <c r="B66" i="25"/>
  <c r="B64" i="25"/>
  <c r="B62" i="25"/>
  <c r="B60" i="25"/>
  <c r="B58" i="25"/>
  <c r="B56" i="25"/>
  <c r="B54" i="25"/>
  <c r="B52" i="25"/>
  <c r="B50" i="25"/>
  <c r="B48" i="25"/>
  <c r="B46" i="25"/>
  <c r="B44" i="25"/>
  <c r="B42" i="25"/>
  <c r="B40" i="25"/>
  <c r="B38" i="25"/>
  <c r="B36" i="25"/>
  <c r="B34" i="25"/>
  <c r="B32" i="25"/>
  <c r="B30" i="25"/>
  <c r="B28" i="25"/>
  <c r="B26" i="25"/>
  <c r="B24" i="25"/>
  <c r="B22" i="25"/>
  <c r="B20" i="25"/>
  <c r="B18" i="25"/>
  <c r="B16" i="25"/>
  <c r="B14" i="25"/>
  <c r="B12" i="25"/>
  <c r="B10" i="25"/>
  <c r="B8" i="25"/>
  <c r="A311" i="25"/>
  <c r="A309" i="25"/>
  <c r="A305" i="25"/>
  <c r="A303" i="25"/>
  <c r="A299" i="25"/>
  <c r="A295" i="25"/>
  <c r="A291" i="25"/>
  <c r="A285" i="25"/>
  <c r="A281" i="25"/>
  <c r="A279" i="25"/>
  <c r="A275" i="25"/>
  <c r="A271" i="25"/>
  <c r="A267" i="25"/>
  <c r="A263" i="25"/>
  <c r="A259" i="25"/>
  <c r="A255" i="25"/>
  <c r="A249" i="25"/>
  <c r="A247" i="25"/>
  <c r="A243" i="25"/>
  <c r="A239" i="25"/>
  <c r="A235" i="25"/>
  <c r="A231" i="25"/>
  <c r="A227" i="25"/>
  <c r="A223" i="25"/>
  <c r="A219" i="25"/>
  <c r="A217" i="25"/>
  <c r="A213" i="25"/>
  <c r="A209" i="25"/>
  <c r="A205" i="25"/>
  <c r="A199" i="25"/>
  <c r="A195" i="25"/>
  <c r="A189" i="25"/>
  <c r="A185" i="25"/>
  <c r="A181" i="25"/>
  <c r="A177" i="25"/>
  <c r="A173" i="25"/>
  <c r="A169" i="25"/>
  <c r="A165" i="25"/>
  <c r="A161" i="25"/>
  <c r="A159" i="25"/>
  <c r="A155" i="25"/>
  <c r="A151" i="25"/>
  <c r="A147" i="25"/>
  <c r="A143" i="25"/>
  <c r="A139" i="25"/>
  <c r="A135" i="25"/>
  <c r="A131" i="25"/>
  <c r="A127" i="25"/>
  <c r="A121" i="25"/>
  <c r="A117" i="25"/>
  <c r="A113" i="25"/>
  <c r="A109" i="25"/>
  <c r="A107" i="25"/>
  <c r="A103" i="25"/>
  <c r="A99" i="25"/>
  <c r="A95" i="25"/>
  <c r="A91" i="25"/>
  <c r="A85" i="25"/>
  <c r="A81" i="25"/>
  <c r="A77" i="25"/>
  <c r="A73" i="25"/>
  <c r="A67" i="25"/>
  <c r="A63" i="25"/>
  <c r="A59" i="25"/>
  <c r="A55" i="25"/>
  <c r="A51" i="25"/>
  <c r="A47" i="25"/>
  <c r="A45" i="25"/>
  <c r="A41" i="25"/>
  <c r="A37" i="25"/>
  <c r="A33" i="25"/>
  <c r="A29" i="25"/>
  <c r="A25" i="25"/>
  <c r="A21" i="25"/>
  <c r="A17" i="25"/>
  <c r="A13" i="25"/>
  <c r="A9" i="25"/>
  <c r="A7" i="25"/>
  <c r="B314" i="25"/>
  <c r="B310" i="25"/>
  <c r="B306" i="25"/>
  <c r="B304" i="25"/>
  <c r="B300" i="25"/>
  <c r="B296" i="25"/>
  <c r="B290" i="25"/>
  <c r="B286" i="25"/>
  <c r="B284" i="25"/>
  <c r="B278" i="25"/>
  <c r="B274" i="25"/>
  <c r="B270" i="25"/>
  <c r="B266" i="25"/>
  <c r="B262" i="25"/>
  <c r="B258" i="25"/>
  <c r="B254" i="25"/>
  <c r="B250" i="25"/>
  <c r="B248" i="25"/>
  <c r="B244" i="25"/>
  <c r="B240" i="25"/>
  <c r="B236" i="25"/>
  <c r="B232" i="25"/>
  <c r="B228" i="25"/>
  <c r="B224" i="25"/>
  <c r="B220" i="25"/>
  <c r="B216" i="25"/>
  <c r="B210" i="25"/>
  <c r="A314" i="25"/>
  <c r="A308" i="25"/>
  <c r="A304" i="25"/>
  <c r="A298" i="25"/>
  <c r="A292" i="25"/>
  <c r="A286" i="25"/>
  <c r="A280" i="25"/>
  <c r="A272" i="25"/>
  <c r="A266" i="25"/>
  <c r="A260" i="25"/>
  <c r="A256" i="25"/>
  <c r="A254" i="25"/>
  <c r="A250" i="25"/>
  <c r="A246" i="25"/>
  <c r="A240" i="25"/>
  <c r="A236" i="25"/>
  <c r="A234" i="25"/>
  <c r="A230" i="25"/>
  <c r="A228" i="25"/>
  <c r="A224" i="25"/>
  <c r="A220" i="25"/>
  <c r="A216" i="25"/>
  <c r="A212" i="25"/>
  <c r="A208" i="25"/>
  <c r="A204" i="25"/>
  <c r="A198" i="25"/>
  <c r="A194" i="25"/>
  <c r="A192" i="25"/>
  <c r="A188" i="25"/>
  <c r="A184" i="25"/>
  <c r="A180" i="25"/>
  <c r="A176" i="25"/>
  <c r="A172" i="25"/>
  <c r="A168" i="25"/>
  <c r="A164" i="25"/>
  <c r="A160" i="25"/>
  <c r="A156" i="25"/>
  <c r="A152" i="25"/>
  <c r="A148" i="25"/>
  <c r="A142" i="25"/>
  <c r="A138" i="25"/>
  <c r="A134" i="25"/>
  <c r="A130" i="25"/>
  <c r="A126" i="25"/>
  <c r="A122" i="25"/>
  <c r="A118" i="25"/>
  <c r="A114" i="25"/>
  <c r="A110" i="25"/>
  <c r="A106" i="25"/>
  <c r="A102" i="25"/>
  <c r="A98" i="25"/>
  <c r="A94" i="25"/>
  <c r="A90" i="25"/>
  <c r="A86" i="25"/>
  <c r="A82" i="25"/>
  <c r="A78" i="25"/>
  <c r="A74" i="25"/>
  <c r="A70" i="25"/>
  <c r="A66" i="25"/>
  <c r="A62" i="25"/>
  <c r="A58" i="25"/>
  <c r="A54" i="25"/>
  <c r="A48" i="25"/>
  <c r="A42" i="25"/>
  <c r="A38" i="25"/>
  <c r="A34" i="25"/>
  <c r="A28" i="25"/>
  <c r="A22" i="25"/>
  <c r="A16" i="25"/>
  <c r="A10" i="25"/>
  <c r="O288" i="19"/>
  <c r="O208" i="19"/>
  <c r="O192" i="19"/>
  <c r="O160" i="19"/>
  <c r="O240" i="19"/>
  <c r="O174" i="19"/>
  <c r="O173" i="19"/>
  <c r="O168" i="19"/>
  <c r="O144" i="19"/>
  <c r="O143" i="19"/>
  <c r="O142" i="19"/>
  <c r="O141" i="19"/>
  <c r="O140" i="19"/>
  <c r="O136" i="19"/>
  <c r="O112" i="19"/>
  <c r="O16" i="19"/>
  <c r="O15" i="19"/>
  <c r="O14" i="19"/>
  <c r="O8" i="19"/>
  <c r="O304" i="19"/>
  <c r="O271" i="19"/>
  <c r="O270" i="19"/>
  <c r="O269" i="19"/>
  <c r="O268" i="19"/>
  <c r="O264" i="19"/>
  <c r="O96" i="19"/>
  <c r="O80" i="19"/>
  <c r="O64" i="19"/>
  <c r="O32" i="19"/>
  <c r="O272" i="19"/>
  <c r="O224" i="19"/>
  <c r="O176" i="19"/>
  <c r="O111" i="19"/>
  <c r="O110" i="19"/>
  <c r="O109" i="19"/>
  <c r="O108" i="19"/>
  <c r="O104" i="19"/>
  <c r="O79" i="19"/>
  <c r="O78" i="19"/>
  <c r="O77" i="19"/>
  <c r="O76" i="19"/>
  <c r="O72" i="19"/>
  <c r="O48" i="19"/>
  <c r="O239" i="19"/>
  <c r="O238" i="19"/>
  <c r="O237" i="19"/>
  <c r="O236" i="19"/>
  <c r="O232" i="19"/>
  <c r="O207" i="19"/>
  <c r="O206" i="19"/>
  <c r="O205" i="19"/>
  <c r="O204" i="19"/>
  <c r="O200" i="19"/>
  <c r="O175" i="19"/>
  <c r="O172" i="19"/>
  <c r="O128" i="19"/>
  <c r="O47" i="19"/>
  <c r="O46" i="19"/>
  <c r="O45" i="19"/>
  <c r="O44" i="19"/>
  <c r="O40" i="19"/>
  <c r="O303" i="19"/>
  <c r="O302" i="19"/>
  <c r="O301" i="19"/>
  <c r="O300" i="19"/>
  <c r="O296" i="19"/>
  <c r="O256" i="19"/>
  <c r="O167" i="19"/>
  <c r="O166" i="19"/>
  <c r="O165" i="19"/>
  <c r="O164" i="19"/>
  <c r="O159" i="19"/>
  <c r="O158" i="19"/>
  <c r="O157" i="19"/>
  <c r="O156" i="19"/>
  <c r="O152" i="19"/>
  <c r="O148" i="19"/>
  <c r="D39" i="25"/>
  <c r="D27" i="25"/>
  <c r="D7" i="25"/>
  <c r="D307" i="25"/>
  <c r="D291" i="25"/>
  <c r="D275" i="25"/>
  <c r="D259" i="25"/>
  <c r="D227" i="25"/>
  <c r="D211" i="25"/>
  <c r="D179" i="25"/>
  <c r="D163" i="25"/>
  <c r="D147" i="25"/>
  <c r="D131" i="25"/>
  <c r="D91" i="25"/>
  <c r="O295" i="19"/>
  <c r="O294" i="19"/>
  <c r="O293" i="19"/>
  <c r="O292" i="19"/>
  <c r="O287" i="19"/>
  <c r="O286" i="19"/>
  <c r="O285" i="19"/>
  <c r="O284" i="19"/>
  <c r="O280" i="19"/>
  <c r="O276" i="19"/>
  <c r="O39" i="19"/>
  <c r="O38" i="19"/>
  <c r="O37" i="19"/>
  <c r="O36" i="19"/>
  <c r="O31" i="19"/>
  <c r="O30" i="19"/>
  <c r="O29" i="19"/>
  <c r="O28" i="19"/>
  <c r="O24" i="19"/>
  <c r="O20" i="19"/>
  <c r="D65" i="25"/>
  <c r="D33" i="25"/>
  <c r="D310" i="25"/>
  <c r="O231" i="19"/>
  <c r="O230" i="19"/>
  <c r="O229" i="19"/>
  <c r="O228" i="19"/>
  <c r="O223" i="19"/>
  <c r="O222" i="19"/>
  <c r="O221" i="19"/>
  <c r="O220" i="19"/>
  <c r="O216" i="19"/>
  <c r="O212" i="19"/>
  <c r="O103" i="19"/>
  <c r="O102" i="19"/>
  <c r="O101" i="19"/>
  <c r="O100" i="19"/>
  <c r="O95" i="19"/>
  <c r="O94" i="19"/>
  <c r="O93" i="19"/>
  <c r="O92" i="19"/>
  <c r="O88" i="19"/>
  <c r="O84" i="19"/>
  <c r="D148" i="25"/>
  <c r="D40" i="25"/>
  <c r="D92" i="25"/>
  <c r="O312" i="19"/>
  <c r="O308" i="19"/>
  <c r="O199" i="19"/>
  <c r="O198" i="19"/>
  <c r="O197" i="19"/>
  <c r="O196" i="19"/>
  <c r="O191" i="19"/>
  <c r="O190" i="19"/>
  <c r="O189" i="19"/>
  <c r="O188" i="19"/>
  <c r="O184" i="19"/>
  <c r="O180" i="19"/>
  <c r="O71" i="19"/>
  <c r="O70" i="19"/>
  <c r="O69" i="19"/>
  <c r="O68" i="19"/>
  <c r="O63" i="19"/>
  <c r="O62" i="19"/>
  <c r="O61" i="19"/>
  <c r="O60" i="19"/>
  <c r="O56" i="19"/>
  <c r="O52" i="19"/>
  <c r="O13" i="19"/>
  <c r="O12" i="19"/>
  <c r="D146" i="25"/>
  <c r="D134" i="25"/>
  <c r="D122" i="25"/>
  <c r="D58" i="25"/>
  <c r="O263" i="19"/>
  <c r="O262" i="19"/>
  <c r="O261" i="19"/>
  <c r="O260" i="19"/>
  <c r="O255" i="19"/>
  <c r="O254" i="19"/>
  <c r="O253" i="19"/>
  <c r="O252" i="19"/>
  <c r="O248" i="19"/>
  <c r="O244" i="19"/>
  <c r="O135" i="19"/>
  <c r="O134" i="19"/>
  <c r="O133" i="19"/>
  <c r="O132" i="19"/>
  <c r="O127" i="19"/>
  <c r="O126" i="19"/>
  <c r="O125" i="19"/>
  <c r="O124" i="19"/>
  <c r="O120" i="19"/>
  <c r="O116" i="19"/>
  <c r="O299" i="19"/>
  <c r="O298" i="19"/>
  <c r="O297" i="19"/>
  <c r="O267" i="19"/>
  <c r="O266" i="19"/>
  <c r="O265" i="19"/>
  <c r="O235" i="19"/>
  <c r="O234" i="19"/>
  <c r="O233" i="19"/>
  <c r="O203" i="19"/>
  <c r="O202" i="19"/>
  <c r="O201" i="19"/>
  <c r="O171" i="19"/>
  <c r="O170" i="19"/>
  <c r="O169" i="19"/>
  <c r="O139" i="19"/>
  <c r="O138" i="19"/>
  <c r="O137" i="19"/>
  <c r="O107" i="19"/>
  <c r="O106" i="19"/>
  <c r="O105" i="19"/>
  <c r="O75" i="19"/>
  <c r="O74" i="19"/>
  <c r="O73" i="19"/>
  <c r="O43" i="19"/>
  <c r="O42" i="19"/>
  <c r="O41" i="19"/>
  <c r="O11" i="19"/>
  <c r="O10" i="19"/>
  <c r="O9" i="19"/>
  <c r="D118" i="25"/>
  <c r="D114" i="25"/>
  <c r="D110" i="25"/>
  <c r="D102" i="25"/>
  <c r="D94" i="25"/>
  <c r="D86" i="25"/>
  <c r="D82" i="25"/>
  <c r="D78" i="25"/>
  <c r="D70" i="25"/>
  <c r="D62" i="25"/>
  <c r="D54" i="25"/>
  <c r="D50" i="25"/>
  <c r="D46" i="25"/>
  <c r="D38" i="25"/>
  <c r="D30" i="25"/>
  <c r="D22" i="25"/>
  <c r="D18" i="25"/>
  <c r="D14" i="25"/>
  <c r="O291" i="19"/>
  <c r="O290" i="19"/>
  <c r="O289" i="19"/>
  <c r="O259" i="19"/>
  <c r="O258" i="19"/>
  <c r="O257" i="19"/>
  <c r="O227" i="19"/>
  <c r="O226" i="19"/>
  <c r="O225" i="19"/>
  <c r="O195" i="19"/>
  <c r="O194" i="19"/>
  <c r="O193" i="19"/>
  <c r="O163" i="19"/>
  <c r="O162" i="19"/>
  <c r="O161" i="19"/>
  <c r="O131" i="19"/>
  <c r="O130" i="19"/>
  <c r="O129" i="19"/>
  <c r="O99" i="19"/>
  <c r="O98" i="19"/>
  <c r="O97" i="19"/>
  <c r="O67" i="19"/>
  <c r="O66" i="19"/>
  <c r="O65" i="19"/>
  <c r="O35" i="19"/>
  <c r="O34" i="19"/>
  <c r="O33" i="19"/>
  <c r="D313" i="25"/>
  <c r="D309" i="25"/>
  <c r="D305" i="25"/>
  <c r="D301" i="25"/>
  <c r="D297" i="25"/>
  <c r="D293" i="25"/>
  <c r="D289" i="25"/>
  <c r="D285" i="25"/>
  <c r="D281" i="25"/>
  <c r="D277" i="25"/>
  <c r="D273" i="25"/>
  <c r="D269" i="25"/>
  <c r="D265" i="25"/>
  <c r="D261" i="25"/>
  <c r="D257" i="25"/>
  <c r="D253" i="25"/>
  <c r="D249" i="25"/>
  <c r="D245" i="25"/>
  <c r="D241" i="25"/>
  <c r="D237" i="25"/>
  <c r="D233" i="25"/>
  <c r="D229" i="25"/>
  <c r="D225" i="25"/>
  <c r="D221" i="25"/>
  <c r="D217" i="25"/>
  <c r="D213" i="25"/>
  <c r="D209" i="25"/>
  <c r="D205" i="25"/>
  <c r="D201" i="25"/>
  <c r="D197" i="25"/>
  <c r="D193" i="25"/>
  <c r="D189" i="25"/>
  <c r="D185" i="25"/>
  <c r="D181" i="25"/>
  <c r="D173" i="25"/>
  <c r="D169" i="25"/>
  <c r="D165" i="25"/>
  <c r="D161" i="25"/>
  <c r="D157" i="25"/>
  <c r="D153" i="25"/>
  <c r="D149" i="25"/>
  <c r="D145" i="25"/>
  <c r="D141" i="25"/>
  <c r="D137" i="25"/>
  <c r="D133" i="25"/>
  <c r="D129" i="25"/>
  <c r="D125" i="25"/>
  <c r="D121" i="25"/>
  <c r="D117" i="25"/>
  <c r="D113" i="25"/>
  <c r="D109" i="25"/>
  <c r="D105" i="25"/>
  <c r="D101" i="25"/>
  <c r="D93" i="25"/>
  <c r="D89" i="25"/>
  <c r="D85" i="25"/>
  <c r="D81" i="25"/>
  <c r="D77" i="25"/>
  <c r="D73" i="25"/>
  <c r="D69" i="25"/>
  <c r="D61" i="25"/>
  <c r="D57" i="25"/>
  <c r="D53" i="25"/>
  <c r="D49" i="25"/>
  <c r="D45" i="25"/>
  <c r="D41" i="25"/>
  <c r="D37" i="25"/>
  <c r="D29" i="25"/>
  <c r="D25" i="25"/>
  <c r="D21" i="25"/>
  <c r="D17" i="25"/>
  <c r="D13" i="25"/>
  <c r="D9" i="25"/>
  <c r="O314" i="19"/>
  <c r="O283" i="19"/>
  <c r="O281" i="19"/>
  <c r="O250" i="19"/>
  <c r="O219" i="19"/>
  <c r="O217" i="19"/>
  <c r="O187" i="19"/>
  <c r="O185" i="19"/>
  <c r="O155" i="19"/>
  <c r="O153" i="19"/>
  <c r="O123" i="19"/>
  <c r="O121" i="19"/>
  <c r="O91" i="19"/>
  <c r="O89" i="19"/>
  <c r="O58" i="19"/>
  <c r="O27" i="19"/>
  <c r="O25" i="19"/>
  <c r="D312" i="25"/>
  <c r="D304" i="25"/>
  <c r="D296" i="25"/>
  <c r="D288" i="25"/>
  <c r="D280" i="25"/>
  <c r="D272" i="25"/>
  <c r="D264" i="25"/>
  <c r="D256" i="25"/>
  <c r="D248" i="25"/>
  <c r="D240" i="25"/>
  <c r="D232" i="25"/>
  <c r="D224" i="25"/>
  <c r="D216" i="25"/>
  <c r="D208" i="25"/>
  <c r="D200" i="25"/>
  <c r="D192" i="25"/>
  <c r="D184" i="25"/>
  <c r="D176" i="25"/>
  <c r="D168" i="25"/>
  <c r="D160" i="25"/>
  <c r="D152" i="25"/>
  <c r="D144" i="25"/>
  <c r="D136" i="25"/>
  <c r="D128" i="25"/>
  <c r="D120" i="25"/>
  <c r="D108" i="25"/>
  <c r="D88" i="25"/>
  <c r="D76" i="25"/>
  <c r="D56" i="25"/>
  <c r="D44" i="25"/>
  <c r="D24" i="25"/>
  <c r="D12" i="25"/>
  <c r="O311" i="19"/>
  <c r="O310" i="19"/>
  <c r="O309" i="19"/>
  <c r="O279" i="19"/>
  <c r="O278" i="19"/>
  <c r="O277" i="19"/>
  <c r="O247" i="19"/>
  <c r="O246" i="19"/>
  <c r="O245" i="19"/>
  <c r="O215" i="19"/>
  <c r="O214" i="19"/>
  <c r="O213" i="19"/>
  <c r="O183" i="19"/>
  <c r="O182" i="19"/>
  <c r="O181" i="19"/>
  <c r="O151" i="19"/>
  <c r="O150" i="19"/>
  <c r="O149" i="19"/>
  <c r="O119" i="19"/>
  <c r="O118" i="19"/>
  <c r="O117" i="19"/>
  <c r="O87" i="19"/>
  <c r="O86" i="19"/>
  <c r="O85" i="19"/>
  <c r="O55" i="19"/>
  <c r="O54" i="19"/>
  <c r="O53" i="19"/>
  <c r="O23" i="19"/>
  <c r="O22" i="19"/>
  <c r="O21" i="19"/>
  <c r="O315" i="19"/>
  <c r="O313" i="19"/>
  <c r="O282" i="19"/>
  <c r="O251" i="19"/>
  <c r="O249" i="19"/>
  <c r="O218" i="19"/>
  <c r="O186" i="19"/>
  <c r="O154" i="19"/>
  <c r="O122" i="19"/>
  <c r="O90" i="19"/>
  <c r="O59" i="19"/>
  <c r="O57" i="19"/>
  <c r="O26" i="19"/>
  <c r="O307" i="19"/>
  <c r="O306" i="19"/>
  <c r="O305" i="19"/>
  <c r="O275" i="19"/>
  <c r="O274" i="19"/>
  <c r="O273" i="19"/>
  <c r="O243" i="19"/>
  <c r="O242" i="19"/>
  <c r="O241" i="19"/>
  <c r="O211" i="19"/>
  <c r="O210" i="19"/>
  <c r="O209" i="19"/>
  <c r="O179" i="19"/>
  <c r="O178" i="19"/>
  <c r="O177" i="19"/>
  <c r="O147" i="19"/>
  <c r="O146" i="19"/>
  <c r="O145" i="19"/>
  <c r="O115" i="19"/>
  <c r="O114" i="19"/>
  <c r="O113" i="19"/>
  <c r="O83" i="19"/>
  <c r="O82" i="19"/>
  <c r="O81" i="19"/>
  <c r="O51" i="19"/>
  <c r="O50" i="19"/>
  <c r="O49" i="19"/>
  <c r="O19" i="19"/>
  <c r="O18" i="19"/>
  <c r="O17" i="19"/>
  <c r="D311" i="25"/>
  <c r="D303" i="25"/>
  <c r="D295" i="25"/>
  <c r="D287" i="25"/>
  <c r="D279" i="25"/>
  <c r="D271" i="25"/>
  <c r="D263" i="25"/>
  <c r="D255" i="25"/>
  <c r="D247" i="25"/>
  <c r="D239" i="25"/>
  <c r="D231" i="25"/>
  <c r="D223" i="25"/>
  <c r="D215" i="25"/>
  <c r="D207" i="25"/>
  <c r="D199" i="25"/>
  <c r="D191" i="25"/>
  <c r="D183" i="25"/>
  <c r="D175" i="25"/>
  <c r="D167" i="25"/>
  <c r="D159" i="25"/>
  <c r="D151" i="25"/>
  <c r="D143" i="25"/>
  <c r="D135" i="25"/>
  <c r="D127" i="25"/>
  <c r="D119" i="25"/>
  <c r="D115" i="25"/>
  <c r="D111" i="25"/>
  <c r="D107" i="25"/>
  <c r="D99" i="25"/>
  <c r="D95" i="25"/>
  <c r="D87" i="25"/>
  <c r="D83" i="25"/>
  <c r="D79" i="25"/>
  <c r="D75" i="25"/>
  <c r="D67" i="25"/>
  <c r="D177" i="25"/>
  <c r="Y240" i="19"/>
  <c r="Y239" i="19"/>
  <c r="Y241" i="19"/>
  <c r="N245" i="42"/>
  <c r="T245" i="42" s="1"/>
  <c r="Z7" i="19" l="1"/>
  <c r="X7" i="19"/>
  <c r="W7" i="19"/>
  <c r="V7" i="19"/>
  <c r="P7" i="19"/>
  <c r="N7" i="19"/>
  <c r="M7" i="19"/>
  <c r="L7" i="19"/>
  <c r="K7" i="19"/>
  <c r="I7" i="19"/>
  <c r="H7" i="19"/>
  <c r="N239" i="42"/>
  <c r="T239" i="42" s="1"/>
  <c r="C316" i="42" l="1"/>
  <c r="K303" i="49" l="1"/>
  <c r="K244" i="13" l="1"/>
  <c r="K170" i="13"/>
  <c r="K219" i="13"/>
  <c r="N246" i="42" l="1"/>
  <c r="T246" i="42" s="1"/>
  <c r="N220" i="42"/>
  <c r="T220" i="42" s="1"/>
  <c r="N171" i="42"/>
  <c r="T171" i="42" s="1"/>
  <c r="Y301" i="19" l="1"/>
  <c r="Y285" i="19"/>
  <c r="Y269" i="19"/>
  <c r="Y253" i="19"/>
  <c r="Y284" i="19"/>
  <c r="Y167" i="19"/>
  <c r="Y111" i="19"/>
  <c r="Y103" i="19"/>
  <c r="Y79" i="19"/>
  <c r="Y292" i="19"/>
  <c r="Y252" i="19"/>
  <c r="Y180" i="19"/>
  <c r="Y148" i="19"/>
  <c r="Y116" i="19"/>
  <c r="Y84" i="19"/>
  <c r="Y52" i="19"/>
  <c r="Y36" i="19"/>
  <c r="Y20" i="19"/>
  <c r="Y313" i="19"/>
  <c r="Y305" i="19"/>
  <c r="Y297" i="19"/>
  <c r="Y289" i="19"/>
  <c r="Y281" i="19"/>
  <c r="Y273" i="19"/>
  <c r="Y265" i="19"/>
  <c r="Y257" i="19"/>
  <c r="Y249" i="19"/>
  <c r="Y233" i="19"/>
  <c r="Y225" i="19"/>
  <c r="Y217" i="19"/>
  <c r="Y209" i="19"/>
  <c r="Y201" i="19"/>
  <c r="Y185" i="19"/>
  <c r="Y169" i="19"/>
  <c r="Y161" i="19"/>
  <c r="Y153" i="19"/>
  <c r="Y145" i="19"/>
  <c r="Y129" i="19"/>
  <c r="Y121" i="19"/>
  <c r="Y105" i="19"/>
  <c r="Y97" i="19"/>
  <c r="Y89" i="19"/>
  <c r="Y73" i="19"/>
  <c r="Y65" i="19"/>
  <c r="Y54" i="19"/>
  <c r="Y30" i="19"/>
  <c r="Y308" i="19"/>
  <c r="Y268" i="19"/>
  <c r="Y244" i="19"/>
  <c r="Y204" i="19"/>
  <c r="Y188" i="19"/>
  <c r="Y140" i="19"/>
  <c r="Y124" i="19"/>
  <c r="Y108" i="19"/>
  <c r="Y92" i="19"/>
  <c r="Y68" i="19"/>
  <c r="G279" i="19"/>
  <c r="T279" i="19" s="1"/>
  <c r="G247" i="19"/>
  <c r="T247" i="19" s="1"/>
  <c r="G87" i="19"/>
  <c r="Y300" i="19"/>
  <c r="Y276" i="19"/>
  <c r="Y228" i="19"/>
  <c r="Y196" i="19"/>
  <c r="Y164" i="19"/>
  <c r="Y100" i="19"/>
  <c r="Y60" i="19"/>
  <c r="Y44" i="19"/>
  <c r="Y28" i="19"/>
  <c r="Y12" i="19"/>
  <c r="G313" i="19"/>
  <c r="T313" i="19" s="1"/>
  <c r="G271" i="19"/>
  <c r="T271" i="19" s="1"/>
  <c r="G263" i="19"/>
  <c r="T263" i="19" s="1"/>
  <c r="G213" i="19"/>
  <c r="T213" i="19" s="1"/>
  <c r="G203" i="19"/>
  <c r="T203" i="19" s="1"/>
  <c r="G179" i="19"/>
  <c r="T179" i="19" s="1"/>
  <c r="G145" i="19"/>
  <c r="T145" i="19" s="1"/>
  <c r="G93" i="19"/>
  <c r="T93" i="19" s="1"/>
  <c r="G65" i="19"/>
  <c r="T65" i="19" s="1"/>
  <c r="G29" i="19"/>
  <c r="T29" i="19" s="1"/>
  <c r="Y260" i="19"/>
  <c r="Y236" i="19"/>
  <c r="Y212" i="19"/>
  <c r="Y172" i="19"/>
  <c r="Y156" i="19"/>
  <c r="Y76" i="19"/>
  <c r="G281" i="19"/>
  <c r="T281" i="19" s="1"/>
  <c r="G255" i="19"/>
  <c r="T255" i="19" s="1"/>
  <c r="G15" i="19"/>
  <c r="T15" i="19" s="1"/>
  <c r="Y186" i="19"/>
  <c r="G197" i="19"/>
  <c r="T197" i="19" s="1"/>
  <c r="G47" i="19"/>
  <c r="Y150" i="19"/>
  <c r="Y159" i="19"/>
  <c r="Y119" i="19"/>
  <c r="Y63" i="19"/>
  <c r="G129" i="19"/>
  <c r="G265" i="19"/>
  <c r="T265" i="19" s="1"/>
  <c r="G195" i="19"/>
  <c r="T195" i="19" s="1"/>
  <c r="G221" i="19"/>
  <c r="T221" i="19" s="1"/>
  <c r="G77" i="19"/>
  <c r="G41" i="19"/>
  <c r="T41" i="19" s="1"/>
  <c r="Y310" i="19"/>
  <c r="Y302" i="19"/>
  <c r="Y294" i="19"/>
  <c r="Y286" i="19"/>
  <c r="Y278" i="19"/>
  <c r="Y270" i="19"/>
  <c r="Y262" i="19"/>
  <c r="Y254" i="19"/>
  <c r="Y246" i="19"/>
  <c r="Y238" i="19"/>
  <c r="Y230" i="19"/>
  <c r="Y222" i="19"/>
  <c r="Y214" i="19"/>
  <c r="Y206" i="19"/>
  <c r="Y198" i="19"/>
  <c r="Y190" i="19"/>
  <c r="Y182" i="19"/>
  <c r="Y174" i="19"/>
  <c r="Y166" i="19"/>
  <c r="Y158" i="19"/>
  <c r="Y142" i="19"/>
  <c r="Y134" i="19"/>
  <c r="Y126" i="19"/>
  <c r="Y118" i="19"/>
  <c r="Y110" i="19"/>
  <c r="Y102" i="19"/>
  <c r="Y94" i="19"/>
  <c r="Y86" i="19"/>
  <c r="Y78" i="19"/>
  <c r="Y70" i="19"/>
  <c r="Y62" i="19"/>
  <c r="Y46" i="19"/>
  <c r="Y38" i="19"/>
  <c r="Y22" i="19"/>
  <c r="Y14" i="19"/>
  <c r="G314" i="19"/>
  <c r="T314" i="19" s="1"/>
  <c r="G306" i="19"/>
  <c r="T306" i="19" s="1"/>
  <c r="G294" i="19"/>
  <c r="G286" i="19"/>
  <c r="T286" i="19" s="1"/>
  <c r="G248" i="19"/>
  <c r="T248" i="19" s="1"/>
  <c r="G240" i="19"/>
  <c r="G224" i="19"/>
  <c r="G214" i="19"/>
  <c r="T214" i="19" s="1"/>
  <c r="G196" i="19"/>
  <c r="T196" i="19" s="1"/>
  <c r="G180" i="19"/>
  <c r="T180" i="19" s="1"/>
  <c r="G170" i="19"/>
  <c r="T170" i="19" s="1"/>
  <c r="G160" i="19"/>
  <c r="T160" i="19" s="1"/>
  <c r="G150" i="19"/>
  <c r="T150" i="19" s="1"/>
  <c r="G142" i="19"/>
  <c r="T142" i="19" s="1"/>
  <c r="G136" i="19"/>
  <c r="T136" i="19" s="1"/>
  <c r="G126" i="19"/>
  <c r="T126" i="19" s="1"/>
  <c r="G118" i="19"/>
  <c r="T118" i="19" s="1"/>
  <c r="G110" i="19"/>
  <c r="T110" i="19" s="1"/>
  <c r="G104" i="19"/>
  <c r="T104" i="19" s="1"/>
  <c r="G64" i="19"/>
  <c r="T64" i="19" s="1"/>
  <c r="G56" i="19"/>
  <c r="T56" i="19" s="1"/>
  <c r="G16" i="19"/>
  <c r="T16" i="19" s="1"/>
  <c r="G8" i="19"/>
  <c r="T8" i="19" s="1"/>
  <c r="G302" i="19"/>
  <c r="T302" i="19" s="1"/>
  <c r="G296" i="19"/>
  <c r="T296" i="19" s="1"/>
  <c r="G290" i="19"/>
  <c r="T290" i="19" s="1"/>
  <c r="G282" i="19"/>
  <c r="T282" i="19" s="1"/>
  <c r="G264" i="19"/>
  <c r="T264" i="19" s="1"/>
  <c r="G244" i="19"/>
  <c r="T244" i="19" s="1"/>
  <c r="G238" i="19"/>
  <c r="T238" i="19" s="1"/>
  <c r="G232" i="19"/>
  <c r="T232" i="19" s="1"/>
  <c r="G228" i="19"/>
  <c r="T228" i="19" s="1"/>
  <c r="G210" i="19"/>
  <c r="T210" i="19" s="1"/>
  <c r="G186" i="19"/>
  <c r="T186" i="19" s="1"/>
  <c r="G166" i="19"/>
  <c r="T166" i="19" s="1"/>
  <c r="G162" i="19"/>
  <c r="T162" i="19" s="1"/>
  <c r="G152" i="19"/>
  <c r="T152" i="19" s="1"/>
  <c r="G146" i="19"/>
  <c r="T146" i="19" s="1"/>
  <c r="G134" i="19"/>
  <c r="T134" i="19" s="1"/>
  <c r="G130" i="19"/>
  <c r="T130" i="19" s="1"/>
  <c r="G120" i="19"/>
  <c r="T120" i="19" s="1"/>
  <c r="G112" i="19"/>
  <c r="T112" i="19" s="1"/>
  <c r="G106" i="19"/>
  <c r="T106" i="19" s="1"/>
  <c r="G88" i="19"/>
  <c r="T88" i="19" s="1"/>
  <c r="G72" i="19"/>
  <c r="T72" i="19" s="1"/>
  <c r="G48" i="19"/>
  <c r="T48" i="19" s="1"/>
  <c r="G22" i="19"/>
  <c r="T22" i="19" s="1"/>
  <c r="G12" i="19"/>
  <c r="G315" i="19"/>
  <c r="T315" i="19" s="1"/>
  <c r="G297" i="19"/>
  <c r="T297" i="19" s="1"/>
  <c r="G249" i="19"/>
  <c r="G231" i="19"/>
  <c r="T231" i="19" s="1"/>
  <c r="G161" i="19"/>
  <c r="T161" i="19" s="1"/>
  <c r="G89" i="19"/>
  <c r="T89" i="19" s="1"/>
  <c r="G71" i="19"/>
  <c r="T71" i="19" s="1"/>
  <c r="G49" i="19"/>
  <c r="G45" i="19"/>
  <c r="T45" i="19" s="1"/>
  <c r="Y231" i="19"/>
  <c r="Y223" i="19"/>
  <c r="Y143" i="19"/>
  <c r="Y135" i="19"/>
  <c r="Y127" i="19"/>
  <c r="Y95" i="19"/>
  <c r="Y87" i="19"/>
  <c r="Y71" i="19"/>
  <c r="G310" i="19"/>
  <c r="T310" i="19" s="1"/>
  <c r="G304" i="19"/>
  <c r="T304" i="19" s="1"/>
  <c r="G298" i="19"/>
  <c r="T298" i="19" s="1"/>
  <c r="G288" i="19"/>
  <c r="T288" i="19" s="1"/>
  <c r="G272" i="19"/>
  <c r="G256" i="19"/>
  <c r="T256" i="19" s="1"/>
  <c r="G236" i="19"/>
  <c r="T236" i="19" s="1"/>
  <c r="G230" i="19"/>
  <c r="T230" i="19" s="1"/>
  <c r="G218" i="19"/>
  <c r="T218" i="19" s="1"/>
  <c r="G212" i="19"/>
  <c r="T212" i="19" s="1"/>
  <c r="G204" i="19"/>
  <c r="T204" i="19" s="1"/>
  <c r="G184" i="19"/>
  <c r="T184" i="19" s="1"/>
  <c r="G178" i="19"/>
  <c r="T178" i="19" s="1"/>
  <c r="G168" i="19"/>
  <c r="T168" i="19" s="1"/>
  <c r="G158" i="19"/>
  <c r="G154" i="19"/>
  <c r="T154" i="19" s="1"/>
  <c r="G144" i="19"/>
  <c r="T144" i="19" s="1"/>
  <c r="G138" i="19"/>
  <c r="T138" i="19" s="1"/>
  <c r="G128" i="19"/>
  <c r="T128" i="19" s="1"/>
  <c r="G122" i="19"/>
  <c r="T122" i="19" s="1"/>
  <c r="G114" i="19"/>
  <c r="G102" i="19"/>
  <c r="T102" i="19" s="1"/>
  <c r="G96" i="19"/>
  <c r="T96" i="19" s="1"/>
  <c r="G80" i="19"/>
  <c r="T80" i="19" s="1"/>
  <c r="G40" i="19"/>
  <c r="G32" i="19"/>
  <c r="T32" i="19" s="1"/>
  <c r="G20" i="19"/>
  <c r="T20" i="19" s="1"/>
  <c r="G14" i="19"/>
  <c r="T14" i="19" s="1"/>
  <c r="Y193" i="19"/>
  <c r="Y177" i="19"/>
  <c r="Y113" i="19"/>
  <c r="Y81" i="19"/>
  <c r="Y311" i="19"/>
  <c r="Y303" i="19"/>
  <c r="Y295" i="19"/>
  <c r="Y287" i="19"/>
  <c r="Y279" i="19"/>
  <c r="Y271" i="19"/>
  <c r="Y263" i="19"/>
  <c r="Y255" i="19"/>
  <c r="Y247" i="19"/>
  <c r="Y215" i="19"/>
  <c r="Y207" i="19"/>
  <c r="Y199" i="19"/>
  <c r="Y191" i="19"/>
  <c r="Y175" i="19"/>
  <c r="Y23" i="19"/>
  <c r="Y315" i="19"/>
  <c r="Y307" i="19"/>
  <c r="Y299" i="19"/>
  <c r="Y291" i="19"/>
  <c r="Y283" i="19"/>
  <c r="Y275" i="19"/>
  <c r="Y267" i="19"/>
  <c r="Y259" i="19"/>
  <c r="Y251" i="19"/>
  <c r="Y243" i="19"/>
  <c r="Y235" i="19"/>
  <c r="Y227" i="19"/>
  <c r="Y219" i="19"/>
  <c r="Y211" i="19"/>
  <c r="Y203" i="19"/>
  <c r="Y195" i="19"/>
  <c r="Y187" i="19"/>
  <c r="Y179" i="19"/>
  <c r="Y168" i="19"/>
  <c r="Y163" i="19"/>
  <c r="Y155" i="19"/>
  <c r="Y152" i="19"/>
  <c r="Y147" i="19"/>
  <c r="Y139" i="19"/>
  <c r="Y131" i="19"/>
  <c r="Y123" i="19"/>
  <c r="Y115" i="19"/>
  <c r="Y107" i="19"/>
  <c r="Y99" i="19"/>
  <c r="Y91" i="19"/>
  <c r="Y83" i="19"/>
  <c r="Y75" i="19"/>
  <c r="Y67" i="19"/>
  <c r="Y59" i="19"/>
  <c r="Y51" i="19"/>
  <c r="Y43" i="19"/>
  <c r="Y35" i="19"/>
  <c r="Y32" i="19"/>
  <c r="Y27" i="19"/>
  <c r="Y19" i="19"/>
  <c r="Y11" i="19"/>
  <c r="Y312" i="19"/>
  <c r="Y309" i="19"/>
  <c r="Y304" i="19"/>
  <c r="Y296" i="19"/>
  <c r="Y293" i="19"/>
  <c r="Y288" i="19"/>
  <c r="Y280" i="19"/>
  <c r="Y277" i="19"/>
  <c r="Y272" i="19"/>
  <c r="Y264" i="19"/>
  <c r="Y261" i="19"/>
  <c r="Y256" i="19"/>
  <c r="Y248" i="19"/>
  <c r="Y237" i="19"/>
  <c r="Y229" i="19"/>
  <c r="Y221" i="19"/>
  <c r="Y218" i="19"/>
  <c r="Y210" i="19"/>
  <c r="Y202" i="19"/>
  <c r="Y197" i="19"/>
  <c r="Y194" i="19"/>
  <c r="Y189" i="19"/>
  <c r="Y178" i="19"/>
  <c r="Y176" i="19"/>
  <c r="Y160" i="19"/>
  <c r="Y141" i="19"/>
  <c r="Y133" i="19"/>
  <c r="Y117" i="19"/>
  <c r="Y101" i="19"/>
  <c r="Y85" i="19"/>
  <c r="Y69" i="19"/>
  <c r="Y48" i="19"/>
  <c r="Y21" i="19"/>
  <c r="G312" i="19"/>
  <c r="T312" i="19" s="1"/>
  <c r="G284" i="19"/>
  <c r="T284" i="19" s="1"/>
  <c r="G276" i="19"/>
  <c r="T276" i="19" s="1"/>
  <c r="G270" i="19"/>
  <c r="T270" i="19" s="1"/>
  <c r="G262" i="19"/>
  <c r="T262" i="19" s="1"/>
  <c r="G254" i="19"/>
  <c r="T254" i="19" s="1"/>
  <c r="G246" i="19"/>
  <c r="T246" i="19" s="1"/>
  <c r="G234" i="19"/>
  <c r="T234" i="19" s="1"/>
  <c r="G206" i="19"/>
  <c r="T206" i="19" s="1"/>
  <c r="G300" i="19"/>
  <c r="T300" i="19" s="1"/>
  <c r="G280" i="19"/>
  <c r="T280" i="19" s="1"/>
  <c r="G274" i="19"/>
  <c r="G268" i="19"/>
  <c r="T268" i="19" s="1"/>
  <c r="G258" i="19"/>
  <c r="T258" i="19" s="1"/>
  <c r="G252" i="19"/>
  <c r="T252" i="19" s="1"/>
  <c r="G222" i="19"/>
  <c r="T222" i="19" s="1"/>
  <c r="G216" i="19"/>
  <c r="T216" i="19" s="1"/>
  <c r="G289" i="19"/>
  <c r="G277" i="19"/>
  <c r="T277" i="19" s="1"/>
  <c r="G273" i="19"/>
  <c r="T273" i="19" s="1"/>
  <c r="G261" i="19"/>
  <c r="T261" i="19" s="1"/>
  <c r="G257" i="19"/>
  <c r="G253" i="19"/>
  <c r="T253" i="19" s="1"/>
  <c r="G239" i="19"/>
  <c r="G223" i="19"/>
  <c r="T223" i="19" s="1"/>
  <c r="G205" i="19"/>
  <c r="T205" i="19" s="1"/>
  <c r="G201" i="19"/>
  <c r="G193" i="19"/>
  <c r="T193" i="19" s="1"/>
  <c r="G189" i="19"/>
  <c r="G187" i="19"/>
  <c r="G175" i="19"/>
  <c r="T175" i="19" s="1"/>
  <c r="G169" i="19"/>
  <c r="T169" i="19" s="1"/>
  <c r="G153" i="19"/>
  <c r="G137" i="19"/>
  <c r="T137" i="19" s="1"/>
  <c r="G121" i="19"/>
  <c r="G113" i="19"/>
  <c r="T113" i="19" s="1"/>
  <c r="G105" i="19"/>
  <c r="T105" i="19" s="1"/>
  <c r="G97" i="19"/>
  <c r="T97" i="19" s="1"/>
  <c r="G95" i="19"/>
  <c r="T95" i="19" s="1"/>
  <c r="G85" i="19"/>
  <c r="T85" i="19" s="1"/>
  <c r="G81" i="19"/>
  <c r="T81" i="19" s="1"/>
  <c r="G79" i="19"/>
  <c r="G73" i="19"/>
  <c r="T73" i="19" s="1"/>
  <c r="G69" i="19"/>
  <c r="T69" i="19" s="1"/>
  <c r="G63" i="19"/>
  <c r="T63" i="19" s="1"/>
  <c r="G61" i="19"/>
  <c r="G57" i="19"/>
  <c r="G55" i="19"/>
  <c r="T55" i="19" s="1"/>
  <c r="G53" i="19"/>
  <c r="T53" i="19" s="1"/>
  <c r="G39" i="19"/>
  <c r="T39" i="19" s="1"/>
  <c r="G37" i="19"/>
  <c r="T37" i="19" s="1"/>
  <c r="G33" i="19"/>
  <c r="T33" i="19" s="1"/>
  <c r="G31" i="19"/>
  <c r="G25" i="19"/>
  <c r="T25" i="19" s="1"/>
  <c r="G23" i="19"/>
  <c r="T23" i="19" s="1"/>
  <c r="G308" i="19"/>
  <c r="T308" i="19" s="1"/>
  <c r="G292" i="19"/>
  <c r="T292" i="19" s="1"/>
  <c r="G278" i="19"/>
  <c r="T278" i="19" s="1"/>
  <c r="G266" i="19"/>
  <c r="T266" i="19" s="1"/>
  <c r="G260" i="19"/>
  <c r="T260" i="19" s="1"/>
  <c r="G250" i="19"/>
  <c r="T250" i="19" s="1"/>
  <c r="G242" i="19"/>
  <c r="T242" i="19" s="1"/>
  <c r="G226" i="19"/>
  <c r="T226" i="19" s="1"/>
  <c r="G208" i="19"/>
  <c r="T208" i="19" s="1"/>
  <c r="G305" i="19"/>
  <c r="G269" i="19"/>
  <c r="T269" i="19" s="1"/>
  <c r="G311" i="19"/>
  <c r="T311" i="19" s="1"/>
  <c r="G309" i="19"/>
  <c r="T309" i="19" s="1"/>
  <c r="G307" i="19"/>
  <c r="G303" i="19"/>
  <c r="T303" i="19" s="1"/>
  <c r="G301" i="19"/>
  <c r="T301" i="19" s="1"/>
  <c r="G299" i="19"/>
  <c r="T299" i="19" s="1"/>
  <c r="G295" i="19"/>
  <c r="G293" i="19"/>
  <c r="T293" i="19" s="1"/>
  <c r="G291" i="19"/>
  <c r="G287" i="19"/>
  <c r="G285" i="19"/>
  <c r="T285" i="19" s="1"/>
  <c r="G283" i="19"/>
  <c r="G275" i="19"/>
  <c r="T275" i="19" s="1"/>
  <c r="G267" i="19"/>
  <c r="T267" i="19" s="1"/>
  <c r="G259" i="19"/>
  <c r="T259" i="19" s="1"/>
  <c r="G251" i="19"/>
  <c r="T251" i="19" s="1"/>
  <c r="G243" i="19"/>
  <c r="G241" i="19"/>
  <c r="G237" i="19"/>
  <c r="T237" i="19" s="1"/>
  <c r="G235" i="19"/>
  <c r="T235" i="19" s="1"/>
  <c r="G233" i="19"/>
  <c r="T233" i="19" s="1"/>
  <c r="G229" i="19"/>
  <c r="T229" i="19" s="1"/>
  <c r="G227" i="19"/>
  <c r="G225" i="19"/>
  <c r="G219" i="19"/>
  <c r="T219" i="19" s="1"/>
  <c r="G202" i="19"/>
  <c r="T202" i="19" s="1"/>
  <c r="G200" i="19"/>
  <c r="T200" i="19" s="1"/>
  <c r="G198" i="19"/>
  <c r="T198" i="19" s="1"/>
  <c r="G194" i="19"/>
  <c r="T194" i="19" s="1"/>
  <c r="G192" i="19"/>
  <c r="T192" i="19" s="1"/>
  <c r="G190" i="19"/>
  <c r="T190" i="19" s="1"/>
  <c r="G188" i="19"/>
  <c r="T188" i="19" s="1"/>
  <c r="G182" i="19"/>
  <c r="T182" i="19" s="1"/>
  <c r="G176" i="19"/>
  <c r="T176" i="19" s="1"/>
  <c r="G174" i="19"/>
  <c r="T174" i="19" s="1"/>
  <c r="G172" i="19"/>
  <c r="T172" i="19" s="1"/>
  <c r="G164" i="19"/>
  <c r="T164" i="19" s="1"/>
  <c r="G156" i="19"/>
  <c r="T156" i="19" s="1"/>
  <c r="G148" i="19"/>
  <c r="T148" i="19" s="1"/>
  <c r="G140" i="19"/>
  <c r="T140" i="19" s="1"/>
  <c r="G132" i="19"/>
  <c r="T132" i="19" s="1"/>
  <c r="G124" i="19"/>
  <c r="T124" i="19" s="1"/>
  <c r="G116" i="19"/>
  <c r="T116" i="19" s="1"/>
  <c r="G108" i="19"/>
  <c r="T108" i="19" s="1"/>
  <c r="G100" i="19"/>
  <c r="T100" i="19" s="1"/>
  <c r="G98" i="19"/>
  <c r="T98" i="19" s="1"/>
  <c r="G94" i="19"/>
  <c r="G92" i="19"/>
  <c r="G90" i="19"/>
  <c r="T90" i="19" s="1"/>
  <c r="G86" i="19"/>
  <c r="T86" i="19" s="1"/>
  <c r="G84" i="19"/>
  <c r="T84" i="19" s="1"/>
  <c r="G82" i="19"/>
  <c r="G78" i="19"/>
  <c r="T78" i="19" s="1"/>
  <c r="G76" i="19"/>
  <c r="T76" i="19" s="1"/>
  <c r="G74" i="19"/>
  <c r="G70" i="19"/>
  <c r="G68" i="19"/>
  <c r="T68" i="19" s="1"/>
  <c r="G66" i="19"/>
  <c r="T66" i="19" s="1"/>
  <c r="G62" i="19"/>
  <c r="T62" i="19" s="1"/>
  <c r="G60" i="19"/>
  <c r="T60" i="19" s="1"/>
  <c r="G58" i="19"/>
  <c r="T58" i="19" s="1"/>
  <c r="G54" i="19"/>
  <c r="G52" i="19"/>
  <c r="T52" i="19" s="1"/>
  <c r="G50" i="19"/>
  <c r="G46" i="19"/>
  <c r="T46" i="19" s="1"/>
  <c r="G44" i="19"/>
  <c r="T44" i="19" s="1"/>
  <c r="G42" i="19"/>
  <c r="T42" i="19" s="1"/>
  <c r="G38" i="19"/>
  <c r="T38" i="19" s="1"/>
  <c r="G36" i="19"/>
  <c r="T36" i="19" s="1"/>
  <c r="G34" i="19"/>
  <c r="T34" i="19" s="1"/>
  <c r="G30" i="19"/>
  <c r="T30" i="19" s="1"/>
  <c r="G28" i="19"/>
  <c r="T28" i="19" s="1"/>
  <c r="G26" i="19"/>
  <c r="G24" i="19"/>
  <c r="T24" i="19" s="1"/>
  <c r="G18" i="19"/>
  <c r="T18" i="19" s="1"/>
  <c r="G10" i="19"/>
  <c r="G217" i="19"/>
  <c r="T217" i="19" s="1"/>
  <c r="G215" i="19"/>
  <c r="T215" i="19" s="1"/>
  <c r="G211" i="19"/>
  <c r="G209" i="19"/>
  <c r="G207" i="19"/>
  <c r="T207" i="19" s="1"/>
  <c r="G199" i="19"/>
  <c r="T199" i="19" s="1"/>
  <c r="G191" i="19"/>
  <c r="T191" i="19" s="1"/>
  <c r="G185" i="19"/>
  <c r="T185" i="19" s="1"/>
  <c r="G183" i="19"/>
  <c r="G181" i="19"/>
  <c r="T181" i="19" s="1"/>
  <c r="G177" i="19"/>
  <c r="T177" i="19" s="1"/>
  <c r="G173" i="19"/>
  <c r="G167" i="19"/>
  <c r="T167" i="19" s="1"/>
  <c r="G165" i="19"/>
  <c r="T165" i="19" s="1"/>
  <c r="G163" i="19"/>
  <c r="T163" i="19" s="1"/>
  <c r="G159" i="19"/>
  <c r="G157" i="19"/>
  <c r="G155" i="19"/>
  <c r="T155" i="19" s="1"/>
  <c r="G151" i="19"/>
  <c r="G149" i="19"/>
  <c r="T149" i="19" s="1"/>
  <c r="G147" i="19"/>
  <c r="T147" i="19" s="1"/>
  <c r="G143" i="19"/>
  <c r="T143" i="19" s="1"/>
  <c r="G141" i="19"/>
  <c r="T141" i="19" s="1"/>
  <c r="G139" i="19"/>
  <c r="T139" i="19" s="1"/>
  <c r="G135" i="19"/>
  <c r="G133" i="19"/>
  <c r="G131" i="19"/>
  <c r="T131" i="19" s="1"/>
  <c r="G127" i="19"/>
  <c r="T127" i="19" s="1"/>
  <c r="G125" i="19"/>
  <c r="G123" i="19"/>
  <c r="G119" i="19"/>
  <c r="T119" i="19" s="1"/>
  <c r="G117" i="19"/>
  <c r="T117" i="19" s="1"/>
  <c r="G115" i="19"/>
  <c r="G111" i="19"/>
  <c r="T111" i="19" s="1"/>
  <c r="G109" i="19"/>
  <c r="G107" i="19"/>
  <c r="G103" i="19"/>
  <c r="T103" i="19" s="1"/>
  <c r="G101" i="19"/>
  <c r="T101" i="19" s="1"/>
  <c r="G99" i="19"/>
  <c r="T99" i="19" s="1"/>
  <c r="G91" i="19"/>
  <c r="T91" i="19" s="1"/>
  <c r="G83" i="19"/>
  <c r="G75" i="19"/>
  <c r="T75" i="19" s="1"/>
  <c r="G67" i="19"/>
  <c r="T67" i="19" s="1"/>
  <c r="G59" i="19"/>
  <c r="T59" i="19" s="1"/>
  <c r="G51" i="19"/>
  <c r="T51" i="19" s="1"/>
  <c r="G43" i="19"/>
  <c r="T43" i="19" s="1"/>
  <c r="G35" i="19"/>
  <c r="G27" i="19"/>
  <c r="T27" i="19" s="1"/>
  <c r="G21" i="19"/>
  <c r="G19" i="19"/>
  <c r="G17" i="19"/>
  <c r="T17" i="19" s="1"/>
  <c r="G13" i="19"/>
  <c r="G11" i="19"/>
  <c r="T11" i="19" s="1"/>
  <c r="G9" i="19"/>
  <c r="T9" i="19" s="1"/>
  <c r="Y200" i="19"/>
  <c r="Y216" i="19"/>
  <c r="Y208" i="19"/>
  <c r="Y88" i="19"/>
  <c r="Y80" i="19"/>
  <c r="Y173" i="19"/>
  <c r="Y125" i="19"/>
  <c r="Y53" i="19"/>
  <c r="Y37" i="19"/>
  <c r="Y314" i="19"/>
  <c r="Y306" i="19"/>
  <c r="Y298" i="19"/>
  <c r="Y290" i="19"/>
  <c r="Y282" i="19"/>
  <c r="Y274" i="19"/>
  <c r="Y266" i="19"/>
  <c r="Y258" i="19"/>
  <c r="Y250" i="19"/>
  <c r="Y242" i="19"/>
  <c r="Y234" i="19"/>
  <c r="Y226" i="19"/>
  <c r="Y170" i="19"/>
  <c r="Y162" i="19"/>
  <c r="Y154" i="19"/>
  <c r="Y146" i="19"/>
  <c r="Y138" i="19"/>
  <c r="Y10" i="19"/>
  <c r="Y232" i="19"/>
  <c r="Y192" i="19"/>
  <c r="Y184" i="19"/>
  <c r="Y136" i="19"/>
  <c r="Y128" i="19"/>
  <c r="Y120" i="19"/>
  <c r="Y64" i="19"/>
  <c r="Y40" i="19"/>
  <c r="Y8" i="19"/>
  <c r="Y165" i="19"/>
  <c r="Y157" i="19"/>
  <c r="Y109" i="19"/>
  <c r="Y45" i="19"/>
  <c r="Y29" i="19"/>
  <c r="Y224" i="19"/>
  <c r="Y144" i="19"/>
  <c r="Y112" i="19"/>
  <c r="Y104" i="19"/>
  <c r="Y96" i="19"/>
  <c r="Y72" i="19"/>
  <c r="Y56" i="19"/>
  <c r="Y24" i="19"/>
  <c r="Y16" i="19"/>
  <c r="Y213" i="19"/>
  <c r="Y205" i="19"/>
  <c r="Y181" i="19"/>
  <c r="Y149" i="19"/>
  <c r="Y93" i="19"/>
  <c r="Y77" i="19"/>
  <c r="Y137" i="19"/>
  <c r="Y57" i="19"/>
  <c r="Y49" i="19"/>
  <c r="Y41" i="19"/>
  <c r="Y33" i="19"/>
  <c r="Y25" i="19"/>
  <c r="Y17" i="19"/>
  <c r="Y9" i="19"/>
  <c r="Y13" i="19"/>
  <c r="Y130" i="19"/>
  <c r="Y122" i="19"/>
  <c r="Y114" i="19"/>
  <c r="Y106" i="19"/>
  <c r="Y98" i="19"/>
  <c r="Y90" i="19"/>
  <c r="Y82" i="19"/>
  <c r="Y74" i="19"/>
  <c r="Y66" i="19"/>
  <c r="Y58" i="19"/>
  <c r="Y50" i="19"/>
  <c r="Y42" i="19"/>
  <c r="Y34" i="19"/>
  <c r="Y26" i="19"/>
  <c r="Y18" i="19"/>
  <c r="Y183" i="19"/>
  <c r="Y151" i="19"/>
  <c r="Y55" i="19"/>
  <c r="Y47" i="19"/>
  <c r="Y39" i="19"/>
  <c r="Y31" i="19"/>
  <c r="Y15" i="19"/>
  <c r="L170" i="13"/>
  <c r="M170" i="13" s="1"/>
  <c r="E170" i="49"/>
  <c r="L219" i="13"/>
  <c r="M219" i="13" s="1"/>
  <c r="E219" i="49"/>
  <c r="E244" i="49"/>
  <c r="L244" i="13"/>
  <c r="M244" i="13" s="1"/>
  <c r="Y171" i="19"/>
  <c r="G171" i="19"/>
  <c r="T171" i="19" s="1"/>
  <c r="H170" i="49" s="1"/>
  <c r="D170" i="49"/>
  <c r="Y220" i="19"/>
  <c r="G220" i="19"/>
  <c r="T220" i="19" s="1"/>
  <c r="H219" i="49" s="1"/>
  <c r="D219" i="49"/>
  <c r="Y245" i="19"/>
  <c r="G245" i="19"/>
  <c r="T245" i="19" s="1"/>
  <c r="H244" i="49" s="1"/>
  <c r="D244" i="49"/>
  <c r="Y61" i="19"/>
  <c r="Y132" i="19"/>
  <c r="T241" i="19" l="1"/>
  <c r="R241" i="19"/>
  <c r="U241" i="19" s="1"/>
  <c r="R240" i="19"/>
  <c r="U240" i="19" s="1"/>
  <c r="T240" i="19"/>
  <c r="T239" i="19"/>
  <c r="R239" i="19"/>
  <c r="U239" i="19" s="1"/>
  <c r="R287" i="19"/>
  <c r="U287" i="19" s="1"/>
  <c r="R263" i="19"/>
  <c r="U263" i="19" s="1"/>
  <c r="R212" i="19"/>
  <c r="U212" i="19" s="1"/>
  <c r="R31" i="19"/>
  <c r="U31" i="19" s="1"/>
  <c r="R279" i="19"/>
  <c r="U279" i="19" s="1"/>
  <c r="R15" i="19"/>
  <c r="U15" i="19" s="1"/>
  <c r="R159" i="19"/>
  <c r="U159" i="19" s="1"/>
  <c r="R47" i="19"/>
  <c r="U47" i="19" s="1"/>
  <c r="R48" i="19"/>
  <c r="U48" i="19" s="1"/>
  <c r="R170" i="19"/>
  <c r="U170" i="19" s="1"/>
  <c r="R283" i="19"/>
  <c r="U283" i="19" s="1"/>
  <c r="R315" i="19"/>
  <c r="U315" i="19" s="1"/>
  <c r="R88" i="19"/>
  <c r="U88" i="19" s="1"/>
  <c r="R87" i="19"/>
  <c r="U87" i="19" s="1"/>
  <c r="R57" i="19"/>
  <c r="U57" i="19" s="1"/>
  <c r="R215" i="19"/>
  <c r="U215" i="19" s="1"/>
  <c r="R196" i="19"/>
  <c r="U196" i="19" s="1"/>
  <c r="R16" i="19"/>
  <c r="U16" i="19" s="1"/>
  <c r="R135" i="19"/>
  <c r="U135" i="19" s="1"/>
  <c r="R213" i="19"/>
  <c r="U213" i="19" s="1"/>
  <c r="R10" i="19"/>
  <c r="U10" i="19" s="1"/>
  <c r="R82" i="19"/>
  <c r="U82" i="19" s="1"/>
  <c r="R225" i="19"/>
  <c r="U225" i="19" s="1"/>
  <c r="R265" i="19"/>
  <c r="U265" i="19" s="1"/>
  <c r="R74" i="19"/>
  <c r="U74" i="19" s="1"/>
  <c r="R153" i="19"/>
  <c r="U153" i="19" s="1"/>
  <c r="R71" i="19"/>
  <c r="U71" i="19" s="1"/>
  <c r="T57" i="19"/>
  <c r="R30" i="19"/>
  <c r="U30" i="19" s="1"/>
  <c r="R46" i="19"/>
  <c r="U46" i="19" s="1"/>
  <c r="R193" i="19"/>
  <c r="U193" i="19" s="1"/>
  <c r="T287" i="19"/>
  <c r="R264" i="19"/>
  <c r="U264" i="19" s="1"/>
  <c r="R93" i="19"/>
  <c r="U93" i="19" s="1"/>
  <c r="R182" i="19"/>
  <c r="U182" i="19" s="1"/>
  <c r="R142" i="19"/>
  <c r="U142" i="19" s="1"/>
  <c r="R203" i="19"/>
  <c r="U203" i="19" s="1"/>
  <c r="R165" i="19"/>
  <c r="U165" i="19" s="1"/>
  <c r="R232" i="19"/>
  <c r="U232" i="19" s="1"/>
  <c r="R22" i="19"/>
  <c r="U22" i="19" s="1"/>
  <c r="R32" i="19"/>
  <c r="U32" i="19" s="1"/>
  <c r="R268" i="19"/>
  <c r="U268" i="19" s="1"/>
  <c r="R69" i="19"/>
  <c r="U69" i="19" s="1"/>
  <c r="R147" i="19"/>
  <c r="U147" i="19" s="1"/>
  <c r="R143" i="19"/>
  <c r="U143" i="19" s="1"/>
  <c r="R41" i="19"/>
  <c r="U41" i="19" s="1"/>
  <c r="R303" i="19"/>
  <c r="U303" i="19" s="1"/>
  <c r="T47" i="19"/>
  <c r="T10" i="19"/>
  <c r="R112" i="19"/>
  <c r="U112" i="19" s="1"/>
  <c r="R197" i="19"/>
  <c r="U197" i="19" s="1"/>
  <c r="R286" i="19"/>
  <c r="U286" i="19" s="1"/>
  <c r="R133" i="19"/>
  <c r="U133" i="19" s="1"/>
  <c r="R223" i="19"/>
  <c r="U223" i="19" s="1"/>
  <c r="R95" i="19"/>
  <c r="U95" i="19" s="1"/>
  <c r="R80" i="19"/>
  <c r="U80" i="19" s="1"/>
  <c r="R43" i="19"/>
  <c r="U43" i="19" s="1"/>
  <c r="R108" i="19"/>
  <c r="U108" i="19" s="1"/>
  <c r="R172" i="19"/>
  <c r="U172" i="19" s="1"/>
  <c r="R120" i="19"/>
  <c r="U120" i="19" s="1"/>
  <c r="R38" i="19"/>
  <c r="U38" i="19" s="1"/>
  <c r="R115" i="19"/>
  <c r="U115" i="19" s="1"/>
  <c r="R185" i="19"/>
  <c r="U185" i="19" s="1"/>
  <c r="R60" i="19"/>
  <c r="U60" i="19" s="1"/>
  <c r="R23" i="19"/>
  <c r="U23" i="19" s="1"/>
  <c r="R76" i="19"/>
  <c r="U76" i="19" s="1"/>
  <c r="T87" i="19"/>
  <c r="R117" i="19"/>
  <c r="U117" i="19" s="1"/>
  <c r="R253" i="19"/>
  <c r="U253" i="19" s="1"/>
  <c r="R206" i="19"/>
  <c r="U206" i="19" s="1"/>
  <c r="R50" i="19"/>
  <c r="U50" i="19" s="1"/>
  <c r="R139" i="19"/>
  <c r="U139" i="19" s="1"/>
  <c r="R24" i="19"/>
  <c r="U24" i="19" s="1"/>
  <c r="T159" i="19"/>
  <c r="T82" i="19"/>
  <c r="T31" i="19"/>
  <c r="R109" i="19"/>
  <c r="U109" i="19" s="1"/>
  <c r="R238" i="19"/>
  <c r="U238" i="19" s="1"/>
  <c r="R179" i="19"/>
  <c r="U179" i="19" s="1"/>
  <c r="R119" i="19"/>
  <c r="U119" i="19" s="1"/>
  <c r="R247" i="19"/>
  <c r="U247" i="19" s="1"/>
  <c r="R313" i="19"/>
  <c r="U313" i="19" s="1"/>
  <c r="R34" i="19"/>
  <c r="U34" i="19" s="1"/>
  <c r="R300" i="19"/>
  <c r="U300" i="19" s="1"/>
  <c r="R56" i="19"/>
  <c r="U56" i="19" s="1"/>
  <c r="R184" i="19"/>
  <c r="U184" i="19" s="1"/>
  <c r="R141" i="19"/>
  <c r="U141" i="19" s="1"/>
  <c r="R157" i="19"/>
  <c r="U157" i="19" s="1"/>
  <c r="R183" i="19"/>
  <c r="U183" i="19" s="1"/>
  <c r="R100" i="19"/>
  <c r="U100" i="19" s="1"/>
  <c r="R191" i="19"/>
  <c r="U191" i="19" s="1"/>
  <c r="R255" i="19"/>
  <c r="U255" i="19" s="1"/>
  <c r="R101" i="19"/>
  <c r="U101" i="19" s="1"/>
  <c r="R271" i="19"/>
  <c r="U271" i="19" s="1"/>
  <c r="R234" i="19"/>
  <c r="U234" i="19" s="1"/>
  <c r="R64" i="19"/>
  <c r="U64" i="19" s="1"/>
  <c r="R285" i="19"/>
  <c r="U285" i="19" s="1"/>
  <c r="R91" i="19"/>
  <c r="U91" i="19" s="1"/>
  <c r="R65" i="19"/>
  <c r="U65" i="19" s="1"/>
  <c r="R162" i="19"/>
  <c r="U162" i="19" s="1"/>
  <c r="R195" i="19"/>
  <c r="U195" i="19" s="1"/>
  <c r="R35" i="19"/>
  <c r="U35" i="19" s="1"/>
  <c r="R307" i="19"/>
  <c r="U307" i="19" s="1"/>
  <c r="R174" i="19"/>
  <c r="U174" i="19" s="1"/>
  <c r="R81" i="19"/>
  <c r="U81" i="19" s="1"/>
  <c r="T153" i="19"/>
  <c r="R281" i="19"/>
  <c r="U281" i="19" s="1"/>
  <c r="R29" i="19"/>
  <c r="U29" i="19" s="1"/>
  <c r="T133" i="19"/>
  <c r="R221" i="19"/>
  <c r="U221" i="19" s="1"/>
  <c r="R258" i="19"/>
  <c r="U258" i="19" s="1"/>
  <c r="R237" i="19"/>
  <c r="U237" i="19" s="1"/>
  <c r="R309" i="19"/>
  <c r="U309" i="19" s="1"/>
  <c r="R207" i="19"/>
  <c r="U207" i="19" s="1"/>
  <c r="R243" i="19"/>
  <c r="U243" i="19" s="1"/>
  <c r="R113" i="19"/>
  <c r="U113" i="19" s="1"/>
  <c r="R89" i="19"/>
  <c r="U89" i="19" s="1"/>
  <c r="R299" i="19"/>
  <c r="U299" i="19" s="1"/>
  <c r="R126" i="19"/>
  <c r="U126" i="19" s="1"/>
  <c r="R145" i="19"/>
  <c r="U145" i="19" s="1"/>
  <c r="R154" i="19"/>
  <c r="U154" i="19" s="1"/>
  <c r="T35" i="19"/>
  <c r="T307" i="19"/>
  <c r="R62" i="19"/>
  <c r="U62" i="19" s="1"/>
  <c r="R308" i="19"/>
  <c r="U308" i="19" s="1"/>
  <c r="R84" i="19"/>
  <c r="U84" i="19" s="1"/>
  <c r="R276" i="19"/>
  <c r="U276" i="19" s="1"/>
  <c r="R288" i="19"/>
  <c r="U288" i="19" s="1"/>
  <c r="R14" i="19"/>
  <c r="U14" i="19" s="1"/>
  <c r="R127" i="19"/>
  <c r="U127" i="19" s="1"/>
  <c r="R121" i="19"/>
  <c r="U121" i="19" s="1"/>
  <c r="R201" i="19"/>
  <c r="U201" i="19" s="1"/>
  <c r="R274" i="19"/>
  <c r="U274" i="19" s="1"/>
  <c r="R33" i="19"/>
  <c r="U33" i="19" s="1"/>
  <c r="R161" i="19"/>
  <c r="U161" i="19" s="1"/>
  <c r="R146" i="19"/>
  <c r="U146" i="19" s="1"/>
  <c r="R49" i="19"/>
  <c r="U49" i="19" s="1"/>
  <c r="R12" i="19"/>
  <c r="U12" i="19" s="1"/>
  <c r="R302" i="19"/>
  <c r="U302" i="19" s="1"/>
  <c r="R155" i="19"/>
  <c r="U155" i="19" s="1"/>
  <c r="R129" i="19"/>
  <c r="U129" i="19" s="1"/>
  <c r="R231" i="19"/>
  <c r="U231" i="19" s="1"/>
  <c r="R122" i="19"/>
  <c r="U122" i="19" s="1"/>
  <c r="R169" i="19"/>
  <c r="U169" i="19" s="1"/>
  <c r="R199" i="19"/>
  <c r="U199" i="19" s="1"/>
  <c r="R86" i="19"/>
  <c r="U86" i="19" s="1"/>
  <c r="R150" i="19"/>
  <c r="U150" i="19" s="1"/>
  <c r="R214" i="19"/>
  <c r="U214" i="19" s="1"/>
  <c r="R151" i="19"/>
  <c r="U151" i="19" s="1"/>
  <c r="R211" i="19"/>
  <c r="U211" i="19" s="1"/>
  <c r="R94" i="19"/>
  <c r="U94" i="19" s="1"/>
  <c r="R305" i="19"/>
  <c r="U305" i="19" s="1"/>
  <c r="R79" i="19"/>
  <c r="U79" i="19" s="1"/>
  <c r="R289" i="19"/>
  <c r="U289" i="19" s="1"/>
  <c r="R272" i="19"/>
  <c r="U272" i="19" s="1"/>
  <c r="R28" i="19"/>
  <c r="U28" i="19" s="1"/>
  <c r="R168" i="19"/>
  <c r="U168" i="19" s="1"/>
  <c r="R227" i="19"/>
  <c r="U227" i="19" s="1"/>
  <c r="R295" i="19"/>
  <c r="U295" i="19" s="1"/>
  <c r="R114" i="19"/>
  <c r="U114" i="19" s="1"/>
  <c r="R298" i="19"/>
  <c r="U298" i="19" s="1"/>
  <c r="R110" i="19"/>
  <c r="U110" i="19" s="1"/>
  <c r="R301" i="19"/>
  <c r="U301" i="19" s="1"/>
  <c r="R228" i="19"/>
  <c r="U228" i="19" s="1"/>
  <c r="R304" i="19"/>
  <c r="U304" i="19" s="1"/>
  <c r="R222" i="19"/>
  <c r="U222" i="19" s="1"/>
  <c r="R19" i="19"/>
  <c r="U19" i="19" s="1"/>
  <c r="R102" i="19"/>
  <c r="U102" i="19" s="1"/>
  <c r="R256" i="19"/>
  <c r="U256" i="19" s="1"/>
  <c r="T272" i="19"/>
  <c r="T49" i="19"/>
  <c r="R235" i="19"/>
  <c r="U235" i="19" s="1"/>
  <c r="T12" i="19"/>
  <c r="R27" i="19"/>
  <c r="U27" i="19" s="1"/>
  <c r="T115" i="19"/>
  <c r="T183" i="19"/>
  <c r="T283" i="19"/>
  <c r="R128" i="19"/>
  <c r="U128" i="19" s="1"/>
  <c r="T129" i="19"/>
  <c r="R118" i="19"/>
  <c r="U118" i="19" s="1"/>
  <c r="T74" i="19"/>
  <c r="R262" i="19"/>
  <c r="U262" i="19" s="1"/>
  <c r="R178" i="19"/>
  <c r="U178" i="19" s="1"/>
  <c r="R242" i="19"/>
  <c r="U242" i="19" s="1"/>
  <c r="R306" i="19"/>
  <c r="U306" i="19" s="1"/>
  <c r="R8" i="19"/>
  <c r="U8" i="19" s="1"/>
  <c r="R72" i="19"/>
  <c r="U72" i="19" s="1"/>
  <c r="R163" i="19"/>
  <c r="U163" i="19" s="1"/>
  <c r="R18" i="19"/>
  <c r="U18" i="19" s="1"/>
  <c r="R200" i="19"/>
  <c r="U200" i="19" s="1"/>
  <c r="R257" i="19"/>
  <c r="U257" i="19" s="1"/>
  <c r="R40" i="19"/>
  <c r="U40" i="19" s="1"/>
  <c r="R310" i="19"/>
  <c r="U310" i="19" s="1"/>
  <c r="R249" i="19"/>
  <c r="U249" i="19" s="1"/>
  <c r="R77" i="19"/>
  <c r="U77" i="19" s="1"/>
  <c r="R83" i="19"/>
  <c r="U83" i="19" s="1"/>
  <c r="R224" i="19"/>
  <c r="U224" i="19" s="1"/>
  <c r="R180" i="19"/>
  <c r="U180" i="19" s="1"/>
  <c r="R175" i="19"/>
  <c r="U175" i="19" s="1"/>
  <c r="T157" i="19"/>
  <c r="R105" i="19"/>
  <c r="U105" i="19" s="1"/>
  <c r="R130" i="19"/>
  <c r="U130" i="19" s="1"/>
  <c r="R312" i="19"/>
  <c r="U312" i="19" s="1"/>
  <c r="T305" i="19"/>
  <c r="T114" i="19"/>
  <c r="R138" i="19"/>
  <c r="U138" i="19" s="1"/>
  <c r="T109" i="19"/>
  <c r="R136" i="19"/>
  <c r="U136" i="19" s="1"/>
  <c r="R134" i="19"/>
  <c r="U134" i="19" s="1"/>
  <c r="R198" i="19"/>
  <c r="U198" i="19" s="1"/>
  <c r="R125" i="19"/>
  <c r="U125" i="19" s="1"/>
  <c r="R167" i="19"/>
  <c r="U167" i="19" s="1"/>
  <c r="R26" i="19"/>
  <c r="U26" i="19" s="1"/>
  <c r="R291" i="19"/>
  <c r="U291" i="19" s="1"/>
  <c r="R273" i="19"/>
  <c r="U273" i="19" s="1"/>
  <c r="R96" i="19"/>
  <c r="U96" i="19" s="1"/>
  <c r="R158" i="19"/>
  <c r="U158" i="19" s="1"/>
  <c r="R294" i="19"/>
  <c r="U294" i="19" s="1"/>
  <c r="R42" i="19"/>
  <c r="U42" i="19" s="1"/>
  <c r="T135" i="19"/>
  <c r="T26" i="19"/>
  <c r="R284" i="19"/>
  <c r="U284" i="19" s="1"/>
  <c r="R116" i="19"/>
  <c r="U116" i="19" s="1"/>
  <c r="R244" i="19"/>
  <c r="U244" i="19" s="1"/>
  <c r="T211" i="19"/>
  <c r="T243" i="19"/>
  <c r="R250" i="19"/>
  <c r="U250" i="19" s="1"/>
  <c r="R314" i="19"/>
  <c r="U314" i="19" s="1"/>
  <c r="R137" i="19"/>
  <c r="U137" i="19" s="1"/>
  <c r="T151" i="19"/>
  <c r="R233" i="19"/>
  <c r="U233" i="19" s="1"/>
  <c r="R68" i="19"/>
  <c r="U68" i="19" s="1"/>
  <c r="R55" i="19"/>
  <c r="U55" i="19" s="1"/>
  <c r="T289" i="19"/>
  <c r="T224" i="19"/>
  <c r="T158" i="19"/>
  <c r="R52" i="19"/>
  <c r="U52" i="19" s="1"/>
  <c r="R99" i="19"/>
  <c r="U99" i="19" s="1"/>
  <c r="T201" i="19"/>
  <c r="T77" i="19"/>
  <c r="R111" i="19"/>
  <c r="U111" i="19" s="1"/>
  <c r="T295" i="19"/>
  <c r="T79" i="19"/>
  <c r="R160" i="19"/>
  <c r="U160" i="19" s="1"/>
  <c r="R37" i="19"/>
  <c r="U37" i="19" s="1"/>
  <c r="R148" i="19"/>
  <c r="U148" i="19" s="1"/>
  <c r="R189" i="19"/>
  <c r="U189" i="19" s="1"/>
  <c r="R311" i="19"/>
  <c r="U311" i="19" s="1"/>
  <c r="T294" i="19"/>
  <c r="T83" i="19"/>
  <c r="R131" i="19"/>
  <c r="U131" i="19" s="1"/>
  <c r="T94" i="19"/>
  <c r="T227" i="19"/>
  <c r="R36" i="19"/>
  <c r="U36" i="19" s="1"/>
  <c r="R164" i="19"/>
  <c r="U164" i="19" s="1"/>
  <c r="R292" i="19"/>
  <c r="U292" i="19" s="1"/>
  <c r="R104" i="19"/>
  <c r="U104" i="19" s="1"/>
  <c r="R296" i="19"/>
  <c r="U296" i="19" s="1"/>
  <c r="R53" i="19"/>
  <c r="U53" i="19" s="1"/>
  <c r="R181" i="19"/>
  <c r="U181" i="19" s="1"/>
  <c r="R13" i="19"/>
  <c r="U13" i="19" s="1"/>
  <c r="R59" i="19"/>
  <c r="U59" i="19" s="1"/>
  <c r="R107" i="19"/>
  <c r="U107" i="19" s="1"/>
  <c r="R173" i="19"/>
  <c r="U173" i="19" s="1"/>
  <c r="R209" i="19"/>
  <c r="U209" i="19" s="1"/>
  <c r="R70" i="19"/>
  <c r="U70" i="19" s="1"/>
  <c r="R92" i="19"/>
  <c r="U92" i="19" s="1"/>
  <c r="R188" i="19"/>
  <c r="U188" i="19" s="1"/>
  <c r="R251" i="19"/>
  <c r="U251" i="19" s="1"/>
  <c r="R278" i="19"/>
  <c r="U278" i="19" s="1"/>
  <c r="R248" i="19"/>
  <c r="U248" i="19" s="1"/>
  <c r="R166" i="19"/>
  <c r="U166" i="19" s="1"/>
  <c r="R11" i="19"/>
  <c r="U11" i="19" s="1"/>
  <c r="R275" i="19"/>
  <c r="U275" i="19" s="1"/>
  <c r="R90" i="19"/>
  <c r="U90" i="19" s="1"/>
  <c r="R98" i="19"/>
  <c r="U98" i="19" s="1"/>
  <c r="R297" i="19"/>
  <c r="U297" i="19" s="1"/>
  <c r="R73" i="19"/>
  <c r="U73" i="19" s="1"/>
  <c r="R45" i="19"/>
  <c r="U45" i="19" s="1"/>
  <c r="R210" i="19"/>
  <c r="U210" i="19" s="1"/>
  <c r="R17" i="19"/>
  <c r="U17" i="19" s="1"/>
  <c r="R51" i="19"/>
  <c r="U51" i="19" s="1"/>
  <c r="R219" i="19"/>
  <c r="U219" i="19" s="1"/>
  <c r="R259" i="19"/>
  <c r="U259" i="19" s="1"/>
  <c r="R78" i="19"/>
  <c r="U78" i="19" s="1"/>
  <c r="R266" i="19"/>
  <c r="U266" i="19" s="1"/>
  <c r="R85" i="19"/>
  <c r="U85" i="19" s="1"/>
  <c r="R216" i="19"/>
  <c r="U216" i="19" s="1"/>
  <c r="R106" i="19"/>
  <c r="U106" i="19" s="1"/>
  <c r="R75" i="19"/>
  <c r="U75" i="19" s="1"/>
  <c r="R192" i="19"/>
  <c r="U192" i="19" s="1"/>
  <c r="R205" i="19"/>
  <c r="U205" i="19" s="1"/>
  <c r="R230" i="19"/>
  <c r="U230" i="19" s="1"/>
  <c r="R194" i="19"/>
  <c r="U194" i="19" s="1"/>
  <c r="R226" i="19"/>
  <c r="U226" i="19" s="1"/>
  <c r="R204" i="19"/>
  <c r="U204" i="19" s="1"/>
  <c r="T249" i="19"/>
  <c r="T189" i="19"/>
  <c r="R290" i="19"/>
  <c r="U290" i="19" s="1"/>
  <c r="T19" i="19"/>
  <c r="R103" i="19"/>
  <c r="U103" i="19" s="1"/>
  <c r="T125" i="19"/>
  <c r="R267" i="19"/>
  <c r="U267" i="19" s="1"/>
  <c r="T291" i="19"/>
  <c r="R63" i="19"/>
  <c r="U63" i="19" s="1"/>
  <c r="R144" i="19"/>
  <c r="U144" i="19" s="1"/>
  <c r="R39" i="19"/>
  <c r="U39" i="19" s="1"/>
  <c r="R132" i="19"/>
  <c r="U132" i="19" s="1"/>
  <c r="R190" i="19"/>
  <c r="U190" i="19" s="1"/>
  <c r="R246" i="19"/>
  <c r="U246" i="19" s="1"/>
  <c r="T40" i="19"/>
  <c r="R186" i="19"/>
  <c r="U186" i="19" s="1"/>
  <c r="R156" i="19"/>
  <c r="U156" i="19" s="1"/>
  <c r="R177" i="19"/>
  <c r="U177" i="19" s="1"/>
  <c r="R58" i="19"/>
  <c r="U58" i="19" s="1"/>
  <c r="R236" i="19"/>
  <c r="U236" i="19" s="1"/>
  <c r="R277" i="19"/>
  <c r="U277" i="19" s="1"/>
  <c r="R218" i="19"/>
  <c r="U218" i="19" s="1"/>
  <c r="R282" i="19"/>
  <c r="U282" i="19" s="1"/>
  <c r="R20" i="19"/>
  <c r="U20" i="19" s="1"/>
  <c r="R152" i="19"/>
  <c r="U152" i="19" s="1"/>
  <c r="R280" i="19"/>
  <c r="U280" i="19" s="1"/>
  <c r="R229" i="19"/>
  <c r="U229" i="19" s="1"/>
  <c r="R254" i="19"/>
  <c r="U254" i="19" s="1"/>
  <c r="R9" i="19"/>
  <c r="U9" i="19" s="1"/>
  <c r="R123" i="19"/>
  <c r="U123" i="19" s="1"/>
  <c r="R44" i="19"/>
  <c r="U44" i="19" s="1"/>
  <c r="R66" i="19"/>
  <c r="U66" i="19" s="1"/>
  <c r="R176" i="19"/>
  <c r="U176" i="19" s="1"/>
  <c r="R202" i="19"/>
  <c r="U202" i="19" s="1"/>
  <c r="R61" i="19"/>
  <c r="U61" i="19" s="1"/>
  <c r="R187" i="19"/>
  <c r="U187" i="19" s="1"/>
  <c r="R149" i="19"/>
  <c r="U149" i="19" s="1"/>
  <c r="T209" i="19"/>
  <c r="T225" i="19"/>
  <c r="R293" i="19"/>
  <c r="U293" i="19" s="1"/>
  <c r="T50" i="19"/>
  <c r="T92" i="19"/>
  <c r="R97" i="19"/>
  <c r="U97" i="19" s="1"/>
  <c r="T107" i="19"/>
  <c r="R67" i="19"/>
  <c r="U67" i="19" s="1"/>
  <c r="R270" i="19"/>
  <c r="U270" i="19" s="1"/>
  <c r="R261" i="19"/>
  <c r="U261" i="19" s="1"/>
  <c r="T123" i="19"/>
  <c r="T70" i="19"/>
  <c r="T187" i="19"/>
  <c r="T257" i="19"/>
  <c r="T13" i="19"/>
  <c r="T173" i="19"/>
  <c r="T54" i="19"/>
  <c r="R54" i="19"/>
  <c r="U54" i="19" s="1"/>
  <c r="R208" i="19"/>
  <c r="U208" i="19" s="1"/>
  <c r="R252" i="19"/>
  <c r="U252" i="19" s="1"/>
  <c r="R124" i="19"/>
  <c r="U124" i="19" s="1"/>
  <c r="T121" i="19"/>
  <c r="R25" i="19"/>
  <c r="U25" i="19" s="1"/>
  <c r="R269" i="19"/>
  <c r="U269" i="19" s="1"/>
  <c r="T61" i="19"/>
  <c r="T274" i="19"/>
  <c r="R260" i="19"/>
  <c r="U260" i="19" s="1"/>
  <c r="R140" i="19"/>
  <c r="U140" i="19" s="1"/>
  <c r="R21" i="19"/>
  <c r="U21" i="19" s="1"/>
  <c r="R217" i="19"/>
  <c r="U217" i="19" s="1"/>
  <c r="T21" i="19"/>
  <c r="R220" i="19"/>
  <c r="U220" i="19" s="1"/>
  <c r="R171" i="19"/>
  <c r="F170" i="49" s="1"/>
  <c r="R245" i="19"/>
  <c r="F244" i="49" s="1"/>
  <c r="C287" i="39" l="1"/>
  <c r="C287" i="12"/>
  <c r="C287" i="33"/>
  <c r="F287" i="32"/>
  <c r="G287" i="32" s="1"/>
  <c r="C278" i="39"/>
  <c r="C278" i="12"/>
  <c r="C278" i="33"/>
  <c r="F278" i="32"/>
  <c r="G278" i="32" s="1"/>
  <c r="C6" i="39"/>
  <c r="C6" i="12"/>
  <c r="C6" i="33"/>
  <c r="F6" i="32"/>
  <c r="G6" i="32" s="1"/>
  <c r="C261" i="12"/>
  <c r="C261" i="33"/>
  <c r="C261" i="39"/>
  <c r="F261" i="32"/>
  <c r="G261" i="32" s="1"/>
  <c r="C138" i="12"/>
  <c r="C138" i="39"/>
  <c r="C138" i="33"/>
  <c r="F138" i="32"/>
  <c r="G138" i="32" s="1"/>
  <c r="C250" i="12"/>
  <c r="C250" i="39"/>
  <c r="F250" i="32"/>
  <c r="G250" i="32" s="1"/>
  <c r="C250" i="33"/>
  <c r="C174" i="39"/>
  <c r="C174" i="12"/>
  <c r="F174" i="32"/>
  <c r="G174" i="32" s="1"/>
  <c r="C174" i="33"/>
  <c r="C150" i="39"/>
  <c r="C150" i="12"/>
  <c r="C150" i="33"/>
  <c r="F150" i="32"/>
  <c r="G150" i="32" s="1"/>
  <c r="C154" i="12"/>
  <c r="C154" i="39"/>
  <c r="C154" i="33"/>
  <c r="F154" i="32"/>
  <c r="G154" i="32" s="1"/>
  <c r="C61" i="12"/>
  <c r="C61" i="33"/>
  <c r="C61" i="39"/>
  <c r="F61" i="32"/>
  <c r="G61" i="32" s="1"/>
  <c r="C104" i="39"/>
  <c r="C104" i="12"/>
  <c r="C104" i="33"/>
  <c r="F104" i="32"/>
  <c r="G104" i="32" s="1"/>
  <c r="C15" i="39"/>
  <c r="C15" i="12"/>
  <c r="C15" i="33"/>
  <c r="F15" i="32"/>
  <c r="G15" i="32" s="1"/>
  <c r="C9" i="39"/>
  <c r="F9" i="32"/>
  <c r="G9" i="32" s="1"/>
  <c r="C9" i="12"/>
  <c r="C9" i="33"/>
  <c r="C207" i="39"/>
  <c r="C207" i="12"/>
  <c r="C207" i="33"/>
  <c r="F207" i="32"/>
  <c r="G207" i="32" s="1"/>
  <c r="C102" i="39"/>
  <c r="C102" i="12"/>
  <c r="C102" i="33"/>
  <c r="F102" i="32"/>
  <c r="G102" i="32" s="1"/>
  <c r="C109" i="12"/>
  <c r="F109" i="32"/>
  <c r="G109" i="32" s="1"/>
  <c r="C109" i="39"/>
  <c r="C109" i="33"/>
  <c r="C53" i="12"/>
  <c r="C53" i="39"/>
  <c r="C53" i="33"/>
  <c r="F53" i="32"/>
  <c r="G53" i="32" s="1"/>
  <c r="C156" i="12"/>
  <c r="C156" i="39"/>
  <c r="C156" i="33"/>
  <c r="F156" i="32"/>
  <c r="G156" i="32" s="1"/>
  <c r="C132" i="12"/>
  <c r="C132" i="39"/>
  <c r="C132" i="33"/>
  <c r="F132" i="32"/>
  <c r="G132" i="32" s="1"/>
  <c r="C103" i="39"/>
  <c r="C103" i="12"/>
  <c r="C103" i="33"/>
  <c r="F103" i="32"/>
  <c r="G103" i="32" s="1"/>
  <c r="C308" i="12"/>
  <c r="C308" i="39"/>
  <c r="C308" i="33"/>
  <c r="F308" i="32"/>
  <c r="G308" i="32" s="1"/>
  <c r="C304" i="39"/>
  <c r="C304" i="12"/>
  <c r="C304" i="33"/>
  <c r="F304" i="32"/>
  <c r="G304" i="32" s="1"/>
  <c r="C254" i="39"/>
  <c r="C254" i="12"/>
  <c r="F254" i="32"/>
  <c r="G254" i="32" s="1"/>
  <c r="C254" i="33"/>
  <c r="C296" i="39"/>
  <c r="C296" i="12"/>
  <c r="C296" i="33"/>
  <c r="F296" i="32"/>
  <c r="G296" i="32" s="1"/>
  <c r="C77" i="12"/>
  <c r="C77" i="39"/>
  <c r="C77" i="33"/>
  <c r="F77" i="32"/>
  <c r="G77" i="32" s="1"/>
  <c r="C197" i="12"/>
  <c r="C197" i="33"/>
  <c r="C197" i="39"/>
  <c r="F197" i="32"/>
  <c r="G197" i="32" s="1"/>
  <c r="C47" i="39"/>
  <c r="C47" i="12"/>
  <c r="C47" i="33"/>
  <c r="F47" i="32"/>
  <c r="G47" i="32" s="1"/>
  <c r="C12" i="12"/>
  <c r="C12" i="39"/>
  <c r="C12" i="33"/>
  <c r="F12" i="32"/>
  <c r="G12" i="32" s="1"/>
  <c r="C152" i="39"/>
  <c r="C152" i="12"/>
  <c r="C152" i="33"/>
  <c r="F152" i="32"/>
  <c r="G152" i="32" s="1"/>
  <c r="C307" i="12"/>
  <c r="C307" i="39"/>
  <c r="C307" i="33"/>
  <c r="F307" i="32"/>
  <c r="G307" i="32" s="1"/>
  <c r="C79" i="39"/>
  <c r="C79" i="12"/>
  <c r="C79" i="33"/>
  <c r="F79" i="32"/>
  <c r="G79" i="32" s="1"/>
  <c r="C283" i="12"/>
  <c r="C283" i="39"/>
  <c r="F283" i="32"/>
  <c r="G283" i="32" s="1"/>
  <c r="C283" i="33"/>
  <c r="C181" i="12"/>
  <c r="C181" i="33"/>
  <c r="C181" i="39"/>
  <c r="F181" i="32"/>
  <c r="G181" i="32" s="1"/>
  <c r="C245" i="12"/>
  <c r="C245" i="39"/>
  <c r="C245" i="33"/>
  <c r="F245" i="32"/>
  <c r="G245" i="32" s="1"/>
  <c r="C22" i="39"/>
  <c r="C22" i="12"/>
  <c r="C22" i="33"/>
  <c r="F22" i="32"/>
  <c r="G22" i="32" s="1"/>
  <c r="C21" i="12"/>
  <c r="C21" i="39"/>
  <c r="C21" i="33"/>
  <c r="F21" i="32"/>
  <c r="G21" i="32" s="1"/>
  <c r="C41" i="39"/>
  <c r="C41" i="12"/>
  <c r="F41" i="32"/>
  <c r="G41" i="32" s="1"/>
  <c r="C41" i="33"/>
  <c r="C30" i="39"/>
  <c r="C30" i="12"/>
  <c r="C30" i="33"/>
  <c r="F30" i="32"/>
  <c r="G30" i="32" s="1"/>
  <c r="C262" i="39"/>
  <c r="C262" i="12"/>
  <c r="C262" i="33"/>
  <c r="F262" i="32"/>
  <c r="G262" i="32" s="1"/>
  <c r="C72" i="39"/>
  <c r="C72" i="12"/>
  <c r="C72" i="33"/>
  <c r="F72" i="32"/>
  <c r="G72" i="32" s="1"/>
  <c r="C194" i="12"/>
  <c r="C194" i="39"/>
  <c r="C194" i="33"/>
  <c r="F194" i="32"/>
  <c r="G194" i="32" s="1"/>
  <c r="C46" i="39"/>
  <c r="C46" i="12"/>
  <c r="C46" i="33"/>
  <c r="F46" i="32"/>
  <c r="G46" i="32" s="1"/>
  <c r="C285" i="12"/>
  <c r="C285" i="39"/>
  <c r="C285" i="33"/>
  <c r="F285" i="32"/>
  <c r="G285" i="32" s="1"/>
  <c r="C19" i="12"/>
  <c r="C19" i="39"/>
  <c r="C19" i="33"/>
  <c r="F19" i="32"/>
  <c r="G19" i="32" s="1"/>
  <c r="C175" i="39"/>
  <c r="C175" i="12"/>
  <c r="C175" i="33"/>
  <c r="F175" i="32"/>
  <c r="G175" i="32" s="1"/>
  <c r="C294" i="39"/>
  <c r="C294" i="12"/>
  <c r="F294" i="32"/>
  <c r="G294" i="32" s="1"/>
  <c r="C294" i="33"/>
  <c r="C247" i="39"/>
  <c r="C247" i="12"/>
  <c r="C247" i="33"/>
  <c r="F247" i="32"/>
  <c r="G247" i="32" s="1"/>
  <c r="C10" i="12"/>
  <c r="C10" i="39"/>
  <c r="C10" i="33"/>
  <c r="F10" i="32"/>
  <c r="G10" i="32" s="1"/>
  <c r="C266" i="12"/>
  <c r="C266" i="39"/>
  <c r="C266" i="33"/>
  <c r="F266" i="32"/>
  <c r="G266" i="32" s="1"/>
  <c r="C258" i="12"/>
  <c r="C258" i="39"/>
  <c r="C258" i="33"/>
  <c r="F258" i="32"/>
  <c r="G258" i="32" s="1"/>
  <c r="C206" i="39"/>
  <c r="C206" i="12"/>
  <c r="C206" i="33"/>
  <c r="F206" i="32"/>
  <c r="G206" i="32" s="1"/>
  <c r="C291" i="12"/>
  <c r="C291" i="39"/>
  <c r="C291" i="33"/>
  <c r="F291" i="32"/>
  <c r="G291" i="32" s="1"/>
  <c r="C64" i="39"/>
  <c r="C64" i="12"/>
  <c r="F64" i="32"/>
  <c r="G64" i="32" s="1"/>
  <c r="C64" i="33"/>
  <c r="C18" i="12"/>
  <c r="C18" i="39"/>
  <c r="C18" i="33"/>
  <c r="F18" i="32"/>
  <c r="G18" i="32" s="1"/>
  <c r="C184" i="39"/>
  <c r="C184" i="12"/>
  <c r="C184" i="33"/>
  <c r="F184" i="32"/>
  <c r="G184" i="32" s="1"/>
  <c r="C202" i="12"/>
  <c r="C202" i="39"/>
  <c r="C202" i="33"/>
  <c r="F202" i="32"/>
  <c r="G202" i="32" s="1"/>
  <c r="C214" i="39"/>
  <c r="C214" i="12"/>
  <c r="C214" i="33"/>
  <c r="F214" i="32"/>
  <c r="G214" i="32" s="1"/>
  <c r="C208" i="39"/>
  <c r="C208" i="12"/>
  <c r="C208" i="33"/>
  <c r="F208" i="32"/>
  <c r="G208" i="32" s="1"/>
  <c r="C164" i="12"/>
  <c r="C164" i="39"/>
  <c r="C164" i="33"/>
  <c r="F164" i="32"/>
  <c r="G164" i="32" s="1"/>
  <c r="C171" i="12"/>
  <c r="C171" i="39"/>
  <c r="F171" i="32"/>
  <c r="G171" i="32" s="1"/>
  <c r="C171" i="33"/>
  <c r="C290" i="12"/>
  <c r="C290" i="39"/>
  <c r="F290" i="32"/>
  <c r="G290" i="32" s="1"/>
  <c r="C290" i="33"/>
  <c r="C309" i="12"/>
  <c r="C309" i="39"/>
  <c r="C309" i="33"/>
  <c r="F309" i="32"/>
  <c r="G309" i="32" s="1"/>
  <c r="C66" i="12"/>
  <c r="C66" i="39"/>
  <c r="C66" i="33"/>
  <c r="F66" i="32"/>
  <c r="G66" i="32" s="1"/>
  <c r="C242" i="12"/>
  <c r="C242" i="39"/>
  <c r="F242" i="32"/>
  <c r="G242" i="32" s="1"/>
  <c r="C242" i="33"/>
  <c r="C94" i="39"/>
  <c r="C94" i="12"/>
  <c r="F94" i="32"/>
  <c r="G94" i="32" s="1"/>
  <c r="C94" i="33"/>
  <c r="C134" i="39"/>
  <c r="C134" i="12"/>
  <c r="C134" i="33"/>
  <c r="F134" i="32"/>
  <c r="G134" i="32" s="1"/>
  <c r="C38" i="39"/>
  <c r="C38" i="12"/>
  <c r="C38" i="33"/>
  <c r="F38" i="32"/>
  <c r="G38" i="32" s="1"/>
  <c r="C240" i="39"/>
  <c r="C240" i="12"/>
  <c r="F240" i="32"/>
  <c r="G240" i="32" s="1"/>
  <c r="C240" i="33"/>
  <c r="C100" i="12"/>
  <c r="C100" i="39"/>
  <c r="C100" i="33"/>
  <c r="F100" i="32"/>
  <c r="G100" i="32" s="1"/>
  <c r="C112" i="39"/>
  <c r="C112" i="12"/>
  <c r="F112" i="32"/>
  <c r="G112" i="32" s="1"/>
  <c r="C112" i="33"/>
  <c r="C303" i="39"/>
  <c r="C303" i="12"/>
  <c r="C303" i="33"/>
  <c r="F303" i="32"/>
  <c r="G303" i="32" s="1"/>
  <c r="C167" i="39"/>
  <c r="C167" i="12"/>
  <c r="F167" i="32"/>
  <c r="G167" i="32" s="1"/>
  <c r="C167" i="33"/>
  <c r="C144" i="39"/>
  <c r="C144" i="12"/>
  <c r="C144" i="33"/>
  <c r="F144" i="32"/>
  <c r="G144" i="32" s="1"/>
  <c r="C286" i="39"/>
  <c r="C286" i="12"/>
  <c r="C286" i="33"/>
  <c r="F286" i="32"/>
  <c r="G286" i="32" s="1"/>
  <c r="C143" i="39"/>
  <c r="C143" i="12"/>
  <c r="C143" i="33"/>
  <c r="F143" i="32"/>
  <c r="G143" i="32" s="1"/>
  <c r="C235" i="12"/>
  <c r="C235" i="39"/>
  <c r="C235" i="33"/>
  <c r="F235" i="32"/>
  <c r="G235" i="32" s="1"/>
  <c r="C172" i="12"/>
  <c r="C172" i="39"/>
  <c r="C172" i="33"/>
  <c r="F172" i="32"/>
  <c r="G172" i="32" s="1"/>
  <c r="C62" i="39"/>
  <c r="C62" i="12"/>
  <c r="C62" i="33"/>
  <c r="F62" i="32"/>
  <c r="G62" i="32" s="1"/>
  <c r="C155" i="12"/>
  <c r="C155" i="39"/>
  <c r="F155" i="32"/>
  <c r="G155" i="32" s="1"/>
  <c r="C155" i="33"/>
  <c r="C117" i="12"/>
  <c r="C117" i="39"/>
  <c r="F117" i="32"/>
  <c r="G117" i="32" s="1"/>
  <c r="C117" i="33"/>
  <c r="C137" i="39"/>
  <c r="C137" i="33"/>
  <c r="F137" i="32"/>
  <c r="G137" i="32" s="1"/>
  <c r="C137" i="12"/>
  <c r="C58" i="12"/>
  <c r="C58" i="39"/>
  <c r="C58" i="33"/>
  <c r="F58" i="32"/>
  <c r="G58" i="32" s="1"/>
  <c r="C78" i="39"/>
  <c r="C78" i="12"/>
  <c r="C78" i="33"/>
  <c r="F78" i="32"/>
  <c r="G78" i="32" s="1"/>
  <c r="C20" i="12"/>
  <c r="C20" i="39"/>
  <c r="C20" i="33"/>
  <c r="F20" i="32"/>
  <c r="G20" i="32" s="1"/>
  <c r="C263" i="39"/>
  <c r="C263" i="12"/>
  <c r="C263" i="33"/>
  <c r="F263" i="32"/>
  <c r="G263" i="32" s="1"/>
  <c r="C213" i="12"/>
  <c r="C213" i="33"/>
  <c r="C213" i="39"/>
  <c r="F213" i="32"/>
  <c r="G213" i="32" s="1"/>
  <c r="C45" i="12"/>
  <c r="C45" i="39"/>
  <c r="F45" i="32"/>
  <c r="G45" i="32" s="1"/>
  <c r="C45" i="33"/>
  <c r="C237" i="12"/>
  <c r="C237" i="33"/>
  <c r="C237" i="39"/>
  <c r="F237" i="32"/>
  <c r="G237" i="32" s="1"/>
  <c r="C273" i="39"/>
  <c r="C273" i="12"/>
  <c r="C273" i="33"/>
  <c r="F273" i="32"/>
  <c r="G273" i="32" s="1"/>
  <c r="C292" i="12"/>
  <c r="C292" i="39"/>
  <c r="F292" i="32"/>
  <c r="G292" i="32" s="1"/>
  <c r="C292" i="33"/>
  <c r="C108" i="12"/>
  <c r="C108" i="39"/>
  <c r="C108" i="33"/>
  <c r="F108" i="32"/>
  <c r="G108" i="32" s="1"/>
  <c r="C89" i="39"/>
  <c r="C89" i="12"/>
  <c r="F89" i="32"/>
  <c r="G89" i="32" s="1"/>
  <c r="C89" i="33"/>
  <c r="C106" i="12"/>
  <c r="C106" i="39"/>
  <c r="C106" i="33"/>
  <c r="F106" i="32"/>
  <c r="G106" i="32" s="1"/>
  <c r="C91" i="12"/>
  <c r="C91" i="39"/>
  <c r="C91" i="33"/>
  <c r="F91" i="32"/>
  <c r="G91" i="32" s="1"/>
  <c r="C52" i="12"/>
  <c r="C52" i="39"/>
  <c r="C52" i="33"/>
  <c r="F52" i="32"/>
  <c r="G52" i="32" s="1"/>
  <c r="C259" i="12"/>
  <c r="C259" i="39"/>
  <c r="C259" i="33"/>
  <c r="F259" i="32"/>
  <c r="G259" i="32" s="1"/>
  <c r="C42" i="12"/>
  <c r="C42" i="39"/>
  <c r="C42" i="33"/>
  <c r="F42" i="32"/>
  <c r="G42" i="32" s="1"/>
  <c r="C280" i="39"/>
  <c r="C280" i="12"/>
  <c r="C280" i="33"/>
  <c r="F280" i="32"/>
  <c r="G280" i="32" s="1"/>
  <c r="C265" i="39"/>
  <c r="C265" i="12"/>
  <c r="C265" i="33"/>
  <c r="F265" i="32"/>
  <c r="G265" i="32" s="1"/>
  <c r="C224" i="39"/>
  <c r="C224" i="12"/>
  <c r="C224" i="33"/>
  <c r="F224" i="32"/>
  <c r="G224" i="32" s="1"/>
  <c r="C83" i="12"/>
  <c r="C83" i="39"/>
  <c r="F83" i="32"/>
  <c r="G83" i="32" s="1"/>
  <c r="C83" i="33"/>
  <c r="C43" i="12"/>
  <c r="C43" i="39"/>
  <c r="C43" i="33"/>
  <c r="F43" i="32"/>
  <c r="G43" i="32" s="1"/>
  <c r="C246" i="39"/>
  <c r="C246" i="12"/>
  <c r="C246" i="33"/>
  <c r="F246" i="32"/>
  <c r="G246" i="32" s="1"/>
  <c r="C105" i="39"/>
  <c r="C105" i="12"/>
  <c r="C105" i="33"/>
  <c r="F105" i="32"/>
  <c r="G105" i="32" s="1"/>
  <c r="C162" i="12"/>
  <c r="C162" i="39"/>
  <c r="C162" i="33"/>
  <c r="F162" i="32"/>
  <c r="G162" i="32" s="1"/>
  <c r="C187" i="12"/>
  <c r="C187" i="39"/>
  <c r="F187" i="32"/>
  <c r="G187" i="32" s="1"/>
  <c r="C187" i="33"/>
  <c r="C231" i="39"/>
  <c r="C231" i="12"/>
  <c r="C231" i="33"/>
  <c r="F231" i="32"/>
  <c r="G231" i="32" s="1"/>
  <c r="C114" i="12"/>
  <c r="C114" i="39"/>
  <c r="C114" i="33"/>
  <c r="F114" i="32"/>
  <c r="G114" i="32" s="1"/>
  <c r="C271" i="39"/>
  <c r="C271" i="12"/>
  <c r="F271" i="32"/>
  <c r="G271" i="32" s="1"/>
  <c r="C271" i="33"/>
  <c r="C173" i="12"/>
  <c r="C173" i="33"/>
  <c r="F173" i="32"/>
  <c r="G173" i="32" s="1"/>
  <c r="C173" i="39"/>
  <c r="C255" i="39"/>
  <c r="C255" i="12"/>
  <c r="C255" i="33"/>
  <c r="F255" i="32"/>
  <c r="G255" i="32" s="1"/>
  <c r="C176" i="39"/>
  <c r="C176" i="12"/>
  <c r="C176" i="33"/>
  <c r="F176" i="32"/>
  <c r="G176" i="32" s="1"/>
  <c r="C17" i="39"/>
  <c r="C17" i="33"/>
  <c r="F17" i="32"/>
  <c r="G17" i="32" s="1"/>
  <c r="C17" i="12"/>
  <c r="C293" i="12"/>
  <c r="C293" i="39"/>
  <c r="C293" i="33"/>
  <c r="F293" i="32"/>
  <c r="G293" i="32" s="1"/>
  <c r="C92" i="12"/>
  <c r="C92" i="39"/>
  <c r="C92" i="33"/>
  <c r="F92" i="32"/>
  <c r="G92" i="32" s="1"/>
  <c r="C120" i="39"/>
  <c r="C120" i="12"/>
  <c r="F120" i="32"/>
  <c r="G120" i="32" s="1"/>
  <c r="C120" i="33"/>
  <c r="C159" i="39"/>
  <c r="C159" i="12"/>
  <c r="C159" i="33"/>
  <c r="F159" i="32"/>
  <c r="G159" i="32" s="1"/>
  <c r="C274" i="12"/>
  <c r="C274" i="39"/>
  <c r="C274" i="33"/>
  <c r="F274" i="32"/>
  <c r="G274" i="32" s="1"/>
  <c r="C124" i="12"/>
  <c r="C124" i="39"/>
  <c r="C124" i="33"/>
  <c r="F124" i="32"/>
  <c r="G124" i="32" s="1"/>
  <c r="C256" i="39"/>
  <c r="C256" i="12"/>
  <c r="F256" i="32"/>
  <c r="G256" i="32" s="1"/>
  <c r="C256" i="33"/>
  <c r="C305" i="39"/>
  <c r="C305" i="12"/>
  <c r="C305" i="33"/>
  <c r="F305" i="32"/>
  <c r="G305" i="32" s="1"/>
  <c r="C232" i="39"/>
  <c r="C232" i="12"/>
  <c r="C232" i="33"/>
  <c r="F232" i="32"/>
  <c r="G232" i="32" s="1"/>
  <c r="C139" i="12"/>
  <c r="C139" i="39"/>
  <c r="C139" i="33"/>
  <c r="F139" i="32"/>
  <c r="G139" i="32" s="1"/>
  <c r="C177" i="39"/>
  <c r="C177" i="33"/>
  <c r="C177" i="12"/>
  <c r="F177" i="32"/>
  <c r="G177" i="32" s="1"/>
  <c r="C48" i="39"/>
  <c r="C48" i="12"/>
  <c r="C48" i="33"/>
  <c r="F48" i="32"/>
  <c r="G48" i="32" s="1"/>
  <c r="C183" i="39"/>
  <c r="C183" i="12"/>
  <c r="C183" i="33"/>
  <c r="F183" i="32"/>
  <c r="G183" i="32" s="1"/>
  <c r="C93" i="12"/>
  <c r="C93" i="39"/>
  <c r="C93" i="33"/>
  <c r="F93" i="32"/>
  <c r="G93" i="32" s="1"/>
  <c r="C301" i="12"/>
  <c r="C301" i="33"/>
  <c r="F301" i="32"/>
  <c r="G301" i="32" s="1"/>
  <c r="C301" i="39"/>
  <c r="C230" i="39"/>
  <c r="C230" i="12"/>
  <c r="C230" i="33"/>
  <c r="F230" i="32"/>
  <c r="G230" i="32" s="1"/>
  <c r="C191" i="39"/>
  <c r="C191" i="12"/>
  <c r="C191" i="33"/>
  <c r="F191" i="32"/>
  <c r="G191" i="32" s="1"/>
  <c r="C223" i="39"/>
  <c r="C223" i="12"/>
  <c r="C223" i="33"/>
  <c r="F223" i="32"/>
  <c r="G223" i="32" s="1"/>
  <c r="C55" i="39"/>
  <c r="C55" i="12"/>
  <c r="C55" i="33"/>
  <c r="F55" i="32"/>
  <c r="G55" i="32" s="1"/>
  <c r="C157" i="12"/>
  <c r="C157" i="33"/>
  <c r="C157" i="39"/>
  <c r="F157" i="32"/>
  <c r="G157" i="32" s="1"/>
  <c r="C122" i="12"/>
  <c r="C122" i="39"/>
  <c r="C122" i="33"/>
  <c r="F122" i="32"/>
  <c r="G122" i="32" s="1"/>
  <c r="C49" i="39"/>
  <c r="C49" i="12"/>
  <c r="C49" i="33"/>
  <c r="F49" i="32"/>
  <c r="G49" i="32" s="1"/>
  <c r="C128" i="39"/>
  <c r="C128" i="12"/>
  <c r="C128" i="33"/>
  <c r="F128" i="32"/>
  <c r="G128" i="32" s="1"/>
  <c r="C74" i="12"/>
  <c r="C74" i="39"/>
  <c r="C74" i="33"/>
  <c r="F74" i="32"/>
  <c r="G74" i="32" s="1"/>
  <c r="C14" i="39"/>
  <c r="C14" i="12"/>
  <c r="C14" i="33"/>
  <c r="F14" i="32"/>
  <c r="G14" i="32" s="1"/>
  <c r="C268" i="12"/>
  <c r="C268" i="39"/>
  <c r="C268" i="33"/>
  <c r="F268" i="32"/>
  <c r="G268" i="32" s="1"/>
  <c r="C121" i="39"/>
  <c r="C121" i="12"/>
  <c r="C121" i="33"/>
  <c r="F121" i="32"/>
  <c r="G121" i="32" s="1"/>
  <c r="C216" i="39"/>
  <c r="C216" i="12"/>
  <c r="C216" i="33"/>
  <c r="F216" i="32"/>
  <c r="G216" i="32" s="1"/>
  <c r="C244" i="12"/>
  <c r="C244" i="39"/>
  <c r="F244" i="32"/>
  <c r="G244" i="32" s="1"/>
  <c r="C244" i="33"/>
  <c r="C192" i="39"/>
  <c r="C192" i="12"/>
  <c r="C192" i="33"/>
  <c r="F192" i="32"/>
  <c r="G192" i="32" s="1"/>
  <c r="C264" i="39"/>
  <c r="C264" i="12"/>
  <c r="C264" i="33"/>
  <c r="F264" i="32"/>
  <c r="G264" i="32" s="1"/>
  <c r="C71" i="39"/>
  <c r="C71" i="12"/>
  <c r="F71" i="32"/>
  <c r="G71" i="32" s="1"/>
  <c r="C71" i="33"/>
  <c r="C276" i="12"/>
  <c r="C276" i="39"/>
  <c r="C276" i="33"/>
  <c r="F276" i="32"/>
  <c r="G276" i="32" s="1"/>
  <c r="C57" i="39"/>
  <c r="C57" i="33"/>
  <c r="F57" i="32"/>
  <c r="G57" i="32" s="1"/>
  <c r="C57" i="12"/>
  <c r="C34" i="12"/>
  <c r="C34" i="39"/>
  <c r="C34" i="33"/>
  <c r="F34" i="32"/>
  <c r="G34" i="32" s="1"/>
  <c r="C146" i="12"/>
  <c r="C146" i="39"/>
  <c r="C146" i="33"/>
  <c r="F146" i="32"/>
  <c r="G146" i="32" s="1"/>
  <c r="C97" i="39"/>
  <c r="C97" i="12"/>
  <c r="C97" i="33"/>
  <c r="F97" i="32"/>
  <c r="G97" i="32" s="1"/>
  <c r="C282" i="12"/>
  <c r="C282" i="39"/>
  <c r="C282" i="33"/>
  <c r="F282" i="32"/>
  <c r="G282" i="32" s="1"/>
  <c r="C289" i="39"/>
  <c r="C289" i="12"/>
  <c r="C289" i="33"/>
  <c r="F289" i="32"/>
  <c r="G289" i="32" s="1"/>
  <c r="C136" i="39"/>
  <c r="C136" i="12"/>
  <c r="C136" i="33"/>
  <c r="F136" i="32"/>
  <c r="G136" i="32" s="1"/>
  <c r="C178" i="12"/>
  <c r="C178" i="39"/>
  <c r="C178" i="33"/>
  <c r="F178" i="32"/>
  <c r="G178" i="32" s="1"/>
  <c r="C198" i="39"/>
  <c r="C198" i="12"/>
  <c r="F198" i="32"/>
  <c r="G198" i="32" s="1"/>
  <c r="C198" i="33"/>
  <c r="C260" i="12"/>
  <c r="C260" i="39"/>
  <c r="F260" i="32"/>
  <c r="G260" i="32" s="1"/>
  <c r="C260" i="33"/>
  <c r="C25" i="39"/>
  <c r="C25" i="12"/>
  <c r="C25" i="33"/>
  <c r="F25" i="32"/>
  <c r="G25" i="32" s="1"/>
  <c r="C220" i="12"/>
  <c r="C220" i="39"/>
  <c r="F220" i="32"/>
  <c r="G220" i="32" s="1"/>
  <c r="C220" i="33"/>
  <c r="C225" i="39"/>
  <c r="C225" i="12"/>
  <c r="C225" i="33"/>
  <c r="F225" i="32"/>
  <c r="G225" i="32" s="1"/>
  <c r="C209" i="39"/>
  <c r="C209" i="12"/>
  <c r="C209" i="33"/>
  <c r="F209" i="32"/>
  <c r="G209" i="32" s="1"/>
  <c r="C229" i="12"/>
  <c r="C229" i="33"/>
  <c r="C229" i="39"/>
  <c r="F229" i="32"/>
  <c r="G229" i="32" s="1"/>
  <c r="C31" i="39"/>
  <c r="C31" i="12"/>
  <c r="C31" i="33"/>
  <c r="F31" i="32"/>
  <c r="G31" i="32" s="1"/>
  <c r="C82" i="12"/>
  <c r="C82" i="39"/>
  <c r="C82" i="33"/>
  <c r="F82" i="32"/>
  <c r="G82" i="32" s="1"/>
  <c r="C297" i="39"/>
  <c r="C297" i="12"/>
  <c r="C297" i="33"/>
  <c r="F297" i="32"/>
  <c r="G297" i="32" s="1"/>
  <c r="C219" i="12"/>
  <c r="C219" i="39"/>
  <c r="C219" i="33"/>
  <c r="F219" i="32"/>
  <c r="G219" i="32" s="1"/>
  <c r="C33" i="39"/>
  <c r="C33" i="12"/>
  <c r="C33" i="33"/>
  <c r="F33" i="32"/>
  <c r="G33" i="32" s="1"/>
  <c r="C269" i="12"/>
  <c r="C269" i="39"/>
  <c r="C269" i="33"/>
  <c r="F269" i="32"/>
  <c r="G269" i="32" s="1"/>
  <c r="C182" i="39"/>
  <c r="C182" i="12"/>
  <c r="F182" i="32"/>
  <c r="G182" i="32" s="1"/>
  <c r="C182" i="33"/>
  <c r="C236" i="12"/>
  <c r="C236" i="39"/>
  <c r="C236" i="33"/>
  <c r="F236" i="32"/>
  <c r="G236" i="32" s="1"/>
  <c r="C204" i="12"/>
  <c r="C204" i="39"/>
  <c r="C204" i="33"/>
  <c r="F204" i="32"/>
  <c r="G204" i="32" s="1"/>
  <c r="C113" i="39"/>
  <c r="C113" i="12"/>
  <c r="C113" i="33"/>
  <c r="F113" i="32"/>
  <c r="G113" i="32" s="1"/>
  <c r="C221" i="12"/>
  <c r="C221" i="33"/>
  <c r="C221" i="39"/>
  <c r="F221" i="32"/>
  <c r="G221" i="32" s="1"/>
  <c r="C39" i="39"/>
  <c r="C39" i="12"/>
  <c r="C39" i="33"/>
  <c r="F39" i="32"/>
  <c r="G39" i="32" s="1"/>
  <c r="C163" i="12"/>
  <c r="C163" i="39"/>
  <c r="C163" i="33"/>
  <c r="F163" i="32"/>
  <c r="G163" i="32" s="1"/>
  <c r="C44" i="12"/>
  <c r="C44" i="39"/>
  <c r="C44" i="33"/>
  <c r="F44" i="32"/>
  <c r="G44" i="32" s="1"/>
  <c r="C80" i="39"/>
  <c r="C80" i="12"/>
  <c r="C80" i="33"/>
  <c r="F80" i="32"/>
  <c r="G80" i="32" s="1"/>
  <c r="C85" i="12"/>
  <c r="C85" i="39"/>
  <c r="C85" i="33"/>
  <c r="F85" i="32"/>
  <c r="G85" i="32" s="1"/>
  <c r="C13" i="12"/>
  <c r="C13" i="39"/>
  <c r="F13" i="32"/>
  <c r="G13" i="32" s="1"/>
  <c r="C13" i="33"/>
  <c r="C73" i="39"/>
  <c r="C73" i="33"/>
  <c r="C73" i="12"/>
  <c r="F73" i="32"/>
  <c r="G73" i="32" s="1"/>
  <c r="C126" i="39"/>
  <c r="C126" i="12"/>
  <c r="C126" i="33"/>
  <c r="F126" i="32"/>
  <c r="G126" i="32" s="1"/>
  <c r="C205" i="12"/>
  <c r="C205" i="39"/>
  <c r="C205" i="33"/>
  <c r="F205" i="32"/>
  <c r="G205" i="32" s="1"/>
  <c r="C110" i="39"/>
  <c r="C110" i="12"/>
  <c r="C110" i="33"/>
  <c r="F110" i="32"/>
  <c r="G110" i="32" s="1"/>
  <c r="C65" i="39"/>
  <c r="C65" i="33"/>
  <c r="C65" i="12"/>
  <c r="F65" i="32"/>
  <c r="G65" i="32" s="1"/>
  <c r="C147" i="12"/>
  <c r="C147" i="39"/>
  <c r="C147" i="33"/>
  <c r="F147" i="32"/>
  <c r="G147" i="32" s="1"/>
  <c r="C7" i="39"/>
  <c r="C7" i="12"/>
  <c r="C7" i="33"/>
  <c r="F7" i="32"/>
  <c r="G7" i="32" s="1"/>
  <c r="C275" i="12"/>
  <c r="C275" i="39"/>
  <c r="C275" i="33"/>
  <c r="F275" i="32"/>
  <c r="G275" i="32" s="1"/>
  <c r="C188" i="12"/>
  <c r="C188" i="39"/>
  <c r="C188" i="33"/>
  <c r="F188" i="32"/>
  <c r="G188" i="32" s="1"/>
  <c r="C101" i="12"/>
  <c r="C101" i="39"/>
  <c r="C101" i="33"/>
  <c r="F101" i="32"/>
  <c r="G101" i="32" s="1"/>
  <c r="C228" i="12"/>
  <c r="C228" i="39"/>
  <c r="C228" i="33"/>
  <c r="F228" i="32"/>
  <c r="G228" i="32" s="1"/>
  <c r="C76" i="12"/>
  <c r="C76" i="39"/>
  <c r="C76" i="33"/>
  <c r="F76" i="32"/>
  <c r="G76" i="32" s="1"/>
  <c r="C295" i="39"/>
  <c r="C295" i="12"/>
  <c r="C295" i="33"/>
  <c r="F295" i="32"/>
  <c r="G295" i="32" s="1"/>
  <c r="C249" i="39"/>
  <c r="C249" i="12"/>
  <c r="C249" i="33"/>
  <c r="F249" i="32"/>
  <c r="G249" i="32" s="1"/>
  <c r="C11" i="12"/>
  <c r="C11" i="39"/>
  <c r="C11" i="33"/>
  <c r="F11" i="32"/>
  <c r="G11" i="32" s="1"/>
  <c r="C35" i="12"/>
  <c r="C35" i="39"/>
  <c r="C35" i="33"/>
  <c r="F35" i="32"/>
  <c r="G35" i="32" s="1"/>
  <c r="C50" i="12"/>
  <c r="C50" i="39"/>
  <c r="C50" i="33"/>
  <c r="F50" i="32"/>
  <c r="G50" i="32" s="1"/>
  <c r="C135" i="39"/>
  <c r="C135" i="12"/>
  <c r="C135" i="33"/>
  <c r="F135" i="32"/>
  <c r="G135" i="32" s="1"/>
  <c r="C24" i="39"/>
  <c r="C24" i="12"/>
  <c r="C24" i="33"/>
  <c r="F24" i="32"/>
  <c r="G24" i="32" s="1"/>
  <c r="C222" i="39"/>
  <c r="C222" i="12"/>
  <c r="C222" i="33"/>
  <c r="F222" i="32"/>
  <c r="G222" i="32" s="1"/>
  <c r="C16" i="39"/>
  <c r="C16" i="12"/>
  <c r="C16" i="33"/>
  <c r="F16" i="32"/>
  <c r="G16" i="32" s="1"/>
  <c r="C302" i="39"/>
  <c r="C302" i="12"/>
  <c r="C302" i="33"/>
  <c r="F302" i="32"/>
  <c r="G302" i="32" s="1"/>
  <c r="C166" i="39"/>
  <c r="C166" i="12"/>
  <c r="F166" i="32"/>
  <c r="G166" i="32" s="1"/>
  <c r="C166" i="33"/>
  <c r="C149" i="12"/>
  <c r="C149" i="33"/>
  <c r="C149" i="39"/>
  <c r="F149" i="32"/>
  <c r="G149" i="32" s="1"/>
  <c r="C127" i="39"/>
  <c r="C127" i="12"/>
  <c r="C127" i="33"/>
  <c r="F127" i="32"/>
  <c r="G127" i="32" s="1"/>
  <c r="C272" i="39"/>
  <c r="C272" i="12"/>
  <c r="C272" i="33"/>
  <c r="F272" i="32"/>
  <c r="G272" i="32" s="1"/>
  <c r="C306" i="12"/>
  <c r="C306" i="39"/>
  <c r="F306" i="32"/>
  <c r="G306" i="32" s="1"/>
  <c r="C306" i="33"/>
  <c r="C87" i="39"/>
  <c r="C87" i="12"/>
  <c r="C87" i="33"/>
  <c r="F87" i="32"/>
  <c r="G87" i="32" s="1"/>
  <c r="C193" i="39"/>
  <c r="C193" i="12"/>
  <c r="C193" i="33"/>
  <c r="F193" i="32"/>
  <c r="G193" i="32" s="1"/>
  <c r="C99" i="12"/>
  <c r="C99" i="39"/>
  <c r="C99" i="33"/>
  <c r="F99" i="32"/>
  <c r="G99" i="32" s="1"/>
  <c r="C54" i="39"/>
  <c r="C54" i="12"/>
  <c r="C54" i="33"/>
  <c r="F54" i="32"/>
  <c r="G54" i="32" s="1"/>
  <c r="C107" i="12"/>
  <c r="C107" i="39"/>
  <c r="C107" i="33"/>
  <c r="F107" i="32"/>
  <c r="G107" i="32" s="1"/>
  <c r="C251" i="12"/>
  <c r="C251" i="39"/>
  <c r="C251" i="33"/>
  <c r="F251" i="32"/>
  <c r="G251" i="32" s="1"/>
  <c r="C36" i="12"/>
  <c r="C36" i="39"/>
  <c r="C36" i="33"/>
  <c r="F36" i="32"/>
  <c r="G36" i="32" s="1"/>
  <c r="C131" i="12"/>
  <c r="C131" i="39"/>
  <c r="C131" i="33"/>
  <c r="F131" i="32"/>
  <c r="G131" i="32" s="1"/>
  <c r="C141" i="12"/>
  <c r="C141" i="39"/>
  <c r="C141" i="33"/>
  <c r="F141" i="32"/>
  <c r="G141" i="32" s="1"/>
  <c r="C201" i="39"/>
  <c r="C201" i="33"/>
  <c r="C201" i="12"/>
  <c r="F201" i="32"/>
  <c r="G201" i="32" s="1"/>
  <c r="C28" i="12"/>
  <c r="C28" i="39"/>
  <c r="C28" i="33"/>
  <c r="F28" i="32"/>
  <c r="G28" i="32" s="1"/>
  <c r="C8" i="39"/>
  <c r="C8" i="12"/>
  <c r="C8" i="33"/>
  <c r="F8" i="32"/>
  <c r="G8" i="32" s="1"/>
  <c r="C86" i="39"/>
  <c r="C86" i="12"/>
  <c r="F86" i="32"/>
  <c r="G86" i="32" s="1"/>
  <c r="C86" i="33"/>
  <c r="C277" i="12"/>
  <c r="C277" i="39"/>
  <c r="C277" i="33"/>
  <c r="F277" i="32"/>
  <c r="G277" i="32" s="1"/>
  <c r="C238" i="39"/>
  <c r="C238" i="12"/>
  <c r="C238" i="33"/>
  <c r="F238" i="32"/>
  <c r="G238" i="32" s="1"/>
  <c r="C142" i="39"/>
  <c r="C142" i="12"/>
  <c r="C142" i="33"/>
  <c r="F142" i="32"/>
  <c r="G142" i="32" s="1"/>
  <c r="C84" i="12"/>
  <c r="C84" i="39"/>
  <c r="C84" i="33"/>
  <c r="F84" i="32"/>
  <c r="G84" i="32" s="1"/>
  <c r="C311" i="39"/>
  <c r="C311" i="12"/>
  <c r="C311" i="33"/>
  <c r="F311" i="32"/>
  <c r="G311" i="32" s="1"/>
  <c r="C151" i="39"/>
  <c r="C151" i="12"/>
  <c r="F151" i="32"/>
  <c r="G151" i="32" s="1"/>
  <c r="C151" i="33"/>
  <c r="C267" i="12"/>
  <c r="C267" i="39"/>
  <c r="C267" i="33"/>
  <c r="F267" i="32"/>
  <c r="G267" i="32" s="1"/>
  <c r="C23" i="39"/>
  <c r="C23" i="12"/>
  <c r="C23" i="33"/>
  <c r="F23" i="32"/>
  <c r="G23" i="32" s="1"/>
  <c r="C185" i="39"/>
  <c r="C185" i="33"/>
  <c r="C185" i="12"/>
  <c r="F185" i="32"/>
  <c r="G185" i="32" s="1"/>
  <c r="C252" i="12"/>
  <c r="C252" i="39"/>
  <c r="F252" i="32"/>
  <c r="G252" i="32" s="1"/>
  <c r="C252" i="33"/>
  <c r="C234" i="12"/>
  <c r="C234" i="39"/>
  <c r="C234" i="33"/>
  <c r="F234" i="32"/>
  <c r="G234" i="32" s="1"/>
  <c r="C130" i="12"/>
  <c r="C130" i="39"/>
  <c r="C130" i="33"/>
  <c r="F130" i="32"/>
  <c r="G130" i="32" s="1"/>
  <c r="C203" i="12"/>
  <c r="C203" i="39"/>
  <c r="C203" i="33"/>
  <c r="F203" i="32"/>
  <c r="G203" i="32" s="1"/>
  <c r="C257" i="39"/>
  <c r="C257" i="12"/>
  <c r="C257" i="33"/>
  <c r="F257" i="32"/>
  <c r="G257" i="32" s="1"/>
  <c r="C96" i="39"/>
  <c r="C96" i="12"/>
  <c r="C96" i="33"/>
  <c r="F96" i="32"/>
  <c r="G96" i="32" s="1"/>
  <c r="C186" i="12"/>
  <c r="C186" i="39"/>
  <c r="C186" i="33"/>
  <c r="F186" i="32"/>
  <c r="G186" i="32" s="1"/>
  <c r="C179" i="12"/>
  <c r="C179" i="39"/>
  <c r="F179" i="32"/>
  <c r="G179" i="32" s="1"/>
  <c r="C179" i="33"/>
  <c r="C158" i="39"/>
  <c r="C158" i="12"/>
  <c r="C158" i="33"/>
  <c r="F158" i="32"/>
  <c r="G158" i="32" s="1"/>
  <c r="C312" i="39"/>
  <c r="C312" i="12"/>
  <c r="C312" i="33"/>
  <c r="F312" i="32"/>
  <c r="G312" i="32" s="1"/>
  <c r="C165" i="12"/>
  <c r="C165" i="33"/>
  <c r="C165" i="39"/>
  <c r="F165" i="32"/>
  <c r="G165" i="32" s="1"/>
  <c r="C81" i="39"/>
  <c r="C81" i="33"/>
  <c r="C81" i="12"/>
  <c r="F81" i="32"/>
  <c r="G81" i="32" s="1"/>
  <c r="C161" i="39"/>
  <c r="C161" i="33"/>
  <c r="C161" i="12"/>
  <c r="F161" i="32"/>
  <c r="G161" i="32" s="1"/>
  <c r="C116" i="12"/>
  <c r="C116" i="39"/>
  <c r="C116" i="33"/>
  <c r="F116" i="32"/>
  <c r="G116" i="32" s="1"/>
  <c r="C233" i="39"/>
  <c r="C233" i="12"/>
  <c r="C233" i="33"/>
  <c r="F233" i="32"/>
  <c r="G233" i="32" s="1"/>
  <c r="C226" i="12"/>
  <c r="C226" i="39"/>
  <c r="C226" i="33"/>
  <c r="F226" i="32"/>
  <c r="G226" i="32" s="1"/>
  <c r="C26" i="12"/>
  <c r="C26" i="39"/>
  <c r="C26" i="33"/>
  <c r="F26" i="32"/>
  <c r="G26" i="32" s="1"/>
  <c r="C212" i="12"/>
  <c r="C212" i="39"/>
  <c r="C212" i="33"/>
  <c r="F212" i="32"/>
  <c r="G212" i="32" s="1"/>
  <c r="C153" i="39"/>
  <c r="C153" i="12"/>
  <c r="C153" i="33"/>
  <c r="F153" i="32"/>
  <c r="G153" i="32" s="1"/>
  <c r="C199" i="39"/>
  <c r="C199" i="12"/>
  <c r="C199" i="33"/>
  <c r="F199" i="32"/>
  <c r="G199" i="32" s="1"/>
  <c r="C60" i="12"/>
  <c r="C60" i="39"/>
  <c r="F60" i="32"/>
  <c r="G60" i="32" s="1"/>
  <c r="C60" i="33"/>
  <c r="C111" i="39"/>
  <c r="C111" i="12"/>
  <c r="C111" i="33"/>
  <c r="F111" i="32"/>
  <c r="G111" i="32" s="1"/>
  <c r="C27" i="12"/>
  <c r="C27" i="39"/>
  <c r="C27" i="33"/>
  <c r="F27" i="32"/>
  <c r="G27" i="32" s="1"/>
  <c r="C160" i="39"/>
  <c r="C160" i="12"/>
  <c r="F160" i="32"/>
  <c r="G160" i="32" s="1"/>
  <c r="C160" i="33"/>
  <c r="C253" i="12"/>
  <c r="C253" i="39"/>
  <c r="C253" i="33"/>
  <c r="F253" i="32"/>
  <c r="G253" i="32" s="1"/>
  <c r="C298" i="12"/>
  <c r="C298" i="39"/>
  <c r="C298" i="33"/>
  <c r="F298" i="32"/>
  <c r="G298" i="32" s="1"/>
  <c r="C115" i="12"/>
  <c r="C115" i="39"/>
  <c r="C115" i="33"/>
  <c r="F115" i="32"/>
  <c r="G115" i="32" s="1"/>
  <c r="C118" i="39"/>
  <c r="C118" i="12"/>
  <c r="C118" i="33"/>
  <c r="F118" i="32"/>
  <c r="G118" i="32" s="1"/>
  <c r="C284" i="12"/>
  <c r="C284" i="39"/>
  <c r="C284" i="33"/>
  <c r="F284" i="32"/>
  <c r="G284" i="32" s="1"/>
  <c r="C145" i="39"/>
  <c r="F145" i="32"/>
  <c r="G145" i="32" s="1"/>
  <c r="C145" i="33"/>
  <c r="C145" i="12"/>
  <c r="C140" i="12"/>
  <c r="C140" i="39"/>
  <c r="C140" i="33"/>
  <c r="F140" i="32"/>
  <c r="G140" i="32" s="1"/>
  <c r="C211" i="12"/>
  <c r="C211" i="39"/>
  <c r="C211" i="33"/>
  <c r="F211" i="32"/>
  <c r="G211" i="32" s="1"/>
  <c r="C313" i="39"/>
  <c r="C313" i="33"/>
  <c r="C313" i="12"/>
  <c r="F313" i="32"/>
  <c r="G313" i="32" s="1"/>
  <c r="C29" i="12"/>
  <c r="C29" i="39"/>
  <c r="F29" i="32"/>
  <c r="G29" i="32" s="1"/>
  <c r="C29" i="33"/>
  <c r="C239" i="39"/>
  <c r="C239" i="12"/>
  <c r="C239" i="33"/>
  <c r="F239" i="32"/>
  <c r="G239" i="32" s="1"/>
  <c r="C200" i="39"/>
  <c r="C200" i="12"/>
  <c r="C200" i="33"/>
  <c r="F200" i="32"/>
  <c r="G200" i="32" s="1"/>
  <c r="C68" i="12"/>
  <c r="C68" i="39"/>
  <c r="C68" i="33"/>
  <c r="F68" i="32"/>
  <c r="G68" i="32" s="1"/>
  <c r="C196" i="12"/>
  <c r="C196" i="39"/>
  <c r="C196" i="33"/>
  <c r="F196" i="32"/>
  <c r="G196" i="32" s="1"/>
  <c r="C125" i="12"/>
  <c r="F125" i="32"/>
  <c r="G125" i="32" s="1"/>
  <c r="C125" i="39"/>
  <c r="C125" i="33"/>
  <c r="C98" i="12"/>
  <c r="C98" i="39"/>
  <c r="C98" i="33"/>
  <c r="F98" i="32"/>
  <c r="G98" i="32" s="1"/>
  <c r="C168" i="39"/>
  <c r="C168" i="12"/>
  <c r="C168" i="33"/>
  <c r="F168" i="32"/>
  <c r="G168" i="32" s="1"/>
  <c r="C218" i="12"/>
  <c r="C218" i="39"/>
  <c r="C218" i="33"/>
  <c r="F218" i="32"/>
  <c r="G218" i="32" s="1"/>
  <c r="C215" i="39"/>
  <c r="C215" i="12"/>
  <c r="C215" i="33"/>
  <c r="F215" i="32"/>
  <c r="G215" i="32" s="1"/>
  <c r="C95" i="39"/>
  <c r="C95" i="12"/>
  <c r="C95" i="33"/>
  <c r="F95" i="32"/>
  <c r="G95" i="32" s="1"/>
  <c r="C59" i="12"/>
  <c r="C59" i="39"/>
  <c r="C59" i="33"/>
  <c r="F59" i="32"/>
  <c r="G59" i="32" s="1"/>
  <c r="C227" i="12"/>
  <c r="C227" i="39"/>
  <c r="C227" i="33"/>
  <c r="F227" i="32"/>
  <c r="G227" i="32" s="1"/>
  <c r="C56" i="39"/>
  <c r="C56" i="12"/>
  <c r="C56" i="33"/>
  <c r="F56" i="32"/>
  <c r="G56" i="32" s="1"/>
  <c r="C37" i="12"/>
  <c r="C37" i="39"/>
  <c r="C37" i="33"/>
  <c r="F37" i="32"/>
  <c r="G37" i="32" s="1"/>
  <c r="C288" i="39"/>
  <c r="C288" i="12"/>
  <c r="F288" i="32"/>
  <c r="G288" i="32" s="1"/>
  <c r="C288" i="33"/>
  <c r="C190" i="39"/>
  <c r="C190" i="12"/>
  <c r="C190" i="33"/>
  <c r="F190" i="32"/>
  <c r="G190" i="32" s="1"/>
  <c r="C217" i="39"/>
  <c r="C217" i="12"/>
  <c r="C217" i="33"/>
  <c r="F217" i="32"/>
  <c r="G217" i="32" s="1"/>
  <c r="C88" i="39"/>
  <c r="C88" i="12"/>
  <c r="C88" i="33"/>
  <c r="F88" i="32"/>
  <c r="G88" i="32" s="1"/>
  <c r="C90" i="12"/>
  <c r="C90" i="39"/>
  <c r="C90" i="33"/>
  <c r="F90" i="32"/>
  <c r="G90" i="32" s="1"/>
  <c r="C51" i="12"/>
  <c r="C51" i="39"/>
  <c r="C51" i="33"/>
  <c r="F51" i="32"/>
  <c r="G51" i="32" s="1"/>
  <c r="C129" i="39"/>
  <c r="C129" i="12"/>
  <c r="C129" i="33"/>
  <c r="F129" i="32"/>
  <c r="G129" i="32" s="1"/>
  <c r="C248" i="39"/>
  <c r="C248" i="12"/>
  <c r="C248" i="33"/>
  <c r="F248" i="32"/>
  <c r="G248" i="32" s="1"/>
  <c r="C40" i="39"/>
  <c r="C40" i="12"/>
  <c r="C40" i="33"/>
  <c r="F40" i="32"/>
  <c r="G40" i="32" s="1"/>
  <c r="C123" i="12"/>
  <c r="C123" i="39"/>
  <c r="C123" i="33"/>
  <c r="F123" i="32"/>
  <c r="G123" i="32" s="1"/>
  <c r="C310" i="39"/>
  <c r="C310" i="12"/>
  <c r="C310" i="33"/>
  <c r="F310" i="32"/>
  <c r="G310" i="32" s="1"/>
  <c r="C75" i="12"/>
  <c r="C75" i="39"/>
  <c r="F75" i="32"/>
  <c r="G75" i="32" s="1"/>
  <c r="C75" i="33"/>
  <c r="C70" i="39"/>
  <c r="C70" i="12"/>
  <c r="F70" i="32"/>
  <c r="G70" i="32" s="1"/>
  <c r="C70" i="33"/>
  <c r="C299" i="12"/>
  <c r="C299" i="39"/>
  <c r="C299" i="33"/>
  <c r="F299" i="32"/>
  <c r="G299" i="32" s="1"/>
  <c r="C270" i="39"/>
  <c r="C270" i="12"/>
  <c r="C270" i="33"/>
  <c r="F270" i="32"/>
  <c r="G270" i="32" s="1"/>
  <c r="C148" i="12"/>
  <c r="C148" i="39"/>
  <c r="C148" i="33"/>
  <c r="F148" i="32"/>
  <c r="G148" i="32" s="1"/>
  <c r="C300" i="12"/>
  <c r="C300" i="39"/>
  <c r="C300" i="33"/>
  <c r="F300" i="32"/>
  <c r="G300" i="32" s="1"/>
  <c r="C119" i="39"/>
  <c r="C119" i="12"/>
  <c r="C119" i="33"/>
  <c r="F119" i="32"/>
  <c r="G119" i="32" s="1"/>
  <c r="C241" i="39"/>
  <c r="C241" i="12"/>
  <c r="C241" i="33"/>
  <c r="F241" i="32"/>
  <c r="G241" i="32" s="1"/>
  <c r="C279" i="39"/>
  <c r="C279" i="12"/>
  <c r="C279" i="33"/>
  <c r="F279" i="32"/>
  <c r="G279" i="32" s="1"/>
  <c r="C63" i="39"/>
  <c r="C63" i="12"/>
  <c r="C63" i="33"/>
  <c r="F63" i="32"/>
  <c r="G63" i="32" s="1"/>
  <c r="C189" i="12"/>
  <c r="F189" i="32"/>
  <c r="G189" i="32" s="1"/>
  <c r="C189" i="39"/>
  <c r="C189" i="33"/>
  <c r="C32" i="39"/>
  <c r="C32" i="12"/>
  <c r="C32" i="33"/>
  <c r="F32" i="32"/>
  <c r="G32" i="32" s="1"/>
  <c r="C170" i="12"/>
  <c r="C170" i="39"/>
  <c r="C170" i="33"/>
  <c r="F170" i="32"/>
  <c r="G170" i="32" s="1"/>
  <c r="C195" i="12"/>
  <c r="C195" i="39"/>
  <c r="C195" i="33"/>
  <c r="F195" i="32"/>
  <c r="G195" i="32" s="1"/>
  <c r="C67" i="12"/>
  <c r="C67" i="39"/>
  <c r="C67" i="33"/>
  <c r="F67" i="32"/>
  <c r="G67" i="32" s="1"/>
  <c r="C180" i="12"/>
  <c r="C180" i="39"/>
  <c r="C180" i="33"/>
  <c r="F180" i="32"/>
  <c r="G180" i="32" s="1"/>
  <c r="C69" i="12"/>
  <c r="C69" i="33"/>
  <c r="C69" i="39"/>
  <c r="F69" i="32"/>
  <c r="G69" i="32" s="1"/>
  <c r="C133" i="12"/>
  <c r="F133" i="32"/>
  <c r="G133" i="32" s="1"/>
  <c r="C133" i="39"/>
  <c r="C133" i="33"/>
  <c r="C281" i="39"/>
  <c r="C281" i="12"/>
  <c r="C281" i="33"/>
  <c r="F281" i="32"/>
  <c r="G281" i="32" s="1"/>
  <c r="C210" i="12"/>
  <c r="C210" i="39"/>
  <c r="C210" i="33"/>
  <c r="F210" i="32"/>
  <c r="G210" i="32" s="1"/>
  <c r="G219" i="49"/>
  <c r="F219" i="49"/>
  <c r="U245" i="19"/>
  <c r="U171" i="19"/>
  <c r="J219" i="13"/>
  <c r="A219" i="49"/>
  <c r="B219" i="49"/>
  <c r="A170" i="49"/>
  <c r="B170" i="49"/>
  <c r="A219" i="13"/>
  <c r="B219" i="13"/>
  <c r="A170" i="13"/>
  <c r="B170" i="13"/>
  <c r="A218" i="39"/>
  <c r="B218" i="39"/>
  <c r="A169" i="39"/>
  <c r="B169" i="39"/>
  <c r="E125" i="33" l="1"/>
  <c r="D125" i="37" s="1"/>
  <c r="E126" i="25"/>
  <c r="M126" i="49"/>
  <c r="C125" i="11"/>
  <c r="C136" i="34"/>
  <c r="E112" i="33"/>
  <c r="D112" i="37" s="1"/>
  <c r="E113" i="25"/>
  <c r="M113" i="49"/>
  <c r="C112" i="11"/>
  <c r="C123" i="34"/>
  <c r="E171" i="33"/>
  <c r="D171" i="37" s="1"/>
  <c r="E172" i="25"/>
  <c r="C171" i="11"/>
  <c r="C182" i="34"/>
  <c r="M172" i="49"/>
  <c r="E210" i="33"/>
  <c r="D210" i="37" s="1"/>
  <c r="E211" i="25"/>
  <c r="M211" i="49"/>
  <c r="C221" i="34"/>
  <c r="C210" i="11"/>
  <c r="E180" i="33"/>
  <c r="D180" i="37" s="1"/>
  <c r="E181" i="25"/>
  <c r="C180" i="11"/>
  <c r="C191" i="34"/>
  <c r="M181" i="49"/>
  <c r="E196" i="25"/>
  <c r="M196" i="49"/>
  <c r="C195" i="11"/>
  <c r="C206" i="34"/>
  <c r="E195" i="33"/>
  <c r="D195" i="37" s="1"/>
  <c r="E32" i="33"/>
  <c r="D32" i="37" s="1"/>
  <c r="E33" i="25"/>
  <c r="M33" i="49"/>
  <c r="C32" i="11"/>
  <c r="C43" i="34"/>
  <c r="E63" i="33"/>
  <c r="D63" i="37" s="1"/>
  <c r="C74" i="34"/>
  <c r="E64" i="25"/>
  <c r="C63" i="11"/>
  <c r="M64" i="49"/>
  <c r="E241" i="33"/>
  <c r="D241" i="37" s="1"/>
  <c r="E242" i="25"/>
  <c r="M242" i="49"/>
  <c r="C252" i="34"/>
  <c r="C241" i="11"/>
  <c r="E301" i="25"/>
  <c r="M301" i="49"/>
  <c r="C300" i="11"/>
  <c r="C311" i="34"/>
  <c r="E300" i="33"/>
  <c r="D300" i="37" s="1"/>
  <c r="E271" i="25"/>
  <c r="E270" i="33"/>
  <c r="D270" i="37" s="1"/>
  <c r="M271" i="49"/>
  <c r="C281" i="34"/>
  <c r="C270" i="11"/>
  <c r="E311" i="25"/>
  <c r="M311" i="49"/>
  <c r="C310" i="11"/>
  <c r="C321" i="34"/>
  <c r="E310" i="33"/>
  <c r="D310" i="37" s="1"/>
  <c r="E40" i="33"/>
  <c r="D40" i="37" s="1"/>
  <c r="E41" i="25"/>
  <c r="M41" i="49"/>
  <c r="C40" i="11"/>
  <c r="C51" i="34"/>
  <c r="E129" i="33"/>
  <c r="D129" i="37" s="1"/>
  <c r="E130" i="25"/>
  <c r="M130" i="49"/>
  <c r="C129" i="11"/>
  <c r="C140" i="34"/>
  <c r="E90" i="33"/>
  <c r="D90" i="37" s="1"/>
  <c r="E91" i="25"/>
  <c r="C90" i="11"/>
  <c r="C101" i="34"/>
  <c r="M91" i="49"/>
  <c r="E218" i="25"/>
  <c r="M218" i="49"/>
  <c r="C228" i="34"/>
  <c r="C217" i="11"/>
  <c r="E217" i="33"/>
  <c r="D217" i="37" s="1"/>
  <c r="E56" i="33"/>
  <c r="D56" i="37" s="1"/>
  <c r="E57" i="25"/>
  <c r="M57" i="49"/>
  <c r="C56" i="11"/>
  <c r="C67" i="34"/>
  <c r="M60" i="49"/>
  <c r="E60" i="25"/>
  <c r="C59" i="11"/>
  <c r="C70" i="34"/>
  <c r="E59" i="33"/>
  <c r="D59" i="37" s="1"/>
  <c r="M216" i="49"/>
  <c r="E216" i="25"/>
  <c r="E215" i="33"/>
  <c r="D215" i="37" s="1"/>
  <c r="C215" i="11"/>
  <c r="C226" i="34"/>
  <c r="M169" i="49"/>
  <c r="E169" i="25"/>
  <c r="C168" i="11"/>
  <c r="C179" i="34"/>
  <c r="E168" i="33"/>
  <c r="D168" i="37" s="1"/>
  <c r="C68" i="11"/>
  <c r="M69" i="49"/>
  <c r="C79" i="34"/>
  <c r="E69" i="25"/>
  <c r="E68" i="33"/>
  <c r="D68" i="37" s="1"/>
  <c r="E240" i="25"/>
  <c r="M240" i="49"/>
  <c r="C239" i="11"/>
  <c r="C250" i="34"/>
  <c r="E239" i="33"/>
  <c r="D239" i="37" s="1"/>
  <c r="E140" i="33"/>
  <c r="D140" i="37" s="1"/>
  <c r="M141" i="49"/>
  <c r="C151" i="34"/>
  <c r="E141" i="25"/>
  <c r="C140" i="11"/>
  <c r="C295" i="34"/>
  <c r="E285" i="25"/>
  <c r="C284" i="11"/>
  <c r="M285" i="49"/>
  <c r="E284" i="33"/>
  <c r="D284" i="37" s="1"/>
  <c r="E115" i="33"/>
  <c r="D115" i="37" s="1"/>
  <c r="C126" i="34"/>
  <c r="M116" i="49"/>
  <c r="E116" i="25"/>
  <c r="C115" i="11"/>
  <c r="E253" i="33"/>
  <c r="D253" i="37" s="1"/>
  <c r="M254" i="49"/>
  <c r="E254" i="25"/>
  <c r="C264" i="34"/>
  <c r="C253" i="11"/>
  <c r="C27" i="11"/>
  <c r="M28" i="49"/>
  <c r="E28" i="25"/>
  <c r="C38" i="34"/>
  <c r="E27" i="33"/>
  <c r="D27" i="37" s="1"/>
  <c r="E153" i="33"/>
  <c r="D153" i="37" s="1"/>
  <c r="E154" i="25"/>
  <c r="M154" i="49"/>
  <c r="C153" i="11"/>
  <c r="C164" i="34"/>
  <c r="C26" i="11"/>
  <c r="E26" i="33"/>
  <c r="D26" i="37" s="1"/>
  <c r="M27" i="49"/>
  <c r="E27" i="25"/>
  <c r="C37" i="34"/>
  <c r="E234" i="25"/>
  <c r="M234" i="49"/>
  <c r="E233" i="33"/>
  <c r="D233" i="37" s="1"/>
  <c r="C233" i="11"/>
  <c r="C244" i="34"/>
  <c r="E158" i="33"/>
  <c r="D158" i="37" s="1"/>
  <c r="M159" i="49"/>
  <c r="C169" i="34"/>
  <c r="C158" i="11"/>
  <c r="E159" i="25"/>
  <c r="E186" i="33"/>
  <c r="D186" i="37" s="1"/>
  <c r="C186" i="11"/>
  <c r="M187" i="49"/>
  <c r="E187" i="25"/>
  <c r="C197" i="34"/>
  <c r="C257" i="11"/>
  <c r="E258" i="25"/>
  <c r="E257" i="33"/>
  <c r="D257" i="37" s="1"/>
  <c r="M258" i="49"/>
  <c r="C268" i="34"/>
  <c r="E131" i="25"/>
  <c r="M131" i="49"/>
  <c r="C130" i="11"/>
  <c r="C141" i="34"/>
  <c r="E130" i="33"/>
  <c r="D130" i="37" s="1"/>
  <c r="M24" i="49"/>
  <c r="C34" i="34"/>
  <c r="E24" i="25"/>
  <c r="C23" i="11"/>
  <c r="E23" i="33"/>
  <c r="D23" i="37" s="1"/>
  <c r="E84" i="33"/>
  <c r="D84" i="37" s="1"/>
  <c r="E85" i="25"/>
  <c r="C84" i="11"/>
  <c r="M85" i="49"/>
  <c r="C95" i="34"/>
  <c r="E238" i="33"/>
  <c r="D238" i="37" s="1"/>
  <c r="E239" i="25"/>
  <c r="M239" i="49"/>
  <c r="C249" i="34"/>
  <c r="C238" i="11"/>
  <c r="C39" i="34"/>
  <c r="E29" i="25"/>
  <c r="M29" i="49"/>
  <c r="C28" i="11"/>
  <c r="E28" i="33"/>
  <c r="D28" i="37" s="1"/>
  <c r="E141" i="33"/>
  <c r="D141" i="37" s="1"/>
  <c r="E142" i="25"/>
  <c r="M142" i="49"/>
  <c r="C141" i="11"/>
  <c r="C152" i="34"/>
  <c r="C36" i="11"/>
  <c r="E36" i="33"/>
  <c r="D36" i="37" s="1"/>
  <c r="E37" i="25"/>
  <c r="M37" i="49"/>
  <c r="C47" i="34"/>
  <c r="M108" i="49"/>
  <c r="E108" i="25"/>
  <c r="C107" i="11"/>
  <c r="C118" i="34"/>
  <c r="E107" i="33"/>
  <c r="D107" i="37" s="1"/>
  <c r="M100" i="49"/>
  <c r="E100" i="25"/>
  <c r="C99" i="11"/>
  <c r="C110" i="34"/>
  <c r="E99" i="33"/>
  <c r="D99" i="37" s="1"/>
  <c r="E88" i="25"/>
  <c r="C87" i="11"/>
  <c r="M88" i="49"/>
  <c r="C98" i="34"/>
  <c r="E87" i="33"/>
  <c r="D87" i="37" s="1"/>
  <c r="E272" i="33"/>
  <c r="D272" i="37" s="1"/>
  <c r="E273" i="25"/>
  <c r="M273" i="49"/>
  <c r="C272" i="11"/>
  <c r="C283" i="34"/>
  <c r="M303" i="49"/>
  <c r="C313" i="34"/>
  <c r="E303" i="25"/>
  <c r="C302" i="11"/>
  <c r="E302" i="33"/>
  <c r="D302" i="37" s="1"/>
  <c r="E222" i="33"/>
  <c r="D222" i="37" s="1"/>
  <c r="M223" i="49"/>
  <c r="C233" i="34"/>
  <c r="C222" i="11"/>
  <c r="E223" i="25"/>
  <c r="C146" i="34"/>
  <c r="C135" i="11"/>
  <c r="E136" i="25"/>
  <c r="E135" i="33"/>
  <c r="D135" i="37" s="1"/>
  <c r="M136" i="49"/>
  <c r="C46" i="34"/>
  <c r="M36" i="49"/>
  <c r="E36" i="25"/>
  <c r="E35" i="33"/>
  <c r="D35" i="37" s="1"/>
  <c r="C35" i="11"/>
  <c r="E249" i="33"/>
  <c r="D249" i="37" s="1"/>
  <c r="C260" i="34"/>
  <c r="E250" i="25"/>
  <c r="M250" i="49"/>
  <c r="C249" i="11"/>
  <c r="E77" i="25"/>
  <c r="C76" i="11"/>
  <c r="M77" i="49"/>
  <c r="C87" i="34"/>
  <c r="E76" i="33"/>
  <c r="D76" i="37" s="1"/>
  <c r="C101" i="11"/>
  <c r="C112" i="34"/>
  <c r="E101" i="33"/>
  <c r="D101" i="37" s="1"/>
  <c r="E102" i="25"/>
  <c r="M102" i="49"/>
  <c r="M276" i="49"/>
  <c r="E276" i="25"/>
  <c r="C275" i="11"/>
  <c r="C286" i="34"/>
  <c r="E275" i="33"/>
  <c r="D275" i="37" s="1"/>
  <c r="E147" i="33"/>
  <c r="D147" i="37" s="1"/>
  <c r="C147" i="11"/>
  <c r="C158" i="34"/>
  <c r="M148" i="49"/>
  <c r="E148" i="25"/>
  <c r="E111" i="25"/>
  <c r="M111" i="49"/>
  <c r="C121" i="34"/>
  <c r="C110" i="11"/>
  <c r="E110" i="33"/>
  <c r="D110" i="37" s="1"/>
  <c r="C137" i="34"/>
  <c r="C126" i="11"/>
  <c r="E126" i="33"/>
  <c r="D126" i="37" s="1"/>
  <c r="E127" i="25"/>
  <c r="M127" i="49"/>
  <c r="E81" i="25"/>
  <c r="M81" i="49"/>
  <c r="C80" i="11"/>
  <c r="C91" i="34"/>
  <c r="E80" i="33"/>
  <c r="D80" i="37" s="1"/>
  <c r="M164" i="49"/>
  <c r="E164" i="25"/>
  <c r="E163" i="33"/>
  <c r="D163" i="37" s="1"/>
  <c r="C163" i="11"/>
  <c r="C174" i="34"/>
  <c r="E204" i="33"/>
  <c r="D204" i="37" s="1"/>
  <c r="C215" i="34"/>
  <c r="M205" i="49"/>
  <c r="E205" i="25"/>
  <c r="C204" i="11"/>
  <c r="C44" i="34"/>
  <c r="E34" i="25"/>
  <c r="M34" i="49"/>
  <c r="E33" i="33"/>
  <c r="D33" i="37" s="1"/>
  <c r="C33" i="11"/>
  <c r="E298" i="25"/>
  <c r="M298" i="49"/>
  <c r="E297" i="33"/>
  <c r="D297" i="37" s="1"/>
  <c r="C297" i="11"/>
  <c r="C308" i="34"/>
  <c r="M32" i="49"/>
  <c r="C31" i="11"/>
  <c r="C42" i="34"/>
  <c r="E32" i="25"/>
  <c r="E31" i="33"/>
  <c r="D31" i="37" s="1"/>
  <c r="E210" i="25"/>
  <c r="M210" i="49"/>
  <c r="C209" i="11"/>
  <c r="C220" i="34"/>
  <c r="E209" i="33"/>
  <c r="D209" i="37" s="1"/>
  <c r="E179" i="25"/>
  <c r="M179" i="49"/>
  <c r="C178" i="11"/>
  <c r="C189" i="34"/>
  <c r="E178" i="33"/>
  <c r="D178" i="37" s="1"/>
  <c r="E289" i="33"/>
  <c r="D289" i="37" s="1"/>
  <c r="M290" i="49"/>
  <c r="E290" i="25"/>
  <c r="C300" i="34"/>
  <c r="C289" i="11"/>
  <c r="C97" i="11"/>
  <c r="C108" i="34"/>
  <c r="E97" i="33"/>
  <c r="D97" i="37" s="1"/>
  <c r="E98" i="25"/>
  <c r="M98" i="49"/>
  <c r="E34" i="33"/>
  <c r="D34" i="37" s="1"/>
  <c r="C34" i="11"/>
  <c r="C45" i="34"/>
  <c r="E35" i="25"/>
  <c r="M35" i="49"/>
  <c r="M277" i="49"/>
  <c r="E276" i="33"/>
  <c r="D276" i="37" s="1"/>
  <c r="E277" i="25"/>
  <c r="C276" i="11"/>
  <c r="C287" i="34"/>
  <c r="E264" i="33"/>
  <c r="D264" i="37" s="1"/>
  <c r="E265" i="25"/>
  <c r="M265" i="49"/>
  <c r="C264" i="11"/>
  <c r="C275" i="34"/>
  <c r="E121" i="33"/>
  <c r="D121" i="37" s="1"/>
  <c r="E122" i="25"/>
  <c r="M122" i="49"/>
  <c r="C121" i="11"/>
  <c r="C132" i="34"/>
  <c r="E14" i="33"/>
  <c r="D14" i="37" s="1"/>
  <c r="C25" i="34"/>
  <c r="C14" i="11"/>
  <c r="E15" i="25"/>
  <c r="M15" i="49"/>
  <c r="E128" i="33"/>
  <c r="D128" i="37" s="1"/>
  <c r="E129" i="25"/>
  <c r="M129" i="49"/>
  <c r="C128" i="11"/>
  <c r="C139" i="34"/>
  <c r="E122" i="33"/>
  <c r="D122" i="37" s="1"/>
  <c r="M123" i="49"/>
  <c r="E123" i="25"/>
  <c r="C122" i="11"/>
  <c r="C133" i="34"/>
  <c r="C55" i="11"/>
  <c r="E55" i="33"/>
  <c r="D55" i="37" s="1"/>
  <c r="M56" i="49"/>
  <c r="C66" i="34"/>
  <c r="E56" i="25"/>
  <c r="E191" i="33"/>
  <c r="D191" i="37" s="1"/>
  <c r="C191" i="11"/>
  <c r="E192" i="25"/>
  <c r="M192" i="49"/>
  <c r="C202" i="34"/>
  <c r="E183" i="33"/>
  <c r="D183" i="37" s="1"/>
  <c r="M184" i="49"/>
  <c r="E184" i="25"/>
  <c r="C183" i="11"/>
  <c r="C194" i="34"/>
  <c r="E232" i="33"/>
  <c r="D232" i="37" s="1"/>
  <c r="E233" i="25"/>
  <c r="M233" i="49"/>
  <c r="C243" i="34"/>
  <c r="C232" i="11"/>
  <c r="E274" i="33"/>
  <c r="D274" i="37" s="1"/>
  <c r="E275" i="25"/>
  <c r="C274" i="11"/>
  <c r="M275" i="49"/>
  <c r="C285" i="34"/>
  <c r="M294" i="49"/>
  <c r="C304" i="34"/>
  <c r="E294" i="25"/>
  <c r="C293" i="11"/>
  <c r="E293" i="33"/>
  <c r="D293" i="37" s="1"/>
  <c r="C187" i="34"/>
  <c r="C176" i="11"/>
  <c r="M177" i="49"/>
  <c r="E176" i="33"/>
  <c r="D176" i="37" s="1"/>
  <c r="E177" i="25"/>
  <c r="C125" i="34"/>
  <c r="E115" i="25"/>
  <c r="M115" i="49"/>
  <c r="C114" i="11"/>
  <c r="E114" i="33"/>
  <c r="D114" i="37" s="1"/>
  <c r="E105" i="33"/>
  <c r="D105" i="37" s="1"/>
  <c r="E106" i="25"/>
  <c r="M106" i="49"/>
  <c r="C116" i="34"/>
  <c r="C105" i="11"/>
  <c r="C54" i="34"/>
  <c r="M44" i="49"/>
  <c r="E44" i="25"/>
  <c r="C43" i="11"/>
  <c r="E43" i="33"/>
  <c r="D43" i="37" s="1"/>
  <c r="M225" i="49"/>
  <c r="E225" i="25"/>
  <c r="C224" i="11"/>
  <c r="C235" i="34"/>
  <c r="E224" i="33"/>
  <c r="D224" i="37" s="1"/>
  <c r="M281" i="49"/>
  <c r="E281" i="25"/>
  <c r="C280" i="11"/>
  <c r="C291" i="34"/>
  <c r="E280" i="33"/>
  <c r="D280" i="37" s="1"/>
  <c r="C259" i="11"/>
  <c r="E260" i="25"/>
  <c r="C270" i="34"/>
  <c r="M260" i="49"/>
  <c r="E259" i="33"/>
  <c r="D259" i="37" s="1"/>
  <c r="E91" i="33"/>
  <c r="D91" i="37" s="1"/>
  <c r="M92" i="49"/>
  <c r="E92" i="25"/>
  <c r="C91" i="11"/>
  <c r="C102" i="34"/>
  <c r="C31" i="34"/>
  <c r="E20" i="33"/>
  <c r="D20" i="37" s="1"/>
  <c r="E21" i="25"/>
  <c r="M21" i="49"/>
  <c r="C20" i="11"/>
  <c r="C58" i="11"/>
  <c r="M59" i="49"/>
  <c r="E59" i="25"/>
  <c r="C69" i="34"/>
  <c r="E58" i="33"/>
  <c r="D58" i="37" s="1"/>
  <c r="C62" i="11"/>
  <c r="C73" i="34"/>
  <c r="E62" i="33"/>
  <c r="D62" i="37" s="1"/>
  <c r="E63" i="25"/>
  <c r="M63" i="49"/>
  <c r="C235" i="11"/>
  <c r="C246" i="34"/>
  <c r="E235" i="33"/>
  <c r="D235" i="37" s="1"/>
  <c r="M236" i="49"/>
  <c r="E236" i="25"/>
  <c r="M287" i="49"/>
  <c r="C286" i="11"/>
  <c r="E287" i="25"/>
  <c r="C297" i="34"/>
  <c r="E286" i="33"/>
  <c r="D286" i="37" s="1"/>
  <c r="E134" i="33"/>
  <c r="D134" i="37" s="1"/>
  <c r="E135" i="25"/>
  <c r="M135" i="49"/>
  <c r="C145" i="34"/>
  <c r="C134" i="11"/>
  <c r="E309" i="33"/>
  <c r="D309" i="37" s="1"/>
  <c r="M310" i="49"/>
  <c r="C320" i="34"/>
  <c r="C309" i="11"/>
  <c r="E310" i="25"/>
  <c r="E208" i="33"/>
  <c r="D208" i="37" s="1"/>
  <c r="C219" i="34"/>
  <c r="M209" i="49"/>
  <c r="C208" i="11"/>
  <c r="E209" i="25"/>
  <c r="E202" i="33"/>
  <c r="D202" i="37" s="1"/>
  <c r="C213" i="34"/>
  <c r="M203" i="49"/>
  <c r="E203" i="25"/>
  <c r="C202" i="11"/>
  <c r="E18" i="33"/>
  <c r="D18" i="37" s="1"/>
  <c r="C18" i="11"/>
  <c r="E19" i="25"/>
  <c r="C29" i="34"/>
  <c r="M19" i="49"/>
  <c r="E291" i="33"/>
  <c r="D291" i="37" s="1"/>
  <c r="M292" i="49"/>
  <c r="E292" i="25"/>
  <c r="C291" i="11"/>
  <c r="C302" i="34"/>
  <c r="E258" i="33"/>
  <c r="D258" i="37" s="1"/>
  <c r="E259" i="25"/>
  <c r="M259" i="49"/>
  <c r="C258" i="11"/>
  <c r="C269" i="34"/>
  <c r="E11" i="25"/>
  <c r="C10" i="11"/>
  <c r="E10" i="33"/>
  <c r="D10" i="37" s="1"/>
  <c r="M11" i="49"/>
  <c r="C21" i="34"/>
  <c r="C30" i="34"/>
  <c r="M20" i="49"/>
  <c r="E20" i="25"/>
  <c r="E19" i="33"/>
  <c r="D19" i="37" s="1"/>
  <c r="C19" i="11"/>
  <c r="E46" i="33"/>
  <c r="D46" i="37" s="1"/>
  <c r="E47" i="25"/>
  <c r="M47" i="49"/>
  <c r="C57" i="34"/>
  <c r="C46" i="11"/>
  <c r="E73" i="25"/>
  <c r="M73" i="49"/>
  <c r="C72" i="11"/>
  <c r="C83" i="34"/>
  <c r="E72" i="33"/>
  <c r="D72" i="37" s="1"/>
  <c r="E31" i="25"/>
  <c r="M31" i="49"/>
  <c r="C30" i="11"/>
  <c r="C41" i="34"/>
  <c r="E30" i="33"/>
  <c r="D30" i="37" s="1"/>
  <c r="E22" i="25"/>
  <c r="M22" i="49"/>
  <c r="C21" i="11"/>
  <c r="C32" i="34"/>
  <c r="E21" i="33"/>
  <c r="D21" i="37" s="1"/>
  <c r="E245" i="33"/>
  <c r="D245" i="37" s="1"/>
  <c r="E246" i="25"/>
  <c r="M246" i="49"/>
  <c r="C256" i="34"/>
  <c r="C245" i="11"/>
  <c r="E307" i="33"/>
  <c r="D307" i="37" s="1"/>
  <c r="M308" i="49"/>
  <c r="E308" i="25"/>
  <c r="C307" i="11"/>
  <c r="C318" i="34"/>
  <c r="E12" i="33"/>
  <c r="D12" i="37" s="1"/>
  <c r="M13" i="49"/>
  <c r="C12" i="11"/>
  <c r="C23" i="34"/>
  <c r="E13" i="25"/>
  <c r="M297" i="49"/>
  <c r="E297" i="25"/>
  <c r="C307" i="34"/>
  <c r="C296" i="11"/>
  <c r="E296" i="33"/>
  <c r="D296" i="37" s="1"/>
  <c r="E305" i="25"/>
  <c r="M305" i="49"/>
  <c r="C304" i="11"/>
  <c r="C315" i="34"/>
  <c r="E304" i="33"/>
  <c r="D304" i="37" s="1"/>
  <c r="C103" i="11"/>
  <c r="E104" i="25"/>
  <c r="E103" i="33"/>
  <c r="D103" i="37" s="1"/>
  <c r="M104" i="49"/>
  <c r="C114" i="34"/>
  <c r="C167" i="34"/>
  <c r="E157" i="25"/>
  <c r="C156" i="11"/>
  <c r="E156" i="33"/>
  <c r="D156" i="37" s="1"/>
  <c r="M157" i="49"/>
  <c r="E207" i="33"/>
  <c r="D207" i="37" s="1"/>
  <c r="C218" i="34"/>
  <c r="M208" i="49"/>
  <c r="E208" i="25"/>
  <c r="C207" i="11"/>
  <c r="M16" i="49"/>
  <c r="E16" i="25"/>
  <c r="C26" i="34"/>
  <c r="C15" i="11"/>
  <c r="E15" i="33"/>
  <c r="D15" i="37" s="1"/>
  <c r="E151" i="25"/>
  <c r="M151" i="49"/>
  <c r="C161" i="34"/>
  <c r="C150" i="11"/>
  <c r="E150" i="33"/>
  <c r="D150" i="37" s="1"/>
  <c r="E278" i="33"/>
  <c r="D278" i="37" s="1"/>
  <c r="C289" i="34"/>
  <c r="E279" i="25"/>
  <c r="M279" i="49"/>
  <c r="C278" i="11"/>
  <c r="C71" i="34"/>
  <c r="E60" i="33"/>
  <c r="D60" i="37" s="1"/>
  <c r="E61" i="25"/>
  <c r="M61" i="49"/>
  <c r="C60" i="11"/>
  <c r="E151" i="33"/>
  <c r="D151" i="37" s="1"/>
  <c r="M152" i="49"/>
  <c r="E152" i="25"/>
  <c r="C151" i="11"/>
  <c r="C162" i="34"/>
  <c r="E182" i="33"/>
  <c r="D182" i="37" s="1"/>
  <c r="C182" i="11"/>
  <c r="E183" i="25"/>
  <c r="M183" i="49"/>
  <c r="C193" i="34"/>
  <c r="E260" i="33"/>
  <c r="D260" i="37" s="1"/>
  <c r="C271" i="34"/>
  <c r="E261" i="25"/>
  <c r="C260" i="11"/>
  <c r="M261" i="49"/>
  <c r="M257" i="49"/>
  <c r="C256" i="11"/>
  <c r="E256" i="33"/>
  <c r="D256" i="37" s="1"/>
  <c r="E257" i="25"/>
  <c r="C267" i="34"/>
  <c r="E187" i="33"/>
  <c r="D187" i="37" s="1"/>
  <c r="C187" i="11"/>
  <c r="C198" i="34"/>
  <c r="M188" i="49"/>
  <c r="E188" i="25"/>
  <c r="E242" i="33"/>
  <c r="D242" i="37" s="1"/>
  <c r="E243" i="25"/>
  <c r="M243" i="49"/>
  <c r="C242" i="11"/>
  <c r="C253" i="34"/>
  <c r="E314" i="25"/>
  <c r="M314" i="49"/>
  <c r="C313" i="11"/>
  <c r="C324" i="34"/>
  <c r="E313" i="33"/>
  <c r="D313" i="37" s="1"/>
  <c r="E161" i="33"/>
  <c r="D161" i="37" s="1"/>
  <c r="C172" i="34"/>
  <c r="E162" i="25"/>
  <c r="M162" i="49"/>
  <c r="C161" i="11"/>
  <c r="E165" i="33"/>
  <c r="D165" i="37" s="1"/>
  <c r="C176" i="34"/>
  <c r="E166" i="25"/>
  <c r="M166" i="49"/>
  <c r="C165" i="11"/>
  <c r="C149" i="11"/>
  <c r="C160" i="34"/>
  <c r="E149" i="33"/>
  <c r="D149" i="37" s="1"/>
  <c r="E150" i="25"/>
  <c r="M150" i="49"/>
  <c r="M222" i="49"/>
  <c r="C221" i="11"/>
  <c r="E222" i="25"/>
  <c r="C232" i="34"/>
  <c r="E221" i="33"/>
  <c r="D221" i="37" s="1"/>
  <c r="E301" i="33"/>
  <c r="D301" i="37" s="1"/>
  <c r="E302" i="25"/>
  <c r="C312" i="34"/>
  <c r="C301" i="11"/>
  <c r="M302" i="49"/>
  <c r="E178" i="25"/>
  <c r="M178" i="49"/>
  <c r="C188" i="34"/>
  <c r="C177" i="11"/>
  <c r="E177" i="33"/>
  <c r="D177" i="37" s="1"/>
  <c r="C173" i="11"/>
  <c r="E173" i="33"/>
  <c r="D173" i="37" s="1"/>
  <c r="E174" i="25"/>
  <c r="M174" i="49"/>
  <c r="C184" i="34"/>
  <c r="C248" i="34"/>
  <c r="E238" i="25"/>
  <c r="M238" i="49"/>
  <c r="C237" i="11"/>
  <c r="E237" i="33"/>
  <c r="D237" i="37" s="1"/>
  <c r="C213" i="11"/>
  <c r="C224" i="34"/>
  <c r="E214" i="25"/>
  <c r="E213" i="33"/>
  <c r="D213" i="37" s="1"/>
  <c r="M214" i="49"/>
  <c r="E198" i="25"/>
  <c r="M198" i="49"/>
  <c r="C197" i="11"/>
  <c r="C208" i="34"/>
  <c r="E197" i="33"/>
  <c r="D197" i="37" s="1"/>
  <c r="E62" i="25"/>
  <c r="M62" i="49"/>
  <c r="C61" i="11"/>
  <c r="C72" i="34"/>
  <c r="E61" i="33"/>
  <c r="D61" i="37" s="1"/>
  <c r="E261" i="33"/>
  <c r="D261" i="37" s="1"/>
  <c r="E262" i="25"/>
  <c r="M262" i="49"/>
  <c r="C272" i="34"/>
  <c r="C261" i="11"/>
  <c r="E134" i="25"/>
  <c r="M134" i="49"/>
  <c r="C144" i="34"/>
  <c r="C133" i="11"/>
  <c r="E133" i="33"/>
  <c r="D133" i="37" s="1"/>
  <c r="E87" i="25"/>
  <c r="M87" i="49"/>
  <c r="C97" i="34"/>
  <c r="E86" i="33"/>
  <c r="D86" i="37" s="1"/>
  <c r="C86" i="11"/>
  <c r="C244" i="11"/>
  <c r="M245" i="49"/>
  <c r="E245" i="25"/>
  <c r="C255" i="34"/>
  <c r="E244" i="33"/>
  <c r="D244" i="37" s="1"/>
  <c r="M121" i="49"/>
  <c r="C120" i="11"/>
  <c r="C131" i="34"/>
  <c r="E120" i="33"/>
  <c r="D120" i="37" s="1"/>
  <c r="E121" i="25"/>
  <c r="C240" i="11"/>
  <c r="C251" i="34"/>
  <c r="E241" i="25"/>
  <c r="M241" i="49"/>
  <c r="E240" i="33"/>
  <c r="D240" i="37" s="1"/>
  <c r="E295" i="25"/>
  <c r="M295" i="49"/>
  <c r="C294" i="11"/>
  <c r="C305" i="34"/>
  <c r="E294" i="33"/>
  <c r="D294" i="37" s="1"/>
  <c r="C120" i="34"/>
  <c r="E109" i="33"/>
  <c r="D109" i="37" s="1"/>
  <c r="E110" i="25"/>
  <c r="M110" i="49"/>
  <c r="C109" i="11"/>
  <c r="E250" i="33"/>
  <c r="D250" i="37" s="1"/>
  <c r="E251" i="25"/>
  <c r="C261" i="34"/>
  <c r="M251" i="49"/>
  <c r="C250" i="11"/>
  <c r="E70" i="33"/>
  <c r="D70" i="37" s="1"/>
  <c r="E71" i="25"/>
  <c r="M71" i="49"/>
  <c r="C81" i="34"/>
  <c r="C70" i="11"/>
  <c r="C263" i="34"/>
  <c r="E252" i="33"/>
  <c r="D252" i="37" s="1"/>
  <c r="E253" i="25"/>
  <c r="C252" i="11"/>
  <c r="M253" i="49"/>
  <c r="E14" i="25"/>
  <c r="C13" i="11"/>
  <c r="C24" i="34"/>
  <c r="M14" i="49"/>
  <c r="E13" i="33"/>
  <c r="D13" i="37" s="1"/>
  <c r="C292" i="11"/>
  <c r="M293" i="49"/>
  <c r="C303" i="34"/>
  <c r="E293" i="25"/>
  <c r="E292" i="33"/>
  <c r="D292" i="37" s="1"/>
  <c r="E117" i="33"/>
  <c r="D117" i="37" s="1"/>
  <c r="E118" i="25"/>
  <c r="M118" i="49"/>
  <c r="C128" i="34"/>
  <c r="C117" i="11"/>
  <c r="E284" i="25"/>
  <c r="C283" i="11"/>
  <c r="E283" i="33"/>
  <c r="D283" i="37" s="1"/>
  <c r="C294" i="34"/>
  <c r="M284" i="49"/>
  <c r="E75" i="33"/>
  <c r="D75" i="37" s="1"/>
  <c r="M76" i="49"/>
  <c r="E76" i="25"/>
  <c r="C75" i="11"/>
  <c r="C86" i="34"/>
  <c r="E30" i="25"/>
  <c r="M30" i="49"/>
  <c r="C29" i="11"/>
  <c r="C40" i="34"/>
  <c r="E29" i="33"/>
  <c r="D29" i="37" s="1"/>
  <c r="E161" i="25"/>
  <c r="M161" i="49"/>
  <c r="C160" i="11"/>
  <c r="C171" i="34"/>
  <c r="E160" i="33"/>
  <c r="D160" i="37" s="1"/>
  <c r="E179" i="33"/>
  <c r="D179" i="37" s="1"/>
  <c r="C190" i="34"/>
  <c r="M180" i="49"/>
  <c r="E180" i="25"/>
  <c r="C179" i="11"/>
  <c r="M307" i="49"/>
  <c r="E306" i="33"/>
  <c r="D306" i="37" s="1"/>
  <c r="E307" i="25"/>
  <c r="C306" i="11"/>
  <c r="C317" i="34"/>
  <c r="C166" i="11"/>
  <c r="E167" i="25"/>
  <c r="M167" i="49"/>
  <c r="C177" i="34"/>
  <c r="E166" i="33"/>
  <c r="D166" i="37" s="1"/>
  <c r="E198" i="33"/>
  <c r="D198" i="37" s="1"/>
  <c r="C198" i="11"/>
  <c r="E199" i="25"/>
  <c r="M199" i="49"/>
  <c r="C209" i="34"/>
  <c r="E71" i="33"/>
  <c r="D71" i="37" s="1"/>
  <c r="C82" i="34"/>
  <c r="C71" i="11"/>
  <c r="M72" i="49"/>
  <c r="E72" i="25"/>
  <c r="E272" i="25"/>
  <c r="C271" i="11"/>
  <c r="M272" i="49"/>
  <c r="C282" i="34"/>
  <c r="E271" i="33"/>
  <c r="D271" i="37" s="1"/>
  <c r="E83" i="33"/>
  <c r="D83" i="37" s="1"/>
  <c r="M84" i="49"/>
  <c r="E84" i="25"/>
  <c r="C83" i="11"/>
  <c r="C94" i="34"/>
  <c r="E46" i="25"/>
  <c r="M46" i="49"/>
  <c r="C45" i="11"/>
  <c r="C56" i="34"/>
  <c r="E45" i="33"/>
  <c r="D45" i="37" s="1"/>
  <c r="C155" i="11"/>
  <c r="C166" i="34"/>
  <c r="M156" i="49"/>
  <c r="E156" i="25"/>
  <c r="E155" i="33"/>
  <c r="D155" i="37" s="1"/>
  <c r="E95" i="25"/>
  <c r="M95" i="49"/>
  <c r="C105" i="34"/>
  <c r="C94" i="11"/>
  <c r="E94" i="33"/>
  <c r="D94" i="37" s="1"/>
  <c r="E291" i="25"/>
  <c r="M291" i="49"/>
  <c r="C290" i="11"/>
  <c r="C301" i="34"/>
  <c r="E290" i="33"/>
  <c r="D290" i="37" s="1"/>
  <c r="C64" i="11"/>
  <c r="E65" i="25"/>
  <c r="M65" i="49"/>
  <c r="C75" i="34"/>
  <c r="E64" i="33"/>
  <c r="D64" i="37" s="1"/>
  <c r="C52" i="34"/>
  <c r="E42" i="25"/>
  <c r="M42" i="49"/>
  <c r="C41" i="11"/>
  <c r="E41" i="33"/>
  <c r="D41" i="37" s="1"/>
  <c r="M255" i="49"/>
  <c r="C254" i="11"/>
  <c r="E255" i="25"/>
  <c r="C265" i="34"/>
  <c r="E254" i="33"/>
  <c r="D254" i="37" s="1"/>
  <c r="C20" i="34"/>
  <c r="E9" i="33"/>
  <c r="D9" i="37" s="1"/>
  <c r="M10" i="49"/>
  <c r="E10" i="25"/>
  <c r="C9" i="11"/>
  <c r="C185" i="34"/>
  <c r="C174" i="11"/>
  <c r="E175" i="25"/>
  <c r="M175" i="49"/>
  <c r="E174" i="33"/>
  <c r="D174" i="37" s="1"/>
  <c r="E167" i="33"/>
  <c r="D167" i="37" s="1"/>
  <c r="M168" i="49"/>
  <c r="C167" i="11"/>
  <c r="E168" i="25"/>
  <c r="C178" i="34"/>
  <c r="C243" i="12"/>
  <c r="C243" i="39"/>
  <c r="C243" i="33"/>
  <c r="F243" i="32"/>
  <c r="G243" i="32" s="1"/>
  <c r="E281" i="33"/>
  <c r="D281" i="37" s="1"/>
  <c r="E282" i="25"/>
  <c r="M282" i="49"/>
  <c r="C281" i="11"/>
  <c r="C292" i="34"/>
  <c r="E67" i="33"/>
  <c r="D67" i="37" s="1"/>
  <c r="E68" i="25"/>
  <c r="C67" i="11"/>
  <c r="C78" i="34"/>
  <c r="M68" i="49"/>
  <c r="M171" i="49"/>
  <c r="E171" i="25"/>
  <c r="C170" i="11"/>
  <c r="C181" i="34"/>
  <c r="E170" i="33"/>
  <c r="D170" i="37" s="1"/>
  <c r="E279" i="33"/>
  <c r="D279" i="37" s="1"/>
  <c r="C290" i="34"/>
  <c r="M280" i="49"/>
  <c r="C279" i="11"/>
  <c r="E280" i="25"/>
  <c r="M120" i="49"/>
  <c r="C130" i="34"/>
  <c r="E120" i="25"/>
  <c r="C119" i="11"/>
  <c r="E119" i="33"/>
  <c r="D119" i="37" s="1"/>
  <c r="E148" i="33"/>
  <c r="D148" i="37" s="1"/>
  <c r="E149" i="25"/>
  <c r="C148" i="11"/>
  <c r="M149" i="49"/>
  <c r="C159" i="34"/>
  <c r="E299" i="33"/>
  <c r="D299" i="37" s="1"/>
  <c r="E300" i="25"/>
  <c r="M300" i="49"/>
  <c r="C299" i="11"/>
  <c r="C310" i="34"/>
  <c r="M124" i="49"/>
  <c r="E124" i="25"/>
  <c r="C123" i="11"/>
  <c r="C134" i="34"/>
  <c r="E123" i="33"/>
  <c r="D123" i="37" s="1"/>
  <c r="E249" i="25"/>
  <c r="M249" i="49"/>
  <c r="C248" i="11"/>
  <c r="C259" i="34"/>
  <c r="E248" i="33"/>
  <c r="D248" i="37" s="1"/>
  <c r="C62" i="34"/>
  <c r="E52" i="25"/>
  <c r="C51" i="11"/>
  <c r="E51" i="33"/>
  <c r="D51" i="37" s="1"/>
  <c r="M52" i="49"/>
  <c r="E89" i="25"/>
  <c r="M89" i="49"/>
  <c r="C88" i="11"/>
  <c r="C99" i="34"/>
  <c r="E88" i="33"/>
  <c r="D88" i="37" s="1"/>
  <c r="E190" i="33"/>
  <c r="D190" i="37" s="1"/>
  <c r="E191" i="25"/>
  <c r="M191" i="49"/>
  <c r="C201" i="34"/>
  <c r="C190" i="11"/>
  <c r="E38" i="25"/>
  <c r="M38" i="49"/>
  <c r="C37" i="11"/>
  <c r="C48" i="34"/>
  <c r="E37" i="33"/>
  <c r="D37" i="37" s="1"/>
  <c r="M228" i="49"/>
  <c r="E228" i="25"/>
  <c r="C227" i="11"/>
  <c r="C238" i="34"/>
  <c r="E227" i="33"/>
  <c r="D227" i="37" s="1"/>
  <c r="C106" i="34"/>
  <c r="C95" i="11"/>
  <c r="E96" i="25"/>
  <c r="E95" i="33"/>
  <c r="D95" i="37" s="1"/>
  <c r="M96" i="49"/>
  <c r="M219" i="49"/>
  <c r="E219" i="25"/>
  <c r="E218" i="33"/>
  <c r="D218" i="37" s="1"/>
  <c r="C229" i="34"/>
  <c r="C218" i="11"/>
  <c r="C109" i="34"/>
  <c r="E98" i="33"/>
  <c r="D98" i="37" s="1"/>
  <c r="E99" i="25"/>
  <c r="M99" i="49"/>
  <c r="C98" i="11"/>
  <c r="E197" i="25"/>
  <c r="C196" i="11"/>
  <c r="M197" i="49"/>
  <c r="C207" i="34"/>
  <c r="E196" i="33"/>
  <c r="D196" i="37" s="1"/>
  <c r="M201" i="49"/>
  <c r="C211" i="34"/>
  <c r="C200" i="11"/>
  <c r="E201" i="25"/>
  <c r="E200" i="33"/>
  <c r="D200" i="37" s="1"/>
  <c r="E211" i="33"/>
  <c r="D211" i="37" s="1"/>
  <c r="M212" i="49"/>
  <c r="E212" i="25"/>
  <c r="C211" i="11"/>
  <c r="C222" i="34"/>
  <c r="C145" i="11"/>
  <c r="C156" i="34"/>
  <c r="E145" i="33"/>
  <c r="D145" i="37" s="1"/>
  <c r="E146" i="25"/>
  <c r="M146" i="49"/>
  <c r="E119" i="25"/>
  <c r="M119" i="49"/>
  <c r="C129" i="34"/>
  <c r="C118" i="11"/>
  <c r="E118" i="33"/>
  <c r="D118" i="37" s="1"/>
  <c r="C298" i="11"/>
  <c r="E298" i="33"/>
  <c r="D298" i="37" s="1"/>
  <c r="E299" i="25"/>
  <c r="M299" i="49"/>
  <c r="C309" i="34"/>
  <c r="E111" i="33"/>
  <c r="D111" i="37" s="1"/>
  <c r="M112" i="49"/>
  <c r="E112" i="25"/>
  <c r="C111" i="11"/>
  <c r="C122" i="34"/>
  <c r="E199" i="33"/>
  <c r="D199" i="37" s="1"/>
  <c r="C199" i="11"/>
  <c r="E200" i="25"/>
  <c r="C210" i="34"/>
  <c r="M200" i="49"/>
  <c r="E212" i="33"/>
  <c r="D212" i="37" s="1"/>
  <c r="E213" i="25"/>
  <c r="C212" i="11"/>
  <c r="C223" i="34"/>
  <c r="M213" i="49"/>
  <c r="M227" i="49"/>
  <c r="C226" i="11"/>
  <c r="C237" i="34"/>
  <c r="E226" i="33"/>
  <c r="D226" i="37" s="1"/>
  <c r="E227" i="25"/>
  <c r="E116" i="33"/>
  <c r="D116" i="37" s="1"/>
  <c r="C116" i="11"/>
  <c r="M117" i="49"/>
  <c r="C127" i="34"/>
  <c r="E117" i="25"/>
  <c r="M313" i="49"/>
  <c r="C312" i="11"/>
  <c r="E313" i="25"/>
  <c r="C323" i="34"/>
  <c r="E312" i="33"/>
  <c r="D312" i="37" s="1"/>
  <c r="E96" i="33"/>
  <c r="D96" i="37" s="1"/>
  <c r="E97" i="25"/>
  <c r="M97" i="49"/>
  <c r="C96" i="11"/>
  <c r="C107" i="34"/>
  <c r="E203" i="33"/>
  <c r="D203" i="37" s="1"/>
  <c r="M204" i="49"/>
  <c r="E204" i="25"/>
  <c r="C203" i="11"/>
  <c r="C214" i="34"/>
  <c r="E235" i="25"/>
  <c r="M235" i="49"/>
  <c r="E234" i="33"/>
  <c r="D234" i="37" s="1"/>
  <c r="C245" i="34"/>
  <c r="C234" i="11"/>
  <c r="E268" i="25"/>
  <c r="M268" i="49"/>
  <c r="C267" i="11"/>
  <c r="C278" i="34"/>
  <c r="E267" i="33"/>
  <c r="D267" i="37" s="1"/>
  <c r="E311" i="33"/>
  <c r="D311" i="37" s="1"/>
  <c r="C311" i="11"/>
  <c r="M312" i="49"/>
  <c r="E312" i="25"/>
  <c r="C322" i="34"/>
  <c r="E142" i="33"/>
  <c r="D142" i="37" s="1"/>
  <c r="E143" i="25"/>
  <c r="M143" i="49"/>
  <c r="C153" i="34"/>
  <c r="C142" i="11"/>
  <c r="C288" i="34"/>
  <c r="M278" i="49"/>
  <c r="E277" i="33"/>
  <c r="D277" i="37" s="1"/>
  <c r="E278" i="25"/>
  <c r="C277" i="11"/>
  <c r="E8" i="33"/>
  <c r="D8" i="37" s="1"/>
  <c r="E9" i="25"/>
  <c r="M9" i="49"/>
  <c r="C8" i="11"/>
  <c r="C19" i="34"/>
  <c r="E131" i="33"/>
  <c r="D131" i="37" s="1"/>
  <c r="C142" i="34"/>
  <c r="M132" i="49"/>
  <c r="E132" i="25"/>
  <c r="C131" i="11"/>
  <c r="C262" i="34"/>
  <c r="M252" i="49"/>
  <c r="E252" i="25"/>
  <c r="C251" i="11"/>
  <c r="E251" i="33"/>
  <c r="D251" i="37" s="1"/>
  <c r="E54" i="33"/>
  <c r="D54" i="37" s="1"/>
  <c r="M55" i="49"/>
  <c r="C65" i="34"/>
  <c r="C54" i="11"/>
  <c r="E55" i="25"/>
  <c r="E194" i="25"/>
  <c r="M194" i="49"/>
  <c r="C204" i="34"/>
  <c r="C193" i="11"/>
  <c r="E193" i="33"/>
  <c r="D193" i="37" s="1"/>
  <c r="E127" i="33"/>
  <c r="D127" i="37" s="1"/>
  <c r="C138" i="34"/>
  <c r="C127" i="11"/>
  <c r="E128" i="25"/>
  <c r="M128" i="49"/>
  <c r="E16" i="33"/>
  <c r="D16" i="37" s="1"/>
  <c r="E17" i="25"/>
  <c r="M17" i="49"/>
  <c r="C16" i="11"/>
  <c r="C27" i="34"/>
  <c r="M25" i="49"/>
  <c r="E24" i="33"/>
  <c r="D24" i="37" s="1"/>
  <c r="C35" i="34"/>
  <c r="C24" i="11"/>
  <c r="E25" i="25"/>
  <c r="E50" i="33"/>
  <c r="D50" i="37" s="1"/>
  <c r="C50" i="11"/>
  <c r="E51" i="25"/>
  <c r="C61" i="34"/>
  <c r="M51" i="49"/>
  <c r="C11" i="11"/>
  <c r="E11" i="33"/>
  <c r="D11" i="37" s="1"/>
  <c r="M12" i="49"/>
  <c r="E12" i="25"/>
  <c r="C22" i="34"/>
  <c r="E295" i="33"/>
  <c r="D295" i="37" s="1"/>
  <c r="C306" i="34"/>
  <c r="E296" i="25"/>
  <c r="C295" i="11"/>
  <c r="M296" i="49"/>
  <c r="E228" i="33"/>
  <c r="D228" i="37" s="1"/>
  <c r="E229" i="25"/>
  <c r="C228" i="11"/>
  <c r="C239" i="34"/>
  <c r="M229" i="49"/>
  <c r="C199" i="34"/>
  <c r="E189" i="25"/>
  <c r="C188" i="11"/>
  <c r="M189" i="49"/>
  <c r="E188" i="33"/>
  <c r="D188" i="37" s="1"/>
  <c r="E7" i="33"/>
  <c r="D7" i="37" s="1"/>
  <c r="E8" i="25"/>
  <c r="M8" i="49"/>
  <c r="C18" i="34"/>
  <c r="C7" i="11"/>
  <c r="C216" i="34"/>
  <c r="E206" i="25"/>
  <c r="M206" i="49"/>
  <c r="C205" i="11"/>
  <c r="E205" i="33"/>
  <c r="D205" i="37" s="1"/>
  <c r="E85" i="33"/>
  <c r="D85" i="37" s="1"/>
  <c r="M86" i="49"/>
  <c r="C85" i="11"/>
  <c r="C96" i="34"/>
  <c r="E86" i="25"/>
  <c r="C55" i="34"/>
  <c r="E44" i="33"/>
  <c r="D44" i="37" s="1"/>
  <c r="C44" i="11"/>
  <c r="E45" i="25"/>
  <c r="M45" i="49"/>
  <c r="M40" i="49"/>
  <c r="C50" i="34"/>
  <c r="C39" i="11"/>
  <c r="E40" i="25"/>
  <c r="E39" i="33"/>
  <c r="D39" i="37" s="1"/>
  <c r="E113" i="33"/>
  <c r="D113" i="37" s="1"/>
  <c r="E114" i="25"/>
  <c r="M114" i="49"/>
  <c r="C113" i="11"/>
  <c r="C124" i="34"/>
  <c r="C236" i="11"/>
  <c r="M237" i="49"/>
  <c r="E237" i="25"/>
  <c r="C247" i="34"/>
  <c r="E236" i="33"/>
  <c r="D236" i="37" s="1"/>
  <c r="E269" i="33"/>
  <c r="D269" i="37" s="1"/>
  <c r="C269" i="11"/>
  <c r="C280" i="34"/>
  <c r="E270" i="25"/>
  <c r="M270" i="49"/>
  <c r="E219" i="33"/>
  <c r="D219" i="37" s="1"/>
  <c r="M220" i="49"/>
  <c r="E220" i="25"/>
  <c r="C219" i="11"/>
  <c r="C230" i="34"/>
  <c r="E82" i="33"/>
  <c r="D82" i="37" s="1"/>
  <c r="C82" i="11"/>
  <c r="C93" i="34"/>
  <c r="E83" i="25"/>
  <c r="M83" i="49"/>
  <c r="E225" i="33"/>
  <c r="D225" i="37" s="1"/>
  <c r="C225" i="11"/>
  <c r="C236" i="34"/>
  <c r="E226" i="25"/>
  <c r="M226" i="49"/>
  <c r="C36" i="34"/>
  <c r="E26" i="25"/>
  <c r="M26" i="49"/>
  <c r="C25" i="11"/>
  <c r="E25" i="33"/>
  <c r="D25" i="37" s="1"/>
  <c r="E137" i="25"/>
  <c r="M137" i="49"/>
  <c r="E136" i="33"/>
  <c r="D136" i="37" s="1"/>
  <c r="C136" i="11"/>
  <c r="C147" i="34"/>
  <c r="C293" i="34"/>
  <c r="E283" i="25"/>
  <c r="M283" i="49"/>
  <c r="C282" i="11"/>
  <c r="E282" i="33"/>
  <c r="D282" i="37" s="1"/>
  <c r="C146" i="11"/>
  <c r="E147" i="25"/>
  <c r="E146" i="33"/>
  <c r="D146" i="37" s="1"/>
  <c r="M147" i="49"/>
  <c r="C157" i="34"/>
  <c r="C203" i="34"/>
  <c r="E193" i="25"/>
  <c r="C192" i="11"/>
  <c r="M193" i="49"/>
  <c r="E192" i="33"/>
  <c r="D192" i="37" s="1"/>
  <c r="E216" i="33"/>
  <c r="D216" i="37" s="1"/>
  <c r="C227" i="34"/>
  <c r="C216" i="11"/>
  <c r="E217" i="25"/>
  <c r="M217" i="49"/>
  <c r="M269" i="49"/>
  <c r="C279" i="34"/>
  <c r="E268" i="33"/>
  <c r="D268" i="37" s="1"/>
  <c r="E269" i="25"/>
  <c r="C268" i="11"/>
  <c r="E74" i="33"/>
  <c r="D74" i="37" s="1"/>
  <c r="M75" i="49"/>
  <c r="E75" i="25"/>
  <c r="C85" i="34"/>
  <c r="C74" i="11"/>
  <c r="E49" i="33"/>
  <c r="D49" i="37" s="1"/>
  <c r="C60" i="34"/>
  <c r="E50" i="25"/>
  <c r="C49" i="11"/>
  <c r="M50" i="49"/>
  <c r="E223" i="33"/>
  <c r="D223" i="37" s="1"/>
  <c r="M224" i="49"/>
  <c r="C223" i="11"/>
  <c r="E224" i="25"/>
  <c r="C234" i="34"/>
  <c r="M231" i="49"/>
  <c r="C241" i="34"/>
  <c r="E230" i="33"/>
  <c r="D230" i="37" s="1"/>
  <c r="E231" i="25"/>
  <c r="C230" i="11"/>
  <c r="E93" i="33"/>
  <c r="D93" i="37" s="1"/>
  <c r="M94" i="49"/>
  <c r="C104" i="34"/>
  <c r="E94" i="25"/>
  <c r="C93" i="11"/>
  <c r="E48" i="33"/>
  <c r="D48" i="37" s="1"/>
  <c r="E49" i="25"/>
  <c r="M49" i="49"/>
  <c r="C48" i="11"/>
  <c r="C59" i="34"/>
  <c r="E139" i="33"/>
  <c r="D139" i="37" s="1"/>
  <c r="M140" i="49"/>
  <c r="E140" i="25"/>
  <c r="C139" i="11"/>
  <c r="C150" i="34"/>
  <c r="C305" i="11"/>
  <c r="E305" i="33"/>
  <c r="D305" i="37" s="1"/>
  <c r="M306" i="49"/>
  <c r="E306" i="25"/>
  <c r="C316" i="34"/>
  <c r="E124" i="33"/>
  <c r="D124" i="37" s="1"/>
  <c r="C124" i="11"/>
  <c r="M125" i="49"/>
  <c r="C135" i="34"/>
  <c r="E125" i="25"/>
  <c r="M160" i="49"/>
  <c r="C159" i="11"/>
  <c r="E160" i="25"/>
  <c r="C170" i="34"/>
  <c r="E159" i="33"/>
  <c r="D159" i="37" s="1"/>
  <c r="E92" i="33"/>
  <c r="D92" i="37" s="1"/>
  <c r="E93" i="25"/>
  <c r="C92" i="11"/>
  <c r="M93" i="49"/>
  <c r="C103" i="34"/>
  <c r="C255" i="11"/>
  <c r="E256" i="25"/>
  <c r="M256" i="49"/>
  <c r="C266" i="34"/>
  <c r="E255" i="33"/>
  <c r="D255" i="37" s="1"/>
  <c r="E232" i="25"/>
  <c r="M232" i="49"/>
  <c r="C231" i="11"/>
  <c r="C242" i="34"/>
  <c r="E231" i="33"/>
  <c r="D231" i="37" s="1"/>
  <c r="E162" i="33"/>
  <c r="D162" i="37" s="1"/>
  <c r="E163" i="25"/>
  <c r="M163" i="49"/>
  <c r="C173" i="34"/>
  <c r="C162" i="11"/>
  <c r="E246" i="33"/>
  <c r="D246" i="37" s="1"/>
  <c r="M247" i="49"/>
  <c r="C246" i="11"/>
  <c r="E247" i="25"/>
  <c r="C257" i="34"/>
  <c r="E265" i="33"/>
  <c r="D265" i="37" s="1"/>
  <c r="E266" i="25"/>
  <c r="M266" i="49"/>
  <c r="C276" i="34"/>
  <c r="C265" i="11"/>
  <c r="E42" i="33"/>
  <c r="D42" i="37" s="1"/>
  <c r="C42" i="11"/>
  <c r="M43" i="49"/>
  <c r="C53" i="34"/>
  <c r="E43" i="25"/>
  <c r="E52" i="33"/>
  <c r="D52" i="37" s="1"/>
  <c r="E53" i="25"/>
  <c r="M53" i="49"/>
  <c r="C52" i="11"/>
  <c r="C63" i="34"/>
  <c r="M107" i="49"/>
  <c r="E106" i="33"/>
  <c r="D106" i="37" s="1"/>
  <c r="E107" i="25"/>
  <c r="C106" i="11"/>
  <c r="C117" i="34"/>
  <c r="E108" i="33"/>
  <c r="D108" i="37" s="1"/>
  <c r="E109" i="25"/>
  <c r="C108" i="11"/>
  <c r="M109" i="49"/>
  <c r="C119" i="34"/>
  <c r="M274" i="49"/>
  <c r="C284" i="34"/>
  <c r="E273" i="33"/>
  <c r="D273" i="37" s="1"/>
  <c r="E274" i="25"/>
  <c r="C273" i="11"/>
  <c r="M264" i="49"/>
  <c r="C263" i="11"/>
  <c r="C274" i="34"/>
  <c r="E264" i="25"/>
  <c r="E263" i="33"/>
  <c r="D263" i="37" s="1"/>
  <c r="E78" i="33"/>
  <c r="D78" i="37" s="1"/>
  <c r="E79" i="25"/>
  <c r="M79" i="49"/>
  <c r="C89" i="34"/>
  <c r="C78" i="11"/>
  <c r="C172" i="11"/>
  <c r="M173" i="49"/>
  <c r="E173" i="25"/>
  <c r="C183" i="34"/>
  <c r="E172" i="33"/>
  <c r="D172" i="37" s="1"/>
  <c r="E143" i="33"/>
  <c r="D143" i="37" s="1"/>
  <c r="E144" i="25"/>
  <c r="C143" i="11"/>
  <c r="C154" i="34"/>
  <c r="M144" i="49"/>
  <c r="E144" i="33"/>
  <c r="D144" i="37" s="1"/>
  <c r="E145" i="25"/>
  <c r="M145" i="49"/>
  <c r="C144" i="11"/>
  <c r="C155" i="34"/>
  <c r="C303" i="11"/>
  <c r="C314" i="34"/>
  <c r="E304" i="25"/>
  <c r="M304" i="49"/>
  <c r="E303" i="33"/>
  <c r="D303" i="37" s="1"/>
  <c r="E101" i="25"/>
  <c r="C100" i="11"/>
  <c r="M101" i="49"/>
  <c r="C111" i="34"/>
  <c r="E100" i="33"/>
  <c r="D100" i="37" s="1"/>
  <c r="E38" i="33"/>
  <c r="D38" i="37" s="1"/>
  <c r="E39" i="25"/>
  <c r="M39" i="49"/>
  <c r="C49" i="34"/>
  <c r="C38" i="11"/>
  <c r="E66" i="33"/>
  <c r="D66" i="37" s="1"/>
  <c r="C66" i="11"/>
  <c r="E67" i="25"/>
  <c r="M67" i="49"/>
  <c r="C77" i="34"/>
  <c r="E165" i="25"/>
  <c r="C164" i="11"/>
  <c r="M165" i="49"/>
  <c r="C175" i="34"/>
  <c r="E164" i="33"/>
  <c r="D164" i="37" s="1"/>
  <c r="E215" i="25"/>
  <c r="M215" i="49"/>
  <c r="C225" i="34"/>
  <c r="C214" i="11"/>
  <c r="E214" i="33"/>
  <c r="D214" i="37" s="1"/>
  <c r="E185" i="25"/>
  <c r="M185" i="49"/>
  <c r="C184" i="11"/>
  <c r="C195" i="34"/>
  <c r="E184" i="33"/>
  <c r="D184" i="37" s="1"/>
  <c r="E206" i="33"/>
  <c r="D206" i="37" s="1"/>
  <c r="E207" i="25"/>
  <c r="M207" i="49"/>
  <c r="C217" i="34"/>
  <c r="C206" i="11"/>
  <c r="C266" i="11"/>
  <c r="C277" i="34"/>
  <c r="E266" i="33"/>
  <c r="D266" i="37" s="1"/>
  <c r="M267" i="49"/>
  <c r="E267" i="25"/>
  <c r="E248" i="25"/>
  <c r="C247" i="11"/>
  <c r="C258" i="34"/>
  <c r="M248" i="49"/>
  <c r="E247" i="33"/>
  <c r="D247" i="37" s="1"/>
  <c r="E175" i="33"/>
  <c r="D175" i="37" s="1"/>
  <c r="M176" i="49"/>
  <c r="E176" i="25"/>
  <c r="C175" i="11"/>
  <c r="C186" i="34"/>
  <c r="E285" i="33"/>
  <c r="D285" i="37" s="1"/>
  <c r="C285" i="11"/>
  <c r="M286" i="49"/>
  <c r="C296" i="34"/>
  <c r="E286" i="25"/>
  <c r="E194" i="33"/>
  <c r="D194" i="37" s="1"/>
  <c r="M195" i="49"/>
  <c r="C194" i="11"/>
  <c r="C205" i="34"/>
  <c r="E195" i="25"/>
  <c r="E262" i="33"/>
  <c r="D262" i="37" s="1"/>
  <c r="E263" i="25"/>
  <c r="M263" i="49"/>
  <c r="C262" i="11"/>
  <c r="C273" i="34"/>
  <c r="E23" i="25"/>
  <c r="M23" i="49"/>
  <c r="C22" i="11"/>
  <c r="C33" i="34"/>
  <c r="E22" i="33"/>
  <c r="D22" i="37" s="1"/>
  <c r="E79" i="33"/>
  <c r="D79" i="37" s="1"/>
  <c r="M80" i="49"/>
  <c r="E80" i="25"/>
  <c r="C90" i="34"/>
  <c r="C79" i="11"/>
  <c r="C163" i="34"/>
  <c r="E153" i="25"/>
  <c r="M153" i="49"/>
  <c r="C152" i="11"/>
  <c r="E152" i="33"/>
  <c r="D152" i="37" s="1"/>
  <c r="M48" i="49"/>
  <c r="E48" i="25"/>
  <c r="C58" i="34"/>
  <c r="C47" i="11"/>
  <c r="E47" i="33"/>
  <c r="D47" i="37" s="1"/>
  <c r="M78" i="49"/>
  <c r="C77" i="11"/>
  <c r="E78" i="25"/>
  <c r="C88" i="34"/>
  <c r="E77" i="33"/>
  <c r="D77" i="37" s="1"/>
  <c r="E309" i="25"/>
  <c r="C308" i="11"/>
  <c r="E308" i="33"/>
  <c r="D308" i="37" s="1"/>
  <c r="M309" i="49"/>
  <c r="C319" i="34"/>
  <c r="C132" i="11"/>
  <c r="M133" i="49"/>
  <c r="C143" i="34"/>
  <c r="E133" i="25"/>
  <c r="E132" i="33"/>
  <c r="D132" i="37" s="1"/>
  <c r="E53" i="33"/>
  <c r="D53" i="37" s="1"/>
  <c r="E54" i="25"/>
  <c r="C53" i="11"/>
  <c r="M54" i="49"/>
  <c r="C64" i="34"/>
  <c r="E102" i="33"/>
  <c r="D102" i="37" s="1"/>
  <c r="E103" i="25"/>
  <c r="M103" i="49"/>
  <c r="C113" i="34"/>
  <c r="C102" i="11"/>
  <c r="E104" i="33"/>
  <c r="D104" i="37" s="1"/>
  <c r="C115" i="34"/>
  <c r="E105" i="25"/>
  <c r="M105" i="49"/>
  <c r="C104" i="11"/>
  <c r="E155" i="25"/>
  <c r="C165" i="34"/>
  <c r="C154" i="11"/>
  <c r="E154" i="33"/>
  <c r="D154" i="37" s="1"/>
  <c r="M155" i="49"/>
  <c r="E138" i="33"/>
  <c r="D138" i="37" s="1"/>
  <c r="E139" i="25"/>
  <c r="C138" i="11"/>
  <c r="C149" i="34"/>
  <c r="M139" i="49"/>
  <c r="E6" i="33"/>
  <c r="D6" i="37" s="1"/>
  <c r="C17" i="34"/>
  <c r="C6" i="11"/>
  <c r="E7" i="25"/>
  <c r="M7" i="49"/>
  <c r="E287" i="33"/>
  <c r="D287" i="37" s="1"/>
  <c r="M288" i="49"/>
  <c r="C287" i="11"/>
  <c r="E288" i="25"/>
  <c r="C298" i="34"/>
  <c r="C220" i="11"/>
  <c r="M221" i="49"/>
  <c r="E221" i="25"/>
  <c r="C231" i="34"/>
  <c r="E220" i="33"/>
  <c r="D220" i="37" s="1"/>
  <c r="M90" i="49"/>
  <c r="C89" i="11"/>
  <c r="C100" i="34"/>
  <c r="E89" i="33"/>
  <c r="D89" i="37" s="1"/>
  <c r="E90" i="25"/>
  <c r="C189" i="11"/>
  <c r="E190" i="25"/>
  <c r="M190" i="49"/>
  <c r="C200" i="34"/>
  <c r="E189" i="33"/>
  <c r="D189" i="37" s="1"/>
  <c r="C69" i="11"/>
  <c r="C80" i="34"/>
  <c r="E70" i="25"/>
  <c r="E69" i="33"/>
  <c r="D69" i="37" s="1"/>
  <c r="M70" i="49"/>
  <c r="M82" i="49"/>
  <c r="C81" i="11"/>
  <c r="C92" i="34"/>
  <c r="E82" i="25"/>
  <c r="E81" i="33"/>
  <c r="D81" i="37" s="1"/>
  <c r="C185" i="11"/>
  <c r="E186" i="25"/>
  <c r="M186" i="49"/>
  <c r="C196" i="34"/>
  <c r="E185" i="33"/>
  <c r="D185" i="37" s="1"/>
  <c r="C201" i="11"/>
  <c r="E202" i="25"/>
  <c r="M202" i="49"/>
  <c r="C212" i="34"/>
  <c r="E201" i="33"/>
  <c r="D201" i="37" s="1"/>
  <c r="E66" i="25"/>
  <c r="M66" i="49"/>
  <c r="C65" i="11"/>
  <c r="C76" i="34"/>
  <c r="E65" i="33"/>
  <c r="D65" i="37" s="1"/>
  <c r="E74" i="25"/>
  <c r="M74" i="49"/>
  <c r="C73" i="11"/>
  <c r="E73" i="33"/>
  <c r="D73" i="37" s="1"/>
  <c r="C84" i="34"/>
  <c r="E229" i="33"/>
  <c r="D229" i="37" s="1"/>
  <c r="C240" i="34"/>
  <c r="C229" i="11"/>
  <c r="E230" i="25"/>
  <c r="M230" i="49"/>
  <c r="E57" i="33"/>
  <c r="D57" i="37" s="1"/>
  <c r="E58" i="25"/>
  <c r="M58" i="49"/>
  <c r="C57" i="11"/>
  <c r="C68" i="34"/>
  <c r="E157" i="33"/>
  <c r="D157" i="37" s="1"/>
  <c r="E158" i="25"/>
  <c r="M158" i="49"/>
  <c r="C157" i="11"/>
  <c r="C168" i="34"/>
  <c r="E17" i="33"/>
  <c r="D17" i="37" s="1"/>
  <c r="M18" i="49"/>
  <c r="E18" i="25"/>
  <c r="C17" i="11"/>
  <c r="C28" i="34"/>
  <c r="M138" i="49"/>
  <c r="C148" i="34"/>
  <c r="C137" i="11"/>
  <c r="E137" i="33"/>
  <c r="D137" i="37" s="1"/>
  <c r="E138" i="25"/>
  <c r="E181" i="33"/>
  <c r="D181" i="37" s="1"/>
  <c r="E182" i="25"/>
  <c r="M182" i="49"/>
  <c r="C181" i="11"/>
  <c r="C192" i="34"/>
  <c r="E289" i="25"/>
  <c r="M289" i="49"/>
  <c r="C288" i="11"/>
  <c r="C299" i="34"/>
  <c r="E288" i="33"/>
  <c r="D288" i="37" s="1"/>
  <c r="C169" i="39"/>
  <c r="C169" i="12"/>
  <c r="C169" i="33"/>
  <c r="F169" i="32"/>
  <c r="G169" i="32" s="1"/>
  <c r="J244" i="13"/>
  <c r="G244" i="49"/>
  <c r="J170" i="13"/>
  <c r="G170" i="49"/>
  <c r="M4" i="11"/>
  <c r="I4" i="11"/>
  <c r="H268" i="11" l="1"/>
  <c r="I268" i="11" s="1"/>
  <c r="L268" i="11"/>
  <c r="M268" i="11" s="1"/>
  <c r="H311" i="11"/>
  <c r="I311" i="11" s="1"/>
  <c r="L311" i="11"/>
  <c r="M311" i="11" s="1"/>
  <c r="L111" i="11"/>
  <c r="M111" i="11" s="1"/>
  <c r="H111" i="11"/>
  <c r="I111" i="11" s="1"/>
  <c r="M244" i="49"/>
  <c r="E244" i="25"/>
  <c r="E243" i="33"/>
  <c r="D243" i="37" s="1"/>
  <c r="C243" i="11"/>
  <c r="C254" i="34"/>
  <c r="L240" i="11"/>
  <c r="M240" i="11" s="1"/>
  <c r="H240" i="11"/>
  <c r="I240" i="11" s="1"/>
  <c r="L221" i="11"/>
  <c r="M221" i="11" s="1"/>
  <c r="H221" i="11"/>
  <c r="I221" i="11" s="1"/>
  <c r="L220" i="11"/>
  <c r="M220" i="11" s="1"/>
  <c r="H220" i="11"/>
  <c r="I220" i="11" s="1"/>
  <c r="L132" i="11"/>
  <c r="M132" i="11" s="1"/>
  <c r="H132" i="11"/>
  <c r="I132" i="11" s="1"/>
  <c r="L262" i="11"/>
  <c r="M262" i="11" s="1"/>
  <c r="H262" i="11"/>
  <c r="I262" i="11" s="1"/>
  <c r="H214" i="11"/>
  <c r="I214" i="11" s="1"/>
  <c r="L214" i="11"/>
  <c r="M214" i="11" s="1"/>
  <c r="L231" i="11"/>
  <c r="M231" i="11" s="1"/>
  <c r="H231" i="11"/>
  <c r="I231" i="11" s="1"/>
  <c r="H159" i="11"/>
  <c r="I159" i="11" s="1"/>
  <c r="L159" i="11"/>
  <c r="M159" i="11" s="1"/>
  <c r="L205" i="11"/>
  <c r="M205" i="11" s="1"/>
  <c r="H205" i="11"/>
  <c r="I205" i="11" s="1"/>
  <c r="H228" i="11"/>
  <c r="I228" i="11" s="1"/>
  <c r="L228" i="11"/>
  <c r="M228" i="11" s="1"/>
  <c r="L131" i="11"/>
  <c r="M131" i="11" s="1"/>
  <c r="H131" i="11"/>
  <c r="I131" i="11" s="1"/>
  <c r="L312" i="11"/>
  <c r="M312" i="11" s="1"/>
  <c r="H312" i="11"/>
  <c r="I312" i="11" s="1"/>
  <c r="H123" i="11"/>
  <c r="I123" i="11" s="1"/>
  <c r="L123" i="11"/>
  <c r="M123" i="11" s="1"/>
  <c r="L294" i="11"/>
  <c r="M294" i="11" s="1"/>
  <c r="H294" i="11"/>
  <c r="I294" i="11" s="1"/>
  <c r="H133" i="11"/>
  <c r="I133" i="11" s="1"/>
  <c r="L133" i="11"/>
  <c r="M133" i="11" s="1"/>
  <c r="L197" i="11"/>
  <c r="M197" i="11" s="1"/>
  <c r="H197" i="11"/>
  <c r="I197" i="11" s="1"/>
  <c r="L301" i="11"/>
  <c r="M301" i="11" s="1"/>
  <c r="H301" i="11"/>
  <c r="I301" i="11" s="1"/>
  <c r="H278" i="11"/>
  <c r="I278" i="11" s="1"/>
  <c r="L278" i="11"/>
  <c r="M278" i="11" s="1"/>
  <c r="L304" i="11"/>
  <c r="M304" i="11" s="1"/>
  <c r="H304" i="11"/>
  <c r="I304" i="11" s="1"/>
  <c r="L114" i="11"/>
  <c r="M114" i="11" s="1"/>
  <c r="H114" i="11"/>
  <c r="I114" i="11" s="1"/>
  <c r="L274" i="11"/>
  <c r="M274" i="11" s="1"/>
  <c r="H274" i="11"/>
  <c r="I274" i="11" s="1"/>
  <c r="L191" i="11"/>
  <c r="M191" i="11" s="1"/>
  <c r="H191" i="11"/>
  <c r="I191" i="11" s="1"/>
  <c r="L122" i="11"/>
  <c r="M122" i="11" s="1"/>
  <c r="H122" i="11"/>
  <c r="I122" i="11" s="1"/>
  <c r="L217" i="11"/>
  <c r="M217" i="11" s="1"/>
  <c r="H217" i="11"/>
  <c r="I217" i="11" s="1"/>
  <c r="L270" i="11"/>
  <c r="M270" i="11" s="1"/>
  <c r="H270" i="11"/>
  <c r="I270" i="11" s="1"/>
  <c r="L180" i="11"/>
  <c r="M180" i="11" s="1"/>
  <c r="H180" i="11"/>
  <c r="I180" i="11" s="1"/>
  <c r="L164" i="11"/>
  <c r="M164" i="11" s="1"/>
  <c r="H164" i="11"/>
  <c r="I164" i="11" s="1"/>
  <c r="L265" i="11"/>
  <c r="M265" i="11" s="1"/>
  <c r="H265" i="11"/>
  <c r="I265" i="11" s="1"/>
  <c r="L298" i="11"/>
  <c r="M298" i="11" s="1"/>
  <c r="H298" i="11"/>
  <c r="I298" i="11" s="1"/>
  <c r="L151" i="11"/>
  <c r="M151" i="11" s="1"/>
  <c r="H151" i="11"/>
  <c r="I151" i="11" s="1"/>
  <c r="L309" i="11"/>
  <c r="M309" i="11" s="1"/>
  <c r="H309" i="11"/>
  <c r="I309" i="11" s="1"/>
  <c r="L176" i="11"/>
  <c r="M176" i="11" s="1"/>
  <c r="H176" i="11"/>
  <c r="I176" i="11" s="1"/>
  <c r="L135" i="11"/>
  <c r="M135" i="11" s="1"/>
  <c r="H135" i="11"/>
  <c r="I135" i="11" s="1"/>
  <c r="L130" i="11"/>
  <c r="M130" i="11" s="1"/>
  <c r="H130" i="11"/>
  <c r="I130" i="11" s="1"/>
  <c r="H229" i="11"/>
  <c r="I229" i="11" s="1"/>
  <c r="L229" i="11"/>
  <c r="M229" i="11" s="1"/>
  <c r="H77" i="11"/>
  <c r="I77" i="11" s="1"/>
  <c r="L77" i="11"/>
  <c r="M77" i="11" s="1"/>
  <c r="H152" i="11"/>
  <c r="I152" i="11" s="1"/>
  <c r="L152" i="11"/>
  <c r="M152" i="11" s="1"/>
  <c r="L106" i="11"/>
  <c r="M106" i="11" s="1"/>
  <c r="H106" i="11"/>
  <c r="I106" i="11" s="1"/>
  <c r="L162" i="11"/>
  <c r="M162" i="11" s="1"/>
  <c r="H162" i="11"/>
  <c r="I162" i="11" s="1"/>
  <c r="L136" i="11"/>
  <c r="M136" i="11" s="1"/>
  <c r="H136" i="11"/>
  <c r="I136" i="11" s="1"/>
  <c r="L96" i="11"/>
  <c r="M96" i="11" s="1"/>
  <c r="H96" i="11"/>
  <c r="I96" i="11" s="1"/>
  <c r="H118" i="11"/>
  <c r="I118" i="11" s="1"/>
  <c r="L118" i="11"/>
  <c r="M118" i="11" s="1"/>
  <c r="H145" i="11"/>
  <c r="I145" i="11" s="1"/>
  <c r="L145" i="11"/>
  <c r="M145" i="11" s="1"/>
  <c r="L200" i="11"/>
  <c r="M200" i="11" s="1"/>
  <c r="H200" i="11"/>
  <c r="I200" i="11" s="1"/>
  <c r="L98" i="11"/>
  <c r="M98" i="11" s="1"/>
  <c r="H98" i="11"/>
  <c r="I98" i="11" s="1"/>
  <c r="L88" i="11"/>
  <c r="M88" i="11" s="1"/>
  <c r="H88" i="11"/>
  <c r="I88" i="11" s="1"/>
  <c r="L170" i="11"/>
  <c r="M170" i="11" s="1"/>
  <c r="H170" i="11"/>
  <c r="I170" i="11" s="1"/>
  <c r="L160" i="11"/>
  <c r="M160" i="11" s="1"/>
  <c r="H160" i="11"/>
  <c r="I160" i="11" s="1"/>
  <c r="H283" i="11"/>
  <c r="I283" i="11" s="1"/>
  <c r="L283" i="11"/>
  <c r="M283" i="11" s="1"/>
  <c r="L109" i="11"/>
  <c r="M109" i="11" s="1"/>
  <c r="H109" i="11"/>
  <c r="I109" i="11" s="1"/>
  <c r="L244" i="11"/>
  <c r="M244" i="11" s="1"/>
  <c r="H244" i="11"/>
  <c r="I244" i="11" s="1"/>
  <c r="H237" i="11"/>
  <c r="I237" i="11" s="1"/>
  <c r="L237" i="11"/>
  <c r="M237" i="11" s="1"/>
  <c r="H173" i="11"/>
  <c r="I173" i="11" s="1"/>
  <c r="L173" i="11"/>
  <c r="M173" i="11" s="1"/>
  <c r="H235" i="11"/>
  <c r="I235" i="11" s="1"/>
  <c r="L235" i="11"/>
  <c r="M235" i="11" s="1"/>
  <c r="H183" i="11"/>
  <c r="I183" i="11" s="1"/>
  <c r="L183" i="11"/>
  <c r="M183" i="11" s="1"/>
  <c r="L276" i="11"/>
  <c r="M276" i="11" s="1"/>
  <c r="H276" i="11"/>
  <c r="I276" i="11" s="1"/>
  <c r="L80" i="11"/>
  <c r="M80" i="11" s="1"/>
  <c r="H80" i="11"/>
  <c r="I80" i="11" s="1"/>
  <c r="H147" i="11"/>
  <c r="I147" i="11" s="1"/>
  <c r="L147" i="11"/>
  <c r="M147" i="11" s="1"/>
  <c r="L284" i="11"/>
  <c r="M284" i="11" s="1"/>
  <c r="H284" i="11"/>
  <c r="I284" i="11" s="1"/>
  <c r="H215" i="11"/>
  <c r="I215" i="11" s="1"/>
  <c r="L215" i="11"/>
  <c r="M215" i="11" s="1"/>
  <c r="L142" i="11"/>
  <c r="M142" i="11" s="1"/>
  <c r="H142" i="11"/>
  <c r="I142" i="11" s="1"/>
  <c r="L289" i="11"/>
  <c r="M289" i="11" s="1"/>
  <c r="H289" i="11"/>
  <c r="I289" i="11" s="1"/>
  <c r="L300" i="11"/>
  <c r="M300" i="11" s="1"/>
  <c r="H300" i="11"/>
  <c r="I300" i="11" s="1"/>
  <c r="L201" i="11"/>
  <c r="M201" i="11" s="1"/>
  <c r="H201" i="11"/>
  <c r="I201" i="11" s="1"/>
  <c r="H89" i="11"/>
  <c r="I89" i="11" s="1"/>
  <c r="L89" i="11"/>
  <c r="M89" i="11" s="1"/>
  <c r="L154" i="11"/>
  <c r="M154" i="11" s="1"/>
  <c r="H154" i="11"/>
  <c r="I154" i="11" s="1"/>
  <c r="L102" i="11"/>
  <c r="M102" i="11" s="1"/>
  <c r="H102" i="11"/>
  <c r="I102" i="11" s="1"/>
  <c r="L92" i="11"/>
  <c r="M92" i="11" s="1"/>
  <c r="H92" i="11"/>
  <c r="I92" i="11" s="1"/>
  <c r="L223" i="11"/>
  <c r="M223" i="11" s="1"/>
  <c r="H223" i="11"/>
  <c r="I223" i="11" s="1"/>
  <c r="L146" i="11"/>
  <c r="M146" i="11" s="1"/>
  <c r="H146" i="11"/>
  <c r="I146" i="11" s="1"/>
  <c r="L82" i="11"/>
  <c r="M82" i="11" s="1"/>
  <c r="H82" i="11"/>
  <c r="I82" i="11" s="1"/>
  <c r="L236" i="11"/>
  <c r="M236" i="11" s="1"/>
  <c r="H236" i="11"/>
  <c r="I236" i="11" s="1"/>
  <c r="L193" i="11"/>
  <c r="M193" i="11" s="1"/>
  <c r="H193" i="11"/>
  <c r="I193" i="11" s="1"/>
  <c r="L277" i="11"/>
  <c r="M277" i="11" s="1"/>
  <c r="H277" i="11"/>
  <c r="I277" i="11" s="1"/>
  <c r="L226" i="11"/>
  <c r="M226" i="11" s="1"/>
  <c r="H226" i="11"/>
  <c r="I226" i="11" s="1"/>
  <c r="L227" i="11"/>
  <c r="M227" i="11" s="1"/>
  <c r="H227" i="11"/>
  <c r="I227" i="11" s="1"/>
  <c r="L190" i="11"/>
  <c r="M190" i="11" s="1"/>
  <c r="H190" i="11"/>
  <c r="I190" i="11" s="1"/>
  <c r="L148" i="11"/>
  <c r="M148" i="11" s="1"/>
  <c r="H148" i="11"/>
  <c r="I148" i="11" s="1"/>
  <c r="L281" i="11"/>
  <c r="M281" i="11" s="1"/>
  <c r="H281" i="11"/>
  <c r="I281" i="11" s="1"/>
  <c r="H174" i="11"/>
  <c r="I174" i="11" s="1"/>
  <c r="L174" i="11"/>
  <c r="M174" i="11" s="1"/>
  <c r="H290" i="11"/>
  <c r="I290" i="11" s="1"/>
  <c r="L290" i="11"/>
  <c r="M290" i="11" s="1"/>
  <c r="L179" i="11"/>
  <c r="M179" i="11" s="1"/>
  <c r="H179" i="11"/>
  <c r="I179" i="11" s="1"/>
  <c r="L86" i="11"/>
  <c r="M86" i="11" s="1"/>
  <c r="H86" i="11"/>
  <c r="I86" i="11" s="1"/>
  <c r="L313" i="11"/>
  <c r="M313" i="11" s="1"/>
  <c r="H313" i="11"/>
  <c r="I313" i="11" s="1"/>
  <c r="L256" i="11"/>
  <c r="M256" i="11" s="1"/>
  <c r="H256" i="11"/>
  <c r="I256" i="11" s="1"/>
  <c r="L245" i="11"/>
  <c r="M245" i="11" s="1"/>
  <c r="H245" i="11"/>
  <c r="I245" i="11" s="1"/>
  <c r="L208" i="11"/>
  <c r="M208" i="11" s="1"/>
  <c r="H208" i="11"/>
  <c r="I208" i="11" s="1"/>
  <c r="L91" i="11"/>
  <c r="M91" i="11" s="1"/>
  <c r="H91" i="11"/>
  <c r="I91" i="11" s="1"/>
  <c r="L259" i="11"/>
  <c r="M259" i="11" s="1"/>
  <c r="H259" i="11"/>
  <c r="I259" i="11" s="1"/>
  <c r="L224" i="11"/>
  <c r="M224" i="11" s="1"/>
  <c r="H224" i="11"/>
  <c r="I224" i="11" s="1"/>
  <c r="H105" i="11"/>
  <c r="I105" i="11" s="1"/>
  <c r="L105" i="11"/>
  <c r="M105" i="11" s="1"/>
  <c r="L293" i="11"/>
  <c r="M293" i="11" s="1"/>
  <c r="H293" i="11"/>
  <c r="I293" i="11" s="1"/>
  <c r="H110" i="11"/>
  <c r="I110" i="11" s="1"/>
  <c r="L110" i="11"/>
  <c r="M110" i="11" s="1"/>
  <c r="L249" i="11"/>
  <c r="M249" i="11" s="1"/>
  <c r="H249" i="11"/>
  <c r="I249" i="11" s="1"/>
  <c r="L222" i="11"/>
  <c r="M222" i="11" s="1"/>
  <c r="H222" i="11"/>
  <c r="I222" i="11" s="1"/>
  <c r="L186" i="11"/>
  <c r="M186" i="11" s="1"/>
  <c r="H186" i="11"/>
  <c r="I186" i="11" s="1"/>
  <c r="L233" i="11"/>
  <c r="M233" i="11" s="1"/>
  <c r="H233" i="11"/>
  <c r="I233" i="11" s="1"/>
  <c r="L115" i="11"/>
  <c r="M115" i="11" s="1"/>
  <c r="H115" i="11"/>
  <c r="I115" i="11" s="1"/>
  <c r="H129" i="11"/>
  <c r="I129" i="11" s="1"/>
  <c r="L129" i="11"/>
  <c r="M129" i="11" s="1"/>
  <c r="L241" i="11"/>
  <c r="M241" i="11" s="1"/>
  <c r="H241" i="11"/>
  <c r="I241" i="11" s="1"/>
  <c r="L171" i="11"/>
  <c r="M171" i="11" s="1"/>
  <c r="H171" i="11"/>
  <c r="I171" i="11" s="1"/>
  <c r="L255" i="11"/>
  <c r="M255" i="11" s="1"/>
  <c r="H255" i="11"/>
  <c r="I255" i="11" s="1"/>
  <c r="H213" i="11"/>
  <c r="I213" i="11" s="1"/>
  <c r="L213" i="11"/>
  <c r="M213" i="11" s="1"/>
  <c r="L207" i="11"/>
  <c r="M207" i="11" s="1"/>
  <c r="H207" i="11"/>
  <c r="I207" i="11" s="1"/>
  <c r="L126" i="11"/>
  <c r="M126" i="11" s="1"/>
  <c r="H126" i="11"/>
  <c r="I126" i="11" s="1"/>
  <c r="L288" i="11"/>
  <c r="M288" i="11" s="1"/>
  <c r="H288" i="11"/>
  <c r="I288" i="11" s="1"/>
  <c r="L81" i="11"/>
  <c r="M81" i="11" s="1"/>
  <c r="H81" i="11"/>
  <c r="I81" i="11" s="1"/>
  <c r="L287" i="11"/>
  <c r="M287" i="11" s="1"/>
  <c r="H287" i="11"/>
  <c r="I287" i="11" s="1"/>
  <c r="L172" i="11"/>
  <c r="M172" i="11" s="1"/>
  <c r="H172" i="11"/>
  <c r="I172" i="11" s="1"/>
  <c r="L305" i="11"/>
  <c r="M305" i="11" s="1"/>
  <c r="H305" i="11"/>
  <c r="I305" i="11" s="1"/>
  <c r="H230" i="11"/>
  <c r="I230" i="11" s="1"/>
  <c r="L230" i="11"/>
  <c r="M230" i="11" s="1"/>
  <c r="L192" i="11"/>
  <c r="M192" i="11" s="1"/>
  <c r="H192" i="11"/>
  <c r="I192" i="11" s="1"/>
  <c r="H188" i="11"/>
  <c r="I188" i="11" s="1"/>
  <c r="L188" i="11"/>
  <c r="M188" i="11" s="1"/>
  <c r="L267" i="11"/>
  <c r="M267" i="11" s="1"/>
  <c r="H267" i="11"/>
  <c r="I267" i="11" s="1"/>
  <c r="L211" i="11"/>
  <c r="M211" i="11" s="1"/>
  <c r="H211" i="11"/>
  <c r="I211" i="11" s="1"/>
  <c r="H248" i="11"/>
  <c r="I248" i="11" s="1"/>
  <c r="L248" i="11"/>
  <c r="M248" i="11" s="1"/>
  <c r="L279" i="11"/>
  <c r="M279" i="11" s="1"/>
  <c r="H279" i="11"/>
  <c r="I279" i="11" s="1"/>
  <c r="L117" i="11"/>
  <c r="M117" i="11" s="1"/>
  <c r="H117" i="11"/>
  <c r="I117" i="11" s="1"/>
  <c r="H252" i="11"/>
  <c r="I252" i="11" s="1"/>
  <c r="L252" i="11"/>
  <c r="M252" i="11" s="1"/>
  <c r="L120" i="11"/>
  <c r="M120" i="11" s="1"/>
  <c r="H120" i="11"/>
  <c r="I120" i="11" s="1"/>
  <c r="H177" i="11"/>
  <c r="I177" i="11" s="1"/>
  <c r="L177" i="11"/>
  <c r="M177" i="11" s="1"/>
  <c r="H161" i="11"/>
  <c r="I161" i="11" s="1"/>
  <c r="L161" i="11"/>
  <c r="M161" i="11" s="1"/>
  <c r="L291" i="11"/>
  <c r="M291" i="11" s="1"/>
  <c r="H291" i="11"/>
  <c r="I291" i="11" s="1"/>
  <c r="H134" i="11"/>
  <c r="I134" i="11" s="1"/>
  <c r="L134" i="11"/>
  <c r="M134" i="11" s="1"/>
  <c r="H286" i="11"/>
  <c r="I286" i="11" s="1"/>
  <c r="L286" i="11"/>
  <c r="M286" i="11" s="1"/>
  <c r="L232" i="11"/>
  <c r="M232" i="11" s="1"/>
  <c r="H232" i="11"/>
  <c r="I232" i="11" s="1"/>
  <c r="H209" i="11"/>
  <c r="I209" i="11" s="1"/>
  <c r="L209" i="11"/>
  <c r="M209" i="11" s="1"/>
  <c r="L163" i="11"/>
  <c r="M163" i="11" s="1"/>
  <c r="H163" i="11"/>
  <c r="I163" i="11" s="1"/>
  <c r="H87" i="11"/>
  <c r="I87" i="11" s="1"/>
  <c r="L87" i="11"/>
  <c r="M87" i="11" s="1"/>
  <c r="L239" i="11"/>
  <c r="M239" i="11" s="1"/>
  <c r="H239" i="11"/>
  <c r="I239" i="11" s="1"/>
  <c r="H195" i="11"/>
  <c r="I195" i="11" s="1"/>
  <c r="L195" i="11"/>
  <c r="M195" i="11" s="1"/>
  <c r="L210" i="11"/>
  <c r="M210" i="11" s="1"/>
  <c r="H210" i="11"/>
  <c r="I210" i="11" s="1"/>
  <c r="L125" i="11"/>
  <c r="M125" i="11" s="1"/>
  <c r="H125" i="11"/>
  <c r="I125" i="11" s="1"/>
  <c r="L185" i="11"/>
  <c r="M185" i="11" s="1"/>
  <c r="H185" i="11"/>
  <c r="I185" i="11" s="1"/>
  <c r="L175" i="11"/>
  <c r="M175" i="11" s="1"/>
  <c r="H175" i="11"/>
  <c r="I175" i="11" s="1"/>
  <c r="H99" i="11"/>
  <c r="I99" i="11" s="1"/>
  <c r="L99" i="11"/>
  <c r="M99" i="11" s="1"/>
  <c r="L308" i="11"/>
  <c r="M308" i="11" s="1"/>
  <c r="H308" i="11"/>
  <c r="I308" i="11" s="1"/>
  <c r="H285" i="11"/>
  <c r="I285" i="11" s="1"/>
  <c r="L285" i="11"/>
  <c r="M285" i="11" s="1"/>
  <c r="L266" i="11"/>
  <c r="M266" i="11" s="1"/>
  <c r="H266" i="11"/>
  <c r="I266" i="11" s="1"/>
  <c r="L184" i="11"/>
  <c r="M184" i="11" s="1"/>
  <c r="H184" i="11"/>
  <c r="I184" i="11" s="1"/>
  <c r="L303" i="11"/>
  <c r="M303" i="11" s="1"/>
  <c r="H303" i="11"/>
  <c r="I303" i="11" s="1"/>
  <c r="L143" i="11"/>
  <c r="M143" i="11" s="1"/>
  <c r="H143" i="11"/>
  <c r="I143" i="11" s="1"/>
  <c r="L78" i="11"/>
  <c r="M78" i="11" s="1"/>
  <c r="H78" i="11"/>
  <c r="I78" i="11" s="1"/>
  <c r="L263" i="11"/>
  <c r="M263" i="11" s="1"/>
  <c r="H263" i="11"/>
  <c r="I263" i="11" s="1"/>
  <c r="L282" i="11"/>
  <c r="M282" i="11" s="1"/>
  <c r="H282" i="11"/>
  <c r="I282" i="11" s="1"/>
  <c r="L269" i="11"/>
  <c r="M269" i="11" s="1"/>
  <c r="H269" i="11"/>
  <c r="I269" i="11" s="1"/>
  <c r="L113" i="11"/>
  <c r="M113" i="11" s="1"/>
  <c r="H113" i="11"/>
  <c r="I113" i="11" s="1"/>
  <c r="L85" i="11"/>
  <c r="M85" i="11" s="1"/>
  <c r="H85" i="11"/>
  <c r="I85" i="11" s="1"/>
  <c r="L295" i="11"/>
  <c r="M295" i="11" s="1"/>
  <c r="H295" i="11"/>
  <c r="I295" i="11" s="1"/>
  <c r="L251" i="11"/>
  <c r="M251" i="11" s="1"/>
  <c r="H251" i="11"/>
  <c r="I251" i="11" s="1"/>
  <c r="H203" i="11"/>
  <c r="I203" i="11" s="1"/>
  <c r="L203" i="11"/>
  <c r="M203" i="11" s="1"/>
  <c r="L199" i="11"/>
  <c r="M199" i="11" s="1"/>
  <c r="H199" i="11"/>
  <c r="I199" i="11" s="1"/>
  <c r="L299" i="11"/>
  <c r="M299" i="11" s="1"/>
  <c r="H299" i="11"/>
  <c r="I299" i="11" s="1"/>
  <c r="L167" i="11"/>
  <c r="M167" i="11" s="1"/>
  <c r="H167" i="11"/>
  <c r="I167" i="11" s="1"/>
  <c r="H254" i="11"/>
  <c r="I254" i="11" s="1"/>
  <c r="L254" i="11"/>
  <c r="M254" i="11" s="1"/>
  <c r="H271" i="11"/>
  <c r="I271" i="11" s="1"/>
  <c r="L271" i="11"/>
  <c r="M271" i="11" s="1"/>
  <c r="L166" i="11"/>
  <c r="M166" i="11" s="1"/>
  <c r="H166" i="11"/>
  <c r="I166" i="11" s="1"/>
  <c r="H292" i="11"/>
  <c r="I292" i="11" s="1"/>
  <c r="L292" i="11"/>
  <c r="M292" i="11" s="1"/>
  <c r="L250" i="11"/>
  <c r="M250" i="11" s="1"/>
  <c r="H250" i="11"/>
  <c r="I250" i="11" s="1"/>
  <c r="L261" i="11"/>
  <c r="M261" i="11" s="1"/>
  <c r="H261" i="11"/>
  <c r="I261" i="11" s="1"/>
  <c r="L182" i="11"/>
  <c r="M182" i="11" s="1"/>
  <c r="H182" i="11"/>
  <c r="I182" i="11" s="1"/>
  <c r="L296" i="11"/>
  <c r="M296" i="11" s="1"/>
  <c r="H296" i="11"/>
  <c r="I296" i="11" s="1"/>
  <c r="L202" i="11"/>
  <c r="M202" i="11" s="1"/>
  <c r="H202" i="11"/>
  <c r="I202" i="11" s="1"/>
  <c r="L264" i="11"/>
  <c r="M264" i="11" s="1"/>
  <c r="H264" i="11"/>
  <c r="I264" i="11" s="1"/>
  <c r="L297" i="11"/>
  <c r="M297" i="11" s="1"/>
  <c r="H297" i="11"/>
  <c r="I297" i="11" s="1"/>
  <c r="L101" i="11"/>
  <c r="M101" i="11" s="1"/>
  <c r="H101" i="11"/>
  <c r="I101" i="11" s="1"/>
  <c r="L272" i="11"/>
  <c r="M272" i="11" s="1"/>
  <c r="H272" i="11"/>
  <c r="I272" i="11" s="1"/>
  <c r="L107" i="11"/>
  <c r="M107" i="11" s="1"/>
  <c r="H107" i="11"/>
  <c r="I107" i="11" s="1"/>
  <c r="H153" i="11"/>
  <c r="I153" i="11" s="1"/>
  <c r="L153" i="11"/>
  <c r="M153" i="11" s="1"/>
  <c r="H140" i="11"/>
  <c r="I140" i="11" s="1"/>
  <c r="L140" i="11"/>
  <c r="M140" i="11" s="1"/>
  <c r="L181" i="11"/>
  <c r="M181" i="11" s="1"/>
  <c r="H181" i="11"/>
  <c r="I181" i="11" s="1"/>
  <c r="L196" i="11"/>
  <c r="M196" i="11" s="1"/>
  <c r="H196" i="11"/>
  <c r="I196" i="11" s="1"/>
  <c r="H137" i="11"/>
  <c r="I137" i="11" s="1"/>
  <c r="L137" i="11"/>
  <c r="M137" i="11" s="1"/>
  <c r="L138" i="11"/>
  <c r="M138" i="11" s="1"/>
  <c r="H138" i="11"/>
  <c r="I138" i="11" s="1"/>
  <c r="L104" i="11"/>
  <c r="M104" i="11" s="1"/>
  <c r="H104" i="11"/>
  <c r="I104" i="11" s="1"/>
  <c r="H79" i="11"/>
  <c r="I79" i="11" s="1"/>
  <c r="L79" i="11"/>
  <c r="M79" i="11" s="1"/>
  <c r="L206" i="11"/>
  <c r="M206" i="11" s="1"/>
  <c r="H206" i="11"/>
  <c r="I206" i="11" s="1"/>
  <c r="H108" i="11"/>
  <c r="I108" i="11" s="1"/>
  <c r="L108" i="11"/>
  <c r="M108" i="11" s="1"/>
  <c r="L124" i="11"/>
  <c r="M124" i="11" s="1"/>
  <c r="H124" i="11"/>
  <c r="I124" i="11" s="1"/>
  <c r="H139" i="11"/>
  <c r="I139" i="11" s="1"/>
  <c r="L139" i="11"/>
  <c r="M139" i="11" s="1"/>
  <c r="H225" i="11"/>
  <c r="I225" i="11" s="1"/>
  <c r="L225" i="11"/>
  <c r="M225" i="11" s="1"/>
  <c r="L219" i="11"/>
  <c r="M219" i="11" s="1"/>
  <c r="H219" i="11"/>
  <c r="I219" i="11" s="1"/>
  <c r="L116" i="11"/>
  <c r="M116" i="11" s="1"/>
  <c r="H116" i="11"/>
  <c r="I116" i="11" s="1"/>
  <c r="L83" i="11"/>
  <c r="M83" i="11" s="1"/>
  <c r="H83" i="11"/>
  <c r="I83" i="11" s="1"/>
  <c r="L149" i="11"/>
  <c r="M149" i="11" s="1"/>
  <c r="H149" i="11"/>
  <c r="I149" i="11" s="1"/>
  <c r="L187" i="11"/>
  <c r="M187" i="11" s="1"/>
  <c r="H187" i="11"/>
  <c r="I187" i="11" s="1"/>
  <c r="L260" i="11"/>
  <c r="M260" i="11" s="1"/>
  <c r="H260" i="11"/>
  <c r="I260" i="11" s="1"/>
  <c r="L103" i="11"/>
  <c r="M103" i="11" s="1"/>
  <c r="H103" i="11"/>
  <c r="I103" i="11" s="1"/>
  <c r="H280" i="11"/>
  <c r="I280" i="11" s="1"/>
  <c r="L280" i="11"/>
  <c r="M280" i="11" s="1"/>
  <c r="L128" i="11"/>
  <c r="M128" i="11" s="1"/>
  <c r="H128" i="11"/>
  <c r="I128" i="11" s="1"/>
  <c r="L204" i="11"/>
  <c r="M204" i="11" s="1"/>
  <c r="H204" i="11"/>
  <c r="I204" i="11" s="1"/>
  <c r="H275" i="11"/>
  <c r="I275" i="11" s="1"/>
  <c r="L275" i="11"/>
  <c r="M275" i="11" s="1"/>
  <c r="L141" i="11"/>
  <c r="M141" i="11" s="1"/>
  <c r="H141" i="11"/>
  <c r="I141" i="11" s="1"/>
  <c r="L84" i="11"/>
  <c r="M84" i="11" s="1"/>
  <c r="H84" i="11"/>
  <c r="I84" i="11" s="1"/>
  <c r="L158" i="11"/>
  <c r="M158" i="11" s="1"/>
  <c r="H158" i="11"/>
  <c r="I158" i="11" s="1"/>
  <c r="L253" i="11"/>
  <c r="M253" i="11" s="1"/>
  <c r="H253" i="11"/>
  <c r="I253" i="11" s="1"/>
  <c r="L168" i="11"/>
  <c r="M168" i="11" s="1"/>
  <c r="H168" i="11"/>
  <c r="I168" i="11" s="1"/>
  <c r="L310" i="11"/>
  <c r="M310" i="11" s="1"/>
  <c r="H310" i="11"/>
  <c r="I310" i="11" s="1"/>
  <c r="L121" i="11"/>
  <c r="M121" i="11" s="1"/>
  <c r="H121" i="11"/>
  <c r="I121" i="11" s="1"/>
  <c r="L302" i="11"/>
  <c r="M302" i="11" s="1"/>
  <c r="H302" i="11"/>
  <c r="I302" i="11" s="1"/>
  <c r="E170" i="25"/>
  <c r="M170" i="49"/>
  <c r="C180" i="34"/>
  <c r="E169" i="33"/>
  <c r="D169" i="37" s="1"/>
  <c r="C169" i="11"/>
  <c r="L157" i="11"/>
  <c r="M157" i="11" s="1"/>
  <c r="H157" i="11"/>
  <c r="I157" i="11" s="1"/>
  <c r="L189" i="11"/>
  <c r="M189" i="11" s="1"/>
  <c r="H189" i="11"/>
  <c r="I189" i="11" s="1"/>
  <c r="L194" i="11"/>
  <c r="M194" i="11" s="1"/>
  <c r="H194" i="11"/>
  <c r="I194" i="11" s="1"/>
  <c r="L247" i="11"/>
  <c r="M247" i="11" s="1"/>
  <c r="H247" i="11"/>
  <c r="I247" i="11" s="1"/>
  <c r="L100" i="11"/>
  <c r="M100" i="11" s="1"/>
  <c r="H100" i="11"/>
  <c r="I100" i="11" s="1"/>
  <c r="L144" i="11"/>
  <c r="M144" i="11" s="1"/>
  <c r="H144" i="11"/>
  <c r="I144" i="11" s="1"/>
  <c r="L273" i="11"/>
  <c r="M273" i="11" s="1"/>
  <c r="H273" i="11"/>
  <c r="I273" i="11" s="1"/>
  <c r="H246" i="11"/>
  <c r="I246" i="11" s="1"/>
  <c r="L246" i="11"/>
  <c r="M246" i="11" s="1"/>
  <c r="H93" i="11"/>
  <c r="I93" i="11" s="1"/>
  <c r="L93" i="11"/>
  <c r="M93" i="11" s="1"/>
  <c r="H216" i="11"/>
  <c r="I216" i="11" s="1"/>
  <c r="L216" i="11"/>
  <c r="M216" i="11" s="1"/>
  <c r="L127" i="11"/>
  <c r="M127" i="11" s="1"/>
  <c r="H127" i="11"/>
  <c r="I127" i="11" s="1"/>
  <c r="L234" i="11"/>
  <c r="M234" i="11" s="1"/>
  <c r="H234" i="11"/>
  <c r="I234" i="11" s="1"/>
  <c r="L212" i="11"/>
  <c r="M212" i="11" s="1"/>
  <c r="H212" i="11"/>
  <c r="I212" i="11" s="1"/>
  <c r="L218" i="11"/>
  <c r="M218" i="11" s="1"/>
  <c r="H218" i="11"/>
  <c r="I218" i="11" s="1"/>
  <c r="H95" i="11"/>
  <c r="I95" i="11" s="1"/>
  <c r="L95" i="11"/>
  <c r="M95" i="11" s="1"/>
  <c r="H119" i="11"/>
  <c r="I119" i="11" s="1"/>
  <c r="L119" i="11"/>
  <c r="M119" i="11" s="1"/>
  <c r="L94" i="11"/>
  <c r="M94" i="11" s="1"/>
  <c r="H94" i="11"/>
  <c r="I94" i="11" s="1"/>
  <c r="H155" i="11"/>
  <c r="I155" i="11" s="1"/>
  <c r="L155" i="11"/>
  <c r="M155" i="11" s="1"/>
  <c r="H198" i="11"/>
  <c r="I198" i="11" s="1"/>
  <c r="L198" i="11"/>
  <c r="M198" i="11" s="1"/>
  <c r="L306" i="11"/>
  <c r="M306" i="11" s="1"/>
  <c r="H306" i="11"/>
  <c r="I306" i="11" s="1"/>
  <c r="L165" i="11"/>
  <c r="M165" i="11" s="1"/>
  <c r="H165" i="11"/>
  <c r="I165" i="11" s="1"/>
  <c r="L242" i="11"/>
  <c r="M242" i="11" s="1"/>
  <c r="H242" i="11"/>
  <c r="I242" i="11" s="1"/>
  <c r="H150" i="11"/>
  <c r="I150" i="11" s="1"/>
  <c r="L150" i="11"/>
  <c r="M150" i="11" s="1"/>
  <c r="L156" i="11"/>
  <c r="M156" i="11" s="1"/>
  <c r="H156" i="11"/>
  <c r="I156" i="11" s="1"/>
  <c r="L307" i="11"/>
  <c r="M307" i="11" s="1"/>
  <c r="H307" i="11"/>
  <c r="I307" i="11" s="1"/>
  <c r="L258" i="11"/>
  <c r="M258" i="11" s="1"/>
  <c r="H258" i="11"/>
  <c r="I258" i="11" s="1"/>
  <c r="L97" i="11"/>
  <c r="M97" i="11" s="1"/>
  <c r="H97" i="11"/>
  <c r="I97" i="11" s="1"/>
  <c r="L178" i="11"/>
  <c r="M178" i="11" s="1"/>
  <c r="H178" i="11"/>
  <c r="I178" i="11" s="1"/>
  <c r="L238" i="11"/>
  <c r="M238" i="11" s="1"/>
  <c r="H238" i="11"/>
  <c r="I238" i="11" s="1"/>
  <c r="L257" i="11"/>
  <c r="M257" i="11" s="1"/>
  <c r="H257" i="11"/>
  <c r="I257" i="11" s="1"/>
  <c r="L90" i="11"/>
  <c r="M90" i="11" s="1"/>
  <c r="H90" i="11"/>
  <c r="I90" i="11" s="1"/>
  <c r="L112" i="11"/>
  <c r="M112" i="11" s="1"/>
  <c r="H112" i="11"/>
  <c r="I112" i="11" s="1"/>
  <c r="N8" i="42"/>
  <c r="T8" i="42" s="1"/>
  <c r="N9" i="42"/>
  <c r="T9" i="42" s="1"/>
  <c r="N10" i="42"/>
  <c r="T10" i="42" s="1"/>
  <c r="N11" i="42"/>
  <c r="T11" i="42" s="1"/>
  <c r="N12" i="42"/>
  <c r="T12" i="42" s="1"/>
  <c r="N13" i="42"/>
  <c r="T13" i="42" s="1"/>
  <c r="N14" i="42"/>
  <c r="T14" i="42" s="1"/>
  <c r="N15" i="42"/>
  <c r="T15" i="42" s="1"/>
  <c r="N16" i="42"/>
  <c r="T16" i="42" s="1"/>
  <c r="N17" i="42"/>
  <c r="T17" i="42" s="1"/>
  <c r="N18" i="42"/>
  <c r="T18" i="42" s="1"/>
  <c r="N19" i="42"/>
  <c r="T19" i="42" s="1"/>
  <c r="N20" i="42"/>
  <c r="T20" i="42" s="1"/>
  <c r="N21" i="42"/>
  <c r="T21" i="42" s="1"/>
  <c r="N22" i="42"/>
  <c r="T22" i="42" s="1"/>
  <c r="N23" i="42"/>
  <c r="T23" i="42" s="1"/>
  <c r="N24" i="42"/>
  <c r="T24" i="42" s="1"/>
  <c r="N25" i="42"/>
  <c r="T25" i="42" s="1"/>
  <c r="N26" i="42"/>
  <c r="T26" i="42" s="1"/>
  <c r="N27" i="42"/>
  <c r="T27" i="42" s="1"/>
  <c r="N28" i="42"/>
  <c r="T28" i="42" s="1"/>
  <c r="N29" i="42"/>
  <c r="T29" i="42" s="1"/>
  <c r="N30" i="42"/>
  <c r="T30" i="42" s="1"/>
  <c r="N31" i="42"/>
  <c r="T31" i="42" s="1"/>
  <c r="N32" i="42"/>
  <c r="T32" i="42" s="1"/>
  <c r="N33" i="42"/>
  <c r="T33" i="42" s="1"/>
  <c r="N34" i="42"/>
  <c r="T34" i="42" s="1"/>
  <c r="N35" i="42"/>
  <c r="T35" i="42" s="1"/>
  <c r="N36" i="42"/>
  <c r="T36" i="42" s="1"/>
  <c r="N37" i="42"/>
  <c r="N38" i="42"/>
  <c r="T38" i="42" s="1"/>
  <c r="N39" i="42"/>
  <c r="T39" i="42" s="1"/>
  <c r="N40" i="42"/>
  <c r="T40" i="42" s="1"/>
  <c r="N41" i="42"/>
  <c r="T41" i="42" s="1"/>
  <c r="N42" i="42"/>
  <c r="T42" i="42" s="1"/>
  <c r="N43" i="42"/>
  <c r="T43" i="42" s="1"/>
  <c r="N44" i="42"/>
  <c r="T44" i="42" s="1"/>
  <c r="N45" i="42"/>
  <c r="T45" i="42" s="1"/>
  <c r="N46" i="42"/>
  <c r="T46" i="42" s="1"/>
  <c r="N47" i="42"/>
  <c r="T47" i="42" s="1"/>
  <c r="N48" i="42"/>
  <c r="T48" i="42" s="1"/>
  <c r="N49" i="42"/>
  <c r="T49" i="42" s="1"/>
  <c r="N50" i="42"/>
  <c r="T50" i="42" s="1"/>
  <c r="N51" i="42"/>
  <c r="T51" i="42" s="1"/>
  <c r="N52" i="42"/>
  <c r="T52" i="42" s="1"/>
  <c r="N53" i="42"/>
  <c r="T53" i="42" s="1"/>
  <c r="N54" i="42"/>
  <c r="T54" i="42" s="1"/>
  <c r="N55" i="42"/>
  <c r="T55" i="42" s="1"/>
  <c r="N56" i="42"/>
  <c r="T56" i="42" s="1"/>
  <c r="N57" i="42"/>
  <c r="T57" i="42" s="1"/>
  <c r="N58" i="42"/>
  <c r="T58" i="42" s="1"/>
  <c r="N59" i="42"/>
  <c r="T59" i="42" s="1"/>
  <c r="N60" i="42"/>
  <c r="T60" i="42" s="1"/>
  <c r="N61" i="42"/>
  <c r="T61" i="42" s="1"/>
  <c r="N62" i="42"/>
  <c r="T62" i="42" s="1"/>
  <c r="N63" i="42"/>
  <c r="T63" i="42" s="1"/>
  <c r="N64" i="42"/>
  <c r="T64" i="42" s="1"/>
  <c r="N65" i="42"/>
  <c r="T65" i="42" s="1"/>
  <c r="N66" i="42"/>
  <c r="T66" i="42" s="1"/>
  <c r="N67" i="42"/>
  <c r="T67" i="42" s="1"/>
  <c r="N69" i="42"/>
  <c r="T69" i="42" s="1"/>
  <c r="N70" i="42"/>
  <c r="T70" i="42" s="1"/>
  <c r="N71" i="42"/>
  <c r="T71" i="42" s="1"/>
  <c r="N72" i="42"/>
  <c r="T72" i="42" s="1"/>
  <c r="N73" i="42"/>
  <c r="T73" i="42" s="1"/>
  <c r="N74" i="42"/>
  <c r="T74" i="42" s="1"/>
  <c r="N75" i="42"/>
  <c r="T75" i="42" s="1"/>
  <c r="N76" i="42"/>
  <c r="T76" i="42" s="1"/>
  <c r="N77" i="42"/>
  <c r="T77" i="42" s="1"/>
  <c r="N78" i="42"/>
  <c r="T78" i="42" s="1"/>
  <c r="N79" i="42"/>
  <c r="T79" i="42" s="1"/>
  <c r="N80" i="42"/>
  <c r="T80" i="42" s="1"/>
  <c r="N81" i="42"/>
  <c r="T81" i="42" s="1"/>
  <c r="N82" i="42"/>
  <c r="T82" i="42" s="1"/>
  <c r="N83" i="42"/>
  <c r="T83" i="42" s="1"/>
  <c r="N84" i="42"/>
  <c r="T84" i="42" s="1"/>
  <c r="N85" i="42"/>
  <c r="T85" i="42" s="1"/>
  <c r="N86" i="42"/>
  <c r="T86" i="42" s="1"/>
  <c r="N87" i="42"/>
  <c r="T87" i="42" s="1"/>
  <c r="N88" i="42"/>
  <c r="T88" i="42" s="1"/>
  <c r="N89" i="42"/>
  <c r="T89" i="42" s="1"/>
  <c r="N90" i="42"/>
  <c r="T90" i="42" s="1"/>
  <c r="N91" i="42"/>
  <c r="T91" i="42" s="1"/>
  <c r="N92" i="42"/>
  <c r="T92" i="42" s="1"/>
  <c r="N93" i="42"/>
  <c r="T93" i="42" s="1"/>
  <c r="N94" i="42"/>
  <c r="T94" i="42" s="1"/>
  <c r="N95" i="42"/>
  <c r="T95" i="42" s="1"/>
  <c r="N96" i="42"/>
  <c r="T96" i="42" s="1"/>
  <c r="N97" i="42"/>
  <c r="T97" i="42" s="1"/>
  <c r="N98" i="42"/>
  <c r="T98" i="42" s="1"/>
  <c r="N99" i="42"/>
  <c r="T99" i="42" s="1"/>
  <c r="N100" i="42"/>
  <c r="T100" i="42" s="1"/>
  <c r="N101" i="42"/>
  <c r="T101" i="42" s="1"/>
  <c r="N102" i="42"/>
  <c r="T102" i="42" s="1"/>
  <c r="N103" i="42"/>
  <c r="T103" i="42" s="1"/>
  <c r="N104" i="42"/>
  <c r="T104" i="42" s="1"/>
  <c r="N105" i="42"/>
  <c r="T105" i="42" s="1"/>
  <c r="N106" i="42"/>
  <c r="T106" i="42" s="1"/>
  <c r="N107" i="42"/>
  <c r="T107" i="42" s="1"/>
  <c r="N108" i="42"/>
  <c r="T108" i="42" s="1"/>
  <c r="N109" i="42"/>
  <c r="T109" i="42" s="1"/>
  <c r="N110" i="42"/>
  <c r="T110" i="42" s="1"/>
  <c r="N111" i="42"/>
  <c r="T111" i="42" s="1"/>
  <c r="N112" i="42"/>
  <c r="T112" i="42" s="1"/>
  <c r="N113" i="42"/>
  <c r="T113" i="42" s="1"/>
  <c r="N114" i="42"/>
  <c r="T114" i="42" s="1"/>
  <c r="N115" i="42"/>
  <c r="T115" i="42" s="1"/>
  <c r="N116" i="42"/>
  <c r="T116" i="42" s="1"/>
  <c r="N117" i="42"/>
  <c r="T117" i="42" s="1"/>
  <c r="N118" i="42"/>
  <c r="T118" i="42" s="1"/>
  <c r="N119" i="42"/>
  <c r="T119" i="42" s="1"/>
  <c r="N120" i="42"/>
  <c r="T120" i="42" s="1"/>
  <c r="N121" i="42"/>
  <c r="T121" i="42" s="1"/>
  <c r="N122" i="42"/>
  <c r="T122" i="42" s="1"/>
  <c r="N123" i="42"/>
  <c r="T123" i="42" s="1"/>
  <c r="N124" i="42"/>
  <c r="T124" i="42" s="1"/>
  <c r="N125" i="42"/>
  <c r="T125" i="42" s="1"/>
  <c r="N126" i="42"/>
  <c r="T126" i="42" s="1"/>
  <c r="N127" i="42"/>
  <c r="T127" i="42" s="1"/>
  <c r="N128" i="42"/>
  <c r="T128" i="42" s="1"/>
  <c r="N129" i="42"/>
  <c r="T129" i="42" s="1"/>
  <c r="N130" i="42"/>
  <c r="T130" i="42" s="1"/>
  <c r="N131" i="42"/>
  <c r="T131" i="42" s="1"/>
  <c r="N132" i="42"/>
  <c r="T132" i="42" s="1"/>
  <c r="N133" i="42"/>
  <c r="T133" i="42" s="1"/>
  <c r="N134" i="42"/>
  <c r="T134" i="42" s="1"/>
  <c r="N135" i="42"/>
  <c r="T135" i="42" s="1"/>
  <c r="N137" i="42"/>
  <c r="T137" i="42" s="1"/>
  <c r="N138" i="42"/>
  <c r="T138" i="42" s="1"/>
  <c r="N139" i="42"/>
  <c r="T139" i="42" s="1"/>
  <c r="N140" i="42"/>
  <c r="T140" i="42" s="1"/>
  <c r="N141" i="42"/>
  <c r="T141" i="42" s="1"/>
  <c r="N142" i="42"/>
  <c r="T142" i="42" s="1"/>
  <c r="N143" i="42"/>
  <c r="T143" i="42" s="1"/>
  <c r="N144" i="42"/>
  <c r="T144" i="42" s="1"/>
  <c r="N145" i="42"/>
  <c r="T145" i="42" s="1"/>
  <c r="N146" i="42"/>
  <c r="T146" i="42" s="1"/>
  <c r="N147" i="42"/>
  <c r="T147" i="42" s="1"/>
  <c r="N148" i="42"/>
  <c r="T148" i="42" s="1"/>
  <c r="N149" i="42"/>
  <c r="T149" i="42" s="1"/>
  <c r="N150" i="42"/>
  <c r="T150" i="42" s="1"/>
  <c r="N151" i="42"/>
  <c r="T151" i="42" s="1"/>
  <c r="N152" i="42"/>
  <c r="T152" i="42" s="1"/>
  <c r="N153" i="42"/>
  <c r="T153" i="42" s="1"/>
  <c r="N154" i="42"/>
  <c r="T154" i="42" s="1"/>
  <c r="N155" i="42"/>
  <c r="T155" i="42" s="1"/>
  <c r="N156" i="42"/>
  <c r="T156" i="42" s="1"/>
  <c r="N157" i="42"/>
  <c r="T157" i="42" s="1"/>
  <c r="N158" i="42"/>
  <c r="T158" i="42" s="1"/>
  <c r="N159" i="42"/>
  <c r="T159" i="42" s="1"/>
  <c r="N160" i="42"/>
  <c r="T160" i="42" s="1"/>
  <c r="N161" i="42"/>
  <c r="T161" i="42" s="1"/>
  <c r="N162" i="42"/>
  <c r="T162" i="42" s="1"/>
  <c r="N163" i="42"/>
  <c r="T163" i="42" s="1"/>
  <c r="N164" i="42"/>
  <c r="T164" i="42" s="1"/>
  <c r="N165" i="42"/>
  <c r="T165" i="42" s="1"/>
  <c r="N166" i="42"/>
  <c r="T166" i="42" s="1"/>
  <c r="N167" i="42"/>
  <c r="T167" i="42" s="1"/>
  <c r="N168" i="42"/>
  <c r="T168" i="42" s="1"/>
  <c r="N169" i="42"/>
  <c r="T169" i="42" s="1"/>
  <c r="T170" i="42"/>
  <c r="N172" i="42"/>
  <c r="T172" i="42" s="1"/>
  <c r="N173" i="42"/>
  <c r="T173" i="42" s="1"/>
  <c r="N174" i="42"/>
  <c r="T174" i="42" s="1"/>
  <c r="N175" i="42"/>
  <c r="T175" i="42" s="1"/>
  <c r="N176" i="42"/>
  <c r="T176" i="42" s="1"/>
  <c r="N177" i="42"/>
  <c r="T177" i="42" s="1"/>
  <c r="N178" i="42"/>
  <c r="T178" i="42" s="1"/>
  <c r="N179" i="42"/>
  <c r="T179" i="42" s="1"/>
  <c r="N180" i="42"/>
  <c r="T180" i="42" s="1"/>
  <c r="N181" i="42"/>
  <c r="T181" i="42" s="1"/>
  <c r="N182" i="42"/>
  <c r="T182" i="42" s="1"/>
  <c r="N183" i="42"/>
  <c r="T183" i="42" s="1"/>
  <c r="N184" i="42"/>
  <c r="T184" i="42" s="1"/>
  <c r="N185" i="42"/>
  <c r="T185" i="42" s="1"/>
  <c r="N186" i="42"/>
  <c r="T186" i="42" s="1"/>
  <c r="N187" i="42"/>
  <c r="T187" i="42" s="1"/>
  <c r="N188" i="42"/>
  <c r="T188" i="42" s="1"/>
  <c r="N189" i="42"/>
  <c r="T189" i="42" s="1"/>
  <c r="N190" i="42"/>
  <c r="T190" i="42" s="1"/>
  <c r="N191" i="42"/>
  <c r="T191" i="42" s="1"/>
  <c r="N192" i="42"/>
  <c r="T192" i="42" s="1"/>
  <c r="N193" i="42"/>
  <c r="T193" i="42" s="1"/>
  <c r="N194" i="42"/>
  <c r="T194" i="42" s="1"/>
  <c r="N195" i="42"/>
  <c r="T195" i="42" s="1"/>
  <c r="N196" i="42"/>
  <c r="T196" i="42" s="1"/>
  <c r="N197" i="42"/>
  <c r="T197" i="42" s="1"/>
  <c r="N198" i="42"/>
  <c r="T198" i="42" s="1"/>
  <c r="N199" i="42"/>
  <c r="T199" i="42" s="1"/>
  <c r="N200" i="42"/>
  <c r="T200" i="42" s="1"/>
  <c r="N201" i="42"/>
  <c r="T201" i="42" s="1"/>
  <c r="N202" i="42"/>
  <c r="T202" i="42" s="1"/>
  <c r="N203" i="42"/>
  <c r="T203" i="42" s="1"/>
  <c r="N204" i="42"/>
  <c r="T204" i="42" s="1"/>
  <c r="N205" i="42"/>
  <c r="T205" i="42" s="1"/>
  <c r="N206" i="42"/>
  <c r="T206" i="42" s="1"/>
  <c r="N207" i="42"/>
  <c r="T207" i="42" s="1"/>
  <c r="N208" i="42"/>
  <c r="T208" i="42" s="1"/>
  <c r="N209" i="42"/>
  <c r="T209" i="42" s="1"/>
  <c r="N210" i="42"/>
  <c r="T210" i="42" s="1"/>
  <c r="N211" i="42"/>
  <c r="T211" i="42" s="1"/>
  <c r="N212" i="42"/>
  <c r="T212" i="42" s="1"/>
  <c r="N213" i="42"/>
  <c r="T213" i="42" s="1"/>
  <c r="N214" i="42"/>
  <c r="T214" i="42" s="1"/>
  <c r="N215" i="42"/>
  <c r="T215" i="42" s="1"/>
  <c r="N216" i="42"/>
  <c r="T216" i="42" s="1"/>
  <c r="N217" i="42"/>
  <c r="T217" i="42" s="1"/>
  <c r="N218" i="42"/>
  <c r="T218" i="42" s="1"/>
  <c r="N219" i="42"/>
  <c r="T219" i="42" s="1"/>
  <c r="N221" i="42"/>
  <c r="T221" i="42" s="1"/>
  <c r="N222" i="42"/>
  <c r="T222" i="42" s="1"/>
  <c r="N223" i="42"/>
  <c r="T223" i="42" s="1"/>
  <c r="N224" i="42"/>
  <c r="T224" i="42" s="1"/>
  <c r="N225" i="42"/>
  <c r="T225" i="42" s="1"/>
  <c r="N226" i="42"/>
  <c r="T226" i="42" s="1"/>
  <c r="N227" i="42"/>
  <c r="T227" i="42" s="1"/>
  <c r="N228" i="42"/>
  <c r="T228" i="42" s="1"/>
  <c r="N229" i="42"/>
  <c r="T229" i="42" s="1"/>
  <c r="N230" i="42"/>
  <c r="T230" i="42" s="1"/>
  <c r="N231" i="42"/>
  <c r="T231" i="42" s="1"/>
  <c r="N232" i="42"/>
  <c r="T232" i="42" s="1"/>
  <c r="N233" i="42"/>
  <c r="T233" i="42" s="1"/>
  <c r="N234" i="42"/>
  <c r="T234" i="42" s="1"/>
  <c r="N235" i="42"/>
  <c r="T235" i="42" s="1"/>
  <c r="N236" i="42"/>
  <c r="T236" i="42" s="1"/>
  <c r="N237" i="42"/>
  <c r="T237" i="42" s="1"/>
  <c r="N238" i="42"/>
  <c r="T238" i="42" s="1"/>
  <c r="N240" i="42"/>
  <c r="T240" i="42" s="1"/>
  <c r="N241" i="42"/>
  <c r="T241" i="42" s="1"/>
  <c r="N242" i="42"/>
  <c r="T242" i="42" s="1"/>
  <c r="N243" i="42"/>
  <c r="T243" i="42" s="1"/>
  <c r="N244" i="42"/>
  <c r="T244" i="42" s="1"/>
  <c r="N247" i="42"/>
  <c r="T247" i="42" s="1"/>
  <c r="N248" i="42"/>
  <c r="T248" i="42" s="1"/>
  <c r="N249" i="42"/>
  <c r="T249" i="42" s="1"/>
  <c r="N250" i="42"/>
  <c r="T250" i="42" s="1"/>
  <c r="N251" i="42"/>
  <c r="T251" i="42" s="1"/>
  <c r="N252" i="42"/>
  <c r="T252" i="42" s="1"/>
  <c r="N253" i="42"/>
  <c r="T253" i="42" s="1"/>
  <c r="N254" i="42"/>
  <c r="T254" i="42" s="1"/>
  <c r="N255" i="42"/>
  <c r="T255" i="42" s="1"/>
  <c r="N256" i="42"/>
  <c r="T256" i="42" s="1"/>
  <c r="N257" i="42"/>
  <c r="T257" i="42" s="1"/>
  <c r="N258" i="42"/>
  <c r="T258" i="42" s="1"/>
  <c r="N259" i="42"/>
  <c r="T259" i="42" s="1"/>
  <c r="N260" i="42"/>
  <c r="T260" i="42" s="1"/>
  <c r="N261" i="42"/>
  <c r="T261" i="42" s="1"/>
  <c r="N263" i="42"/>
  <c r="T263" i="42" s="1"/>
  <c r="N264" i="42"/>
  <c r="T264" i="42" s="1"/>
  <c r="N265" i="42"/>
  <c r="T265" i="42" s="1"/>
  <c r="N266" i="42"/>
  <c r="T266" i="42" s="1"/>
  <c r="N267" i="42"/>
  <c r="T267" i="42" s="1"/>
  <c r="N268" i="42"/>
  <c r="T268" i="42" s="1"/>
  <c r="N269" i="42"/>
  <c r="T269" i="42" s="1"/>
  <c r="N270" i="42"/>
  <c r="T270" i="42" s="1"/>
  <c r="N271" i="42"/>
  <c r="T271" i="42" s="1"/>
  <c r="N272" i="42"/>
  <c r="T272" i="42" s="1"/>
  <c r="N273" i="42"/>
  <c r="T273" i="42" s="1"/>
  <c r="N275" i="42"/>
  <c r="T275" i="42" s="1"/>
  <c r="N276" i="42"/>
  <c r="T276" i="42" s="1"/>
  <c r="N277" i="42"/>
  <c r="T277" i="42" s="1"/>
  <c r="N278" i="42"/>
  <c r="T278" i="42" s="1"/>
  <c r="N279" i="42"/>
  <c r="T279" i="42" s="1"/>
  <c r="N280" i="42"/>
  <c r="T280" i="42" s="1"/>
  <c r="N281" i="42"/>
  <c r="T281" i="42" s="1"/>
  <c r="N282" i="42"/>
  <c r="T282" i="42" s="1"/>
  <c r="N283" i="42"/>
  <c r="T283" i="42" s="1"/>
  <c r="N284" i="42"/>
  <c r="T284" i="42" s="1"/>
  <c r="N285" i="42"/>
  <c r="T285" i="42" s="1"/>
  <c r="N286" i="42"/>
  <c r="T286" i="42" s="1"/>
  <c r="N287" i="42"/>
  <c r="T287" i="42" s="1"/>
  <c r="N288" i="42"/>
  <c r="T288" i="42" s="1"/>
  <c r="N289" i="42"/>
  <c r="T289" i="42" s="1"/>
  <c r="N290" i="42"/>
  <c r="T290" i="42" s="1"/>
  <c r="N291" i="42"/>
  <c r="T291" i="42" s="1"/>
  <c r="N292" i="42"/>
  <c r="T292" i="42" s="1"/>
  <c r="N293" i="42"/>
  <c r="T293" i="42" s="1"/>
  <c r="N294" i="42"/>
  <c r="T294" i="42" s="1"/>
  <c r="N295" i="42"/>
  <c r="T295" i="42" s="1"/>
  <c r="N296" i="42"/>
  <c r="T296" i="42" s="1"/>
  <c r="N297" i="42"/>
  <c r="T297" i="42" s="1"/>
  <c r="N298" i="42"/>
  <c r="T298" i="42" s="1"/>
  <c r="N299" i="42"/>
  <c r="T299" i="42" s="1"/>
  <c r="N300" i="42"/>
  <c r="T300" i="42" s="1"/>
  <c r="N301" i="42"/>
  <c r="T301" i="42" s="1"/>
  <c r="N302" i="42"/>
  <c r="T302" i="42" s="1"/>
  <c r="N303" i="42"/>
  <c r="T303" i="42" s="1"/>
  <c r="N304" i="42"/>
  <c r="T304" i="42" s="1"/>
  <c r="N305" i="42"/>
  <c r="T305" i="42" s="1"/>
  <c r="N306" i="42"/>
  <c r="T306" i="42" s="1"/>
  <c r="N307" i="42"/>
  <c r="T307" i="42" s="1"/>
  <c r="N308" i="42"/>
  <c r="T308" i="42" s="1"/>
  <c r="N309" i="42"/>
  <c r="T309" i="42" s="1"/>
  <c r="N310" i="42"/>
  <c r="T310" i="42" s="1"/>
  <c r="N311" i="42"/>
  <c r="T311" i="42" s="1"/>
  <c r="N312" i="42"/>
  <c r="T312" i="42" s="1"/>
  <c r="N313" i="42"/>
  <c r="T313" i="42" s="1"/>
  <c r="N314" i="42"/>
  <c r="T314" i="42" s="1"/>
  <c r="N315" i="42"/>
  <c r="T315" i="42" s="1"/>
  <c r="L169" i="11" l="1"/>
  <c r="M169" i="11" s="1"/>
  <c r="H169" i="11"/>
  <c r="I169" i="11" s="1"/>
  <c r="L243" i="11"/>
  <c r="M243" i="11" s="1"/>
  <c r="H243" i="11"/>
  <c r="I243" i="11" s="1"/>
  <c r="T37" i="42"/>
  <c r="N136" i="42"/>
  <c r="T136" i="42" s="1"/>
  <c r="B6" i="48" l="1"/>
  <c r="D67" i="40" l="1"/>
  <c r="D68" i="40" s="1"/>
  <c r="F66" i="40" s="1"/>
  <c r="F67" i="40" s="1"/>
  <c r="F68" i="40" s="1"/>
  <c r="B29" i="40" l="1"/>
  <c r="N7" i="42" l="1"/>
  <c r="T7" i="42" s="1"/>
  <c r="N262" i="42" l="1"/>
  <c r="T262" i="42" s="1"/>
  <c r="N68" i="42" l="1"/>
  <c r="T68" i="42" s="1"/>
  <c r="N274" i="42" l="1"/>
  <c r="T274" i="42" s="1"/>
  <c r="I5" i="13" l="1"/>
  <c r="Q7" i="19" l="1"/>
  <c r="AA6" i="19"/>
  <c r="S6" i="19"/>
  <c r="B61" i="40" l="1"/>
  <c r="K14" i="49" l="1"/>
  <c r="K112" i="49"/>
  <c r="K114" i="49"/>
  <c r="K117" i="49"/>
  <c r="K119" i="49"/>
  <c r="K120" i="49"/>
  <c r="K121" i="49"/>
  <c r="K122" i="49"/>
  <c r="K124" i="49"/>
  <c r="K126" i="49"/>
  <c r="K127" i="49"/>
  <c r="K128" i="49"/>
  <c r="K129" i="49"/>
  <c r="K130" i="49"/>
  <c r="K131" i="49"/>
  <c r="K134" i="49"/>
  <c r="K135" i="49"/>
  <c r="K137" i="49"/>
  <c r="K144" i="49"/>
  <c r="K149" i="49"/>
  <c r="K150" i="49"/>
  <c r="K151" i="49"/>
  <c r="K154" i="49"/>
  <c r="K155" i="49"/>
  <c r="K156" i="49"/>
  <c r="K158" i="49"/>
  <c r="K191" i="49"/>
  <c r="K202" i="49"/>
  <c r="K203" i="49"/>
  <c r="K224" i="49"/>
  <c r="K225" i="49"/>
  <c r="K275" i="49"/>
  <c r="K276" i="49"/>
  <c r="K277" i="49"/>
  <c r="K278" i="49"/>
  <c r="K279" i="49"/>
  <c r="K280" i="49"/>
  <c r="K281" i="49"/>
  <c r="K282" i="49"/>
  <c r="K283" i="49"/>
  <c r="K284" i="49"/>
  <c r="K296" i="49"/>
  <c r="K305" i="49"/>
  <c r="K313" i="49"/>
  <c r="K7" i="49"/>
  <c r="K6" i="49"/>
  <c r="I5" i="49"/>
  <c r="A2" i="49"/>
  <c r="C315" i="49"/>
  <c r="A7" i="49"/>
  <c r="B7" i="49"/>
  <c r="A8" i="49"/>
  <c r="B8" i="49"/>
  <c r="A9" i="49"/>
  <c r="B9" i="49"/>
  <c r="A10" i="49"/>
  <c r="B10" i="49"/>
  <c r="A11" i="49"/>
  <c r="B11" i="49"/>
  <c r="A12" i="49"/>
  <c r="B12" i="49"/>
  <c r="A13" i="49"/>
  <c r="B13" i="49"/>
  <c r="A14" i="49"/>
  <c r="B14" i="49"/>
  <c r="A15" i="49"/>
  <c r="B15" i="49"/>
  <c r="A16" i="49"/>
  <c r="B16" i="49"/>
  <c r="A17" i="49"/>
  <c r="B17" i="49"/>
  <c r="A18" i="49"/>
  <c r="B18" i="49"/>
  <c r="A19" i="49"/>
  <c r="B19" i="49"/>
  <c r="A20" i="49"/>
  <c r="B20" i="49"/>
  <c r="A21" i="49"/>
  <c r="B21" i="49"/>
  <c r="A22" i="49"/>
  <c r="B22" i="49"/>
  <c r="A23" i="49"/>
  <c r="B23" i="49"/>
  <c r="A24" i="49"/>
  <c r="B24" i="49"/>
  <c r="A25" i="49"/>
  <c r="B25" i="49"/>
  <c r="A26" i="49"/>
  <c r="B26" i="49"/>
  <c r="A27" i="49"/>
  <c r="B27" i="49"/>
  <c r="A28" i="49"/>
  <c r="B28" i="49"/>
  <c r="A29" i="49"/>
  <c r="B29" i="49"/>
  <c r="A30" i="49"/>
  <c r="B30" i="49"/>
  <c r="A31" i="49"/>
  <c r="B31" i="49"/>
  <c r="A32" i="49"/>
  <c r="B32" i="49"/>
  <c r="A33" i="49"/>
  <c r="B33" i="49"/>
  <c r="A34" i="49"/>
  <c r="B34" i="49"/>
  <c r="A35" i="49"/>
  <c r="B35" i="49"/>
  <c r="A36" i="49"/>
  <c r="B36" i="49"/>
  <c r="A37" i="49"/>
  <c r="B37" i="49"/>
  <c r="A38" i="49"/>
  <c r="B38" i="49"/>
  <c r="A39" i="49"/>
  <c r="B39" i="49"/>
  <c r="A40" i="49"/>
  <c r="B40" i="49"/>
  <c r="A41" i="49"/>
  <c r="B41" i="49"/>
  <c r="A42" i="49"/>
  <c r="B42" i="49"/>
  <c r="A43" i="49"/>
  <c r="B43" i="49"/>
  <c r="A44" i="49"/>
  <c r="B44" i="49"/>
  <c r="A45" i="49"/>
  <c r="B45" i="49"/>
  <c r="A46" i="49"/>
  <c r="B46" i="49"/>
  <c r="A47" i="49"/>
  <c r="B47" i="49"/>
  <c r="A48" i="49"/>
  <c r="B48" i="49"/>
  <c r="A49" i="49"/>
  <c r="B49" i="49"/>
  <c r="A50" i="49"/>
  <c r="B50" i="49"/>
  <c r="A51" i="49"/>
  <c r="B51" i="49"/>
  <c r="A52" i="49"/>
  <c r="B52" i="49"/>
  <c r="A53" i="49"/>
  <c r="B53" i="49"/>
  <c r="A54" i="49"/>
  <c r="B54" i="49"/>
  <c r="A55" i="49"/>
  <c r="B55" i="49"/>
  <c r="A56" i="49"/>
  <c r="B56" i="49"/>
  <c r="A57" i="49"/>
  <c r="B57" i="49"/>
  <c r="A58" i="49"/>
  <c r="B58" i="49"/>
  <c r="A59" i="49"/>
  <c r="B59" i="49"/>
  <c r="A60" i="49"/>
  <c r="B60" i="49"/>
  <c r="A61" i="49"/>
  <c r="B61" i="49"/>
  <c r="A62" i="49"/>
  <c r="B62" i="49"/>
  <c r="A63" i="49"/>
  <c r="B63" i="49"/>
  <c r="A64" i="49"/>
  <c r="B64" i="49"/>
  <c r="A65" i="49"/>
  <c r="B65" i="49"/>
  <c r="A66" i="49"/>
  <c r="B66" i="49"/>
  <c r="A67" i="49"/>
  <c r="B67" i="49"/>
  <c r="A68" i="49"/>
  <c r="B68" i="49"/>
  <c r="A69" i="49"/>
  <c r="B69" i="49"/>
  <c r="A70" i="49"/>
  <c r="B70" i="49"/>
  <c r="A71" i="49"/>
  <c r="B71" i="49"/>
  <c r="A72" i="49"/>
  <c r="B72" i="49"/>
  <c r="A73" i="49"/>
  <c r="B73" i="49"/>
  <c r="A74" i="49"/>
  <c r="B74" i="49"/>
  <c r="A75" i="49"/>
  <c r="B75" i="49"/>
  <c r="A76" i="49"/>
  <c r="B76" i="49"/>
  <c r="A77" i="49"/>
  <c r="B77" i="49"/>
  <c r="A78" i="49"/>
  <c r="B78" i="49"/>
  <c r="A79" i="49"/>
  <c r="B79" i="49"/>
  <c r="A80" i="49"/>
  <c r="B80" i="49"/>
  <c r="A81" i="49"/>
  <c r="B81" i="49"/>
  <c r="A82" i="49"/>
  <c r="B82" i="49"/>
  <c r="A83" i="49"/>
  <c r="B83" i="49"/>
  <c r="A84" i="49"/>
  <c r="B84" i="49"/>
  <c r="A85" i="49"/>
  <c r="B85" i="49"/>
  <c r="A86" i="49"/>
  <c r="B86" i="49"/>
  <c r="A87" i="49"/>
  <c r="B87" i="49"/>
  <c r="A88" i="49"/>
  <c r="B88" i="49"/>
  <c r="A89" i="49"/>
  <c r="B89" i="49"/>
  <c r="A90" i="49"/>
  <c r="B90" i="49"/>
  <c r="A91" i="49"/>
  <c r="B91" i="49"/>
  <c r="A92" i="49"/>
  <c r="B92" i="49"/>
  <c r="A93" i="49"/>
  <c r="B93" i="49"/>
  <c r="A94" i="49"/>
  <c r="B94" i="49"/>
  <c r="A95" i="49"/>
  <c r="B95" i="49"/>
  <c r="A96" i="49"/>
  <c r="B96" i="49"/>
  <c r="A97" i="49"/>
  <c r="B97" i="49"/>
  <c r="A98" i="49"/>
  <c r="B98" i="49"/>
  <c r="A99" i="49"/>
  <c r="B99" i="49"/>
  <c r="A100" i="49"/>
  <c r="B100" i="49"/>
  <c r="A101" i="49"/>
  <c r="B101" i="49"/>
  <c r="A102" i="49"/>
  <c r="B102" i="49"/>
  <c r="A103" i="49"/>
  <c r="B103" i="49"/>
  <c r="A104" i="49"/>
  <c r="B104" i="49"/>
  <c r="A105" i="49"/>
  <c r="B105" i="49"/>
  <c r="A106" i="49"/>
  <c r="B106" i="49"/>
  <c r="A107" i="49"/>
  <c r="B107" i="49"/>
  <c r="A108" i="49"/>
  <c r="B108" i="49"/>
  <c r="A109" i="49"/>
  <c r="B109" i="49"/>
  <c r="A110" i="49"/>
  <c r="B110" i="49"/>
  <c r="A111" i="49"/>
  <c r="B111" i="49"/>
  <c r="A112" i="49"/>
  <c r="B112" i="49"/>
  <c r="A113" i="49"/>
  <c r="B113" i="49"/>
  <c r="A114" i="49"/>
  <c r="B114" i="49"/>
  <c r="A115" i="49"/>
  <c r="B115" i="49"/>
  <c r="A116" i="49"/>
  <c r="B116" i="49"/>
  <c r="A117" i="49"/>
  <c r="B117" i="49"/>
  <c r="A118" i="49"/>
  <c r="B118" i="49"/>
  <c r="A119" i="49"/>
  <c r="B119" i="49"/>
  <c r="A120" i="49"/>
  <c r="B120" i="49"/>
  <c r="A121" i="49"/>
  <c r="B121" i="49"/>
  <c r="A122" i="49"/>
  <c r="B122" i="49"/>
  <c r="A123" i="49"/>
  <c r="B123" i="49"/>
  <c r="A124" i="49"/>
  <c r="B124" i="49"/>
  <c r="A125" i="49"/>
  <c r="B125" i="49"/>
  <c r="A126" i="49"/>
  <c r="B126" i="49"/>
  <c r="A127" i="49"/>
  <c r="B127" i="49"/>
  <c r="A128" i="49"/>
  <c r="B128" i="49"/>
  <c r="A129" i="49"/>
  <c r="B129" i="49"/>
  <c r="A130" i="49"/>
  <c r="B130" i="49"/>
  <c r="A131" i="49"/>
  <c r="B131" i="49"/>
  <c r="A132" i="49"/>
  <c r="B132" i="49"/>
  <c r="A133" i="49"/>
  <c r="B133" i="49"/>
  <c r="A134" i="49"/>
  <c r="B134" i="49"/>
  <c r="A135" i="49"/>
  <c r="B135" i="49"/>
  <c r="A136" i="49"/>
  <c r="B136" i="49"/>
  <c r="A137" i="49"/>
  <c r="B137" i="49"/>
  <c r="A138" i="49"/>
  <c r="B138" i="49"/>
  <c r="A139" i="49"/>
  <c r="B139" i="49"/>
  <c r="A140" i="49"/>
  <c r="B140" i="49"/>
  <c r="A141" i="49"/>
  <c r="B141" i="49"/>
  <c r="A142" i="49"/>
  <c r="B142" i="49"/>
  <c r="A143" i="49"/>
  <c r="B143" i="49"/>
  <c r="A144" i="49"/>
  <c r="B144" i="49"/>
  <c r="A145" i="49"/>
  <c r="B145" i="49"/>
  <c r="A146" i="49"/>
  <c r="B146" i="49"/>
  <c r="A147" i="49"/>
  <c r="B147" i="49"/>
  <c r="A148" i="49"/>
  <c r="B148" i="49"/>
  <c r="A149" i="49"/>
  <c r="B149" i="49"/>
  <c r="A150" i="49"/>
  <c r="B150" i="49"/>
  <c r="A151" i="49"/>
  <c r="B151" i="49"/>
  <c r="A152" i="49"/>
  <c r="B152" i="49"/>
  <c r="A153" i="49"/>
  <c r="B153" i="49"/>
  <c r="A154" i="49"/>
  <c r="B154" i="49"/>
  <c r="A155" i="49"/>
  <c r="B155" i="49"/>
  <c r="A156" i="49"/>
  <c r="B156" i="49"/>
  <c r="A157" i="49"/>
  <c r="B157" i="49"/>
  <c r="A158" i="49"/>
  <c r="B158" i="49"/>
  <c r="A159" i="49"/>
  <c r="B159" i="49"/>
  <c r="A160" i="49"/>
  <c r="B160" i="49"/>
  <c r="A161" i="49"/>
  <c r="B161" i="49"/>
  <c r="A162" i="49"/>
  <c r="B162" i="49"/>
  <c r="A163" i="49"/>
  <c r="B163" i="49"/>
  <c r="A164" i="49"/>
  <c r="B164" i="49"/>
  <c r="A165" i="49"/>
  <c r="B165" i="49"/>
  <c r="A166" i="49"/>
  <c r="B166" i="49"/>
  <c r="A167" i="49"/>
  <c r="B167" i="49"/>
  <c r="A168" i="49"/>
  <c r="B168" i="49"/>
  <c r="A169" i="49"/>
  <c r="B169" i="49"/>
  <c r="A171" i="49"/>
  <c r="B171" i="49"/>
  <c r="A172" i="49"/>
  <c r="B172" i="49"/>
  <c r="A173" i="49"/>
  <c r="B173" i="49"/>
  <c r="A174" i="49"/>
  <c r="B174" i="49"/>
  <c r="A175" i="49"/>
  <c r="B175" i="49"/>
  <c r="A176" i="49"/>
  <c r="B176" i="49"/>
  <c r="A177" i="49"/>
  <c r="B177" i="49"/>
  <c r="A178" i="49"/>
  <c r="B178" i="49"/>
  <c r="A179" i="49"/>
  <c r="B179" i="49"/>
  <c r="A180" i="49"/>
  <c r="B180" i="49"/>
  <c r="A181" i="49"/>
  <c r="B181" i="49"/>
  <c r="A182" i="49"/>
  <c r="B182" i="49"/>
  <c r="A183" i="49"/>
  <c r="B183" i="49"/>
  <c r="A184" i="49"/>
  <c r="B184" i="49"/>
  <c r="A185" i="49"/>
  <c r="B185" i="49"/>
  <c r="A186" i="49"/>
  <c r="B186" i="49"/>
  <c r="A187" i="49"/>
  <c r="B187" i="49"/>
  <c r="A188" i="49"/>
  <c r="B188" i="49"/>
  <c r="A189" i="49"/>
  <c r="B189" i="49"/>
  <c r="A190" i="49"/>
  <c r="B190" i="49"/>
  <c r="A191" i="49"/>
  <c r="B191" i="49"/>
  <c r="A192" i="49"/>
  <c r="B192" i="49"/>
  <c r="A193" i="49"/>
  <c r="B193" i="49"/>
  <c r="A194" i="49"/>
  <c r="B194" i="49"/>
  <c r="A195" i="49"/>
  <c r="B195" i="49"/>
  <c r="A196" i="49"/>
  <c r="B196" i="49"/>
  <c r="A197" i="49"/>
  <c r="B197" i="49"/>
  <c r="A198" i="49"/>
  <c r="B198" i="49"/>
  <c r="A199" i="49"/>
  <c r="B199" i="49"/>
  <c r="A200" i="49"/>
  <c r="B200" i="49"/>
  <c r="A201" i="49"/>
  <c r="B201" i="49"/>
  <c r="A202" i="49"/>
  <c r="B202" i="49"/>
  <c r="A203" i="49"/>
  <c r="B203" i="49"/>
  <c r="A204" i="49"/>
  <c r="B204" i="49"/>
  <c r="A205" i="49"/>
  <c r="B205" i="49"/>
  <c r="A206" i="49"/>
  <c r="B206" i="49"/>
  <c r="A207" i="49"/>
  <c r="B207" i="49"/>
  <c r="A208" i="49"/>
  <c r="B208" i="49"/>
  <c r="A209" i="49"/>
  <c r="B209" i="49"/>
  <c r="A210" i="49"/>
  <c r="B210" i="49"/>
  <c r="A211" i="49"/>
  <c r="B211" i="49"/>
  <c r="A212" i="49"/>
  <c r="B212" i="49"/>
  <c r="A213" i="49"/>
  <c r="B213" i="49"/>
  <c r="A214" i="49"/>
  <c r="B214" i="49"/>
  <c r="A215" i="49"/>
  <c r="B215" i="49"/>
  <c r="A216" i="49"/>
  <c r="B216" i="49"/>
  <c r="A217" i="49"/>
  <c r="B217" i="49"/>
  <c r="A218" i="49"/>
  <c r="B218" i="49"/>
  <c r="A220" i="49"/>
  <c r="B220" i="49"/>
  <c r="A221" i="49"/>
  <c r="B221" i="49"/>
  <c r="A222" i="49"/>
  <c r="B222" i="49"/>
  <c r="A223" i="49"/>
  <c r="B223" i="49"/>
  <c r="A224" i="49"/>
  <c r="B224" i="49"/>
  <c r="A225" i="49"/>
  <c r="B225" i="49"/>
  <c r="A226" i="49"/>
  <c r="B226" i="49"/>
  <c r="A227" i="49"/>
  <c r="B227" i="49"/>
  <c r="A228" i="49"/>
  <c r="B228" i="49"/>
  <c r="A229" i="49"/>
  <c r="B229" i="49"/>
  <c r="A230" i="49"/>
  <c r="B230" i="49"/>
  <c r="A231" i="49"/>
  <c r="B231" i="49"/>
  <c r="A232" i="49"/>
  <c r="B232" i="49"/>
  <c r="A233" i="49"/>
  <c r="B233" i="49"/>
  <c r="A234" i="49"/>
  <c r="B234" i="49"/>
  <c r="A235" i="49"/>
  <c r="B235" i="49"/>
  <c r="A236" i="49"/>
  <c r="B236" i="49"/>
  <c r="A237" i="49"/>
  <c r="B237" i="49"/>
  <c r="A238" i="49"/>
  <c r="B238" i="49"/>
  <c r="A239" i="49"/>
  <c r="B239" i="49"/>
  <c r="A240" i="49"/>
  <c r="B240" i="49"/>
  <c r="A241" i="49"/>
  <c r="B241" i="49"/>
  <c r="A242" i="49"/>
  <c r="B242" i="49"/>
  <c r="B243" i="49"/>
  <c r="B245" i="49"/>
  <c r="B246" i="49"/>
  <c r="B247" i="49"/>
  <c r="A248" i="49"/>
  <c r="B248" i="49"/>
  <c r="A249" i="49"/>
  <c r="B249" i="49"/>
  <c r="A250" i="49"/>
  <c r="B250" i="49"/>
  <c r="A251" i="49"/>
  <c r="B251" i="49"/>
  <c r="A252" i="49"/>
  <c r="B252" i="49"/>
  <c r="A253" i="49"/>
  <c r="B253" i="49"/>
  <c r="A254" i="49"/>
  <c r="B254" i="49"/>
  <c r="A255" i="49"/>
  <c r="B255" i="49"/>
  <c r="A256" i="49"/>
  <c r="B256" i="49"/>
  <c r="A257" i="49"/>
  <c r="B257" i="49"/>
  <c r="A258" i="49"/>
  <c r="B258" i="49"/>
  <c r="A259" i="49"/>
  <c r="B259" i="49"/>
  <c r="A260" i="49"/>
  <c r="B260" i="49"/>
  <c r="A261" i="49"/>
  <c r="B261" i="49"/>
  <c r="A262" i="49"/>
  <c r="B262" i="49"/>
  <c r="A263" i="49"/>
  <c r="B263" i="49"/>
  <c r="A264" i="49"/>
  <c r="B264" i="49"/>
  <c r="A265" i="49"/>
  <c r="B265" i="49"/>
  <c r="A266" i="49"/>
  <c r="B266" i="49"/>
  <c r="A267" i="49"/>
  <c r="B267" i="49"/>
  <c r="A268" i="49"/>
  <c r="B268" i="49"/>
  <c r="A269" i="49"/>
  <c r="B269" i="49"/>
  <c r="A270" i="49"/>
  <c r="B270" i="49"/>
  <c r="A271" i="49"/>
  <c r="B271" i="49"/>
  <c r="A272" i="49"/>
  <c r="B272" i="49"/>
  <c r="A273" i="49"/>
  <c r="B273" i="49"/>
  <c r="A274" i="49"/>
  <c r="B274" i="49"/>
  <c r="A275" i="49"/>
  <c r="B275" i="49"/>
  <c r="A276" i="49"/>
  <c r="B276" i="49"/>
  <c r="A277" i="49"/>
  <c r="B277" i="49"/>
  <c r="A278" i="49"/>
  <c r="B278" i="49"/>
  <c r="A279" i="49"/>
  <c r="B279" i="49"/>
  <c r="A280" i="49"/>
  <c r="B280" i="49"/>
  <c r="A281" i="49"/>
  <c r="B281" i="49"/>
  <c r="A282" i="49"/>
  <c r="B282" i="49"/>
  <c r="A283" i="49"/>
  <c r="B283" i="49"/>
  <c r="A284" i="49"/>
  <c r="B284" i="49"/>
  <c r="A285" i="49"/>
  <c r="B285" i="49"/>
  <c r="A286" i="49"/>
  <c r="B286" i="49"/>
  <c r="A287" i="49"/>
  <c r="B287" i="49"/>
  <c r="A288" i="49"/>
  <c r="B288" i="49"/>
  <c r="A289" i="49"/>
  <c r="B289" i="49"/>
  <c r="A290" i="49"/>
  <c r="B290" i="49"/>
  <c r="A291" i="49"/>
  <c r="B291" i="49"/>
  <c r="A292" i="49"/>
  <c r="B292" i="49"/>
  <c r="A293" i="49"/>
  <c r="B293" i="49"/>
  <c r="A294" i="49"/>
  <c r="B294" i="49"/>
  <c r="A295" i="49"/>
  <c r="B295" i="49"/>
  <c r="A296" i="49"/>
  <c r="B296" i="49"/>
  <c r="A297" i="49"/>
  <c r="B297" i="49"/>
  <c r="A298" i="49"/>
  <c r="B298" i="49"/>
  <c r="A299" i="49"/>
  <c r="B299" i="49"/>
  <c r="A300" i="49"/>
  <c r="B300" i="49"/>
  <c r="A301" i="49"/>
  <c r="B301" i="49"/>
  <c r="A302" i="49"/>
  <c r="B302" i="49"/>
  <c r="A303" i="49"/>
  <c r="B303" i="49"/>
  <c r="A304" i="49"/>
  <c r="B304" i="49"/>
  <c r="A305" i="49"/>
  <c r="B305" i="49"/>
  <c r="A306" i="49"/>
  <c r="B306" i="49"/>
  <c r="A307" i="49"/>
  <c r="B307" i="49"/>
  <c r="A308" i="49"/>
  <c r="B308" i="49"/>
  <c r="A309" i="49"/>
  <c r="B309" i="49"/>
  <c r="A310" i="49"/>
  <c r="B310" i="49"/>
  <c r="A311" i="49"/>
  <c r="B311" i="49"/>
  <c r="A312" i="49"/>
  <c r="B312" i="49"/>
  <c r="A313" i="49"/>
  <c r="B313" i="49"/>
  <c r="A314" i="49"/>
  <c r="B314" i="49"/>
  <c r="B6" i="49"/>
  <c r="A6" i="49"/>
  <c r="I170" i="49" l="1"/>
  <c r="I244" i="49"/>
  <c r="I219" i="49"/>
  <c r="B315" i="49"/>
  <c r="B7" i="48"/>
  <c r="B9" i="48" l="1"/>
  <c r="B8" i="48"/>
  <c r="F8" i="48"/>
  <c r="C8" i="34"/>
  <c r="U6" i="19" l="1"/>
  <c r="C29" i="40" l="1"/>
  <c r="A2" i="25"/>
  <c r="J5" i="13"/>
  <c r="A7" i="13"/>
  <c r="B7" i="13"/>
  <c r="A8" i="13"/>
  <c r="B8" i="13"/>
  <c r="A9" i="13"/>
  <c r="B9" i="13"/>
  <c r="A10" i="13"/>
  <c r="B10" i="13"/>
  <c r="A11" i="13"/>
  <c r="B11" i="13"/>
  <c r="A12" i="13"/>
  <c r="B12" i="13"/>
  <c r="A13" i="13"/>
  <c r="B13" i="13"/>
  <c r="A14" i="13"/>
  <c r="B14" i="13"/>
  <c r="A15" i="13"/>
  <c r="B15" i="13"/>
  <c r="A16" i="13"/>
  <c r="B16" i="13"/>
  <c r="A17" i="13"/>
  <c r="B17" i="13"/>
  <c r="A18" i="13"/>
  <c r="B18" i="13"/>
  <c r="A19" i="13"/>
  <c r="B19" i="13"/>
  <c r="A20" i="13"/>
  <c r="B20" i="13"/>
  <c r="A21" i="13"/>
  <c r="B21" i="13"/>
  <c r="A22" i="13"/>
  <c r="B22" i="13"/>
  <c r="A23" i="13"/>
  <c r="B23" i="13"/>
  <c r="A24" i="13"/>
  <c r="B24" i="13"/>
  <c r="A25" i="13"/>
  <c r="B25" i="13"/>
  <c r="A26" i="13"/>
  <c r="B26" i="13"/>
  <c r="A27" i="13"/>
  <c r="B27" i="13"/>
  <c r="A28" i="13"/>
  <c r="B28" i="13"/>
  <c r="A29" i="13"/>
  <c r="B29" i="13"/>
  <c r="A30" i="13"/>
  <c r="B30" i="13"/>
  <c r="A31" i="13"/>
  <c r="B31" i="13"/>
  <c r="A32" i="13"/>
  <c r="B32" i="13"/>
  <c r="A33" i="13"/>
  <c r="B33" i="13"/>
  <c r="A34" i="13"/>
  <c r="B34" i="13"/>
  <c r="A35" i="13"/>
  <c r="B35" i="13"/>
  <c r="A36" i="13"/>
  <c r="B36" i="13"/>
  <c r="A37" i="13"/>
  <c r="B37" i="13"/>
  <c r="A38" i="13"/>
  <c r="B38" i="13"/>
  <c r="A39" i="13"/>
  <c r="B39" i="13"/>
  <c r="A40" i="13"/>
  <c r="B40" i="13"/>
  <c r="A41" i="13"/>
  <c r="B41" i="13"/>
  <c r="A42" i="13"/>
  <c r="B42" i="13"/>
  <c r="A43" i="13"/>
  <c r="B43" i="13"/>
  <c r="A44" i="13"/>
  <c r="B44" i="13"/>
  <c r="A45" i="13"/>
  <c r="B45" i="13"/>
  <c r="A46" i="13"/>
  <c r="B46" i="13"/>
  <c r="A47" i="13"/>
  <c r="B47" i="13"/>
  <c r="A48" i="13"/>
  <c r="B48" i="13"/>
  <c r="A49" i="13"/>
  <c r="B49" i="13"/>
  <c r="A50" i="13"/>
  <c r="B50" i="13"/>
  <c r="A51" i="13"/>
  <c r="B51" i="13"/>
  <c r="A52" i="13"/>
  <c r="B52" i="13"/>
  <c r="A53" i="13"/>
  <c r="B53" i="13"/>
  <c r="A54" i="13"/>
  <c r="B54" i="13"/>
  <c r="A55" i="13"/>
  <c r="B55" i="13"/>
  <c r="A56" i="13"/>
  <c r="B56" i="13"/>
  <c r="A57" i="13"/>
  <c r="B57" i="13"/>
  <c r="A58" i="13"/>
  <c r="B58" i="13"/>
  <c r="A59" i="13"/>
  <c r="B59" i="13"/>
  <c r="A60" i="13"/>
  <c r="B60" i="13"/>
  <c r="A61" i="13"/>
  <c r="B61" i="13"/>
  <c r="A62" i="13"/>
  <c r="B62" i="13"/>
  <c r="A63" i="13"/>
  <c r="B63" i="13"/>
  <c r="A64" i="13"/>
  <c r="B64" i="13"/>
  <c r="A65" i="13"/>
  <c r="B65" i="13"/>
  <c r="A66" i="13"/>
  <c r="B66" i="13"/>
  <c r="A67" i="13"/>
  <c r="B67" i="13"/>
  <c r="A68" i="13"/>
  <c r="B68" i="13"/>
  <c r="A69" i="13"/>
  <c r="B69" i="13"/>
  <c r="A70" i="13"/>
  <c r="B70" i="13"/>
  <c r="A71" i="13"/>
  <c r="B71" i="13"/>
  <c r="A72" i="13"/>
  <c r="B72" i="13"/>
  <c r="A73" i="13"/>
  <c r="B73" i="13"/>
  <c r="A74" i="13"/>
  <c r="B74" i="13"/>
  <c r="A75" i="13"/>
  <c r="B75" i="13"/>
  <c r="A76" i="13"/>
  <c r="B76" i="13"/>
  <c r="A77" i="13"/>
  <c r="B77" i="13"/>
  <c r="A78" i="13"/>
  <c r="B78" i="13"/>
  <c r="A79" i="13"/>
  <c r="B79" i="13"/>
  <c r="A80" i="13"/>
  <c r="B80" i="13"/>
  <c r="A81" i="13"/>
  <c r="B81" i="13"/>
  <c r="A82" i="13"/>
  <c r="B82" i="13"/>
  <c r="A83" i="13"/>
  <c r="B83" i="13"/>
  <c r="A84" i="13"/>
  <c r="B84" i="13"/>
  <c r="A85" i="13"/>
  <c r="B85" i="13"/>
  <c r="A86" i="13"/>
  <c r="B86" i="13"/>
  <c r="A87" i="13"/>
  <c r="B87" i="13"/>
  <c r="A88" i="13"/>
  <c r="B88" i="13"/>
  <c r="A89" i="13"/>
  <c r="B89" i="13"/>
  <c r="A90" i="13"/>
  <c r="B90" i="13"/>
  <c r="A91" i="13"/>
  <c r="B91" i="13"/>
  <c r="A92" i="13"/>
  <c r="B92" i="13"/>
  <c r="A93" i="13"/>
  <c r="B93" i="13"/>
  <c r="A94" i="13"/>
  <c r="B94" i="13"/>
  <c r="A95" i="13"/>
  <c r="B95" i="13"/>
  <c r="A96" i="13"/>
  <c r="B96" i="13"/>
  <c r="A97" i="13"/>
  <c r="B97" i="13"/>
  <c r="A98" i="13"/>
  <c r="B98" i="13"/>
  <c r="A99" i="13"/>
  <c r="B99" i="13"/>
  <c r="A100" i="13"/>
  <c r="B100" i="13"/>
  <c r="A101" i="13"/>
  <c r="B101" i="13"/>
  <c r="A102" i="13"/>
  <c r="B102" i="13"/>
  <c r="A103" i="13"/>
  <c r="B103" i="13"/>
  <c r="A104" i="13"/>
  <c r="B104" i="13"/>
  <c r="A105" i="13"/>
  <c r="B105" i="13"/>
  <c r="A106" i="13"/>
  <c r="B106" i="13"/>
  <c r="A107" i="13"/>
  <c r="B107" i="13"/>
  <c r="A108" i="13"/>
  <c r="B108" i="13"/>
  <c r="A109" i="13"/>
  <c r="B109" i="13"/>
  <c r="A110" i="13"/>
  <c r="B110" i="13"/>
  <c r="A111" i="13"/>
  <c r="B111" i="13"/>
  <c r="A112" i="13"/>
  <c r="B112" i="13"/>
  <c r="A113" i="13"/>
  <c r="B113" i="13"/>
  <c r="A114" i="13"/>
  <c r="B114" i="13"/>
  <c r="A115" i="13"/>
  <c r="B115" i="13"/>
  <c r="A116" i="13"/>
  <c r="B116" i="13"/>
  <c r="A117" i="13"/>
  <c r="B117" i="13"/>
  <c r="A118" i="13"/>
  <c r="B118" i="13"/>
  <c r="A119" i="13"/>
  <c r="B119" i="13"/>
  <c r="A120" i="13"/>
  <c r="B120" i="13"/>
  <c r="A121" i="13"/>
  <c r="B121" i="13"/>
  <c r="A122" i="13"/>
  <c r="B122" i="13"/>
  <c r="A123" i="13"/>
  <c r="B123" i="13"/>
  <c r="A124" i="13"/>
  <c r="B124" i="13"/>
  <c r="A125" i="13"/>
  <c r="B125" i="13"/>
  <c r="A126" i="13"/>
  <c r="B126" i="13"/>
  <c r="A127" i="13"/>
  <c r="B127" i="13"/>
  <c r="A128" i="13"/>
  <c r="B128" i="13"/>
  <c r="A129" i="13"/>
  <c r="B129" i="13"/>
  <c r="A130" i="13"/>
  <c r="B130" i="13"/>
  <c r="A131" i="13"/>
  <c r="B131" i="13"/>
  <c r="A132" i="13"/>
  <c r="B132" i="13"/>
  <c r="A133" i="13"/>
  <c r="B133" i="13"/>
  <c r="A134" i="13"/>
  <c r="B134" i="13"/>
  <c r="A135" i="13"/>
  <c r="B135" i="13"/>
  <c r="A136" i="13"/>
  <c r="B136" i="13"/>
  <c r="A137" i="13"/>
  <c r="B137" i="13"/>
  <c r="A138" i="13"/>
  <c r="B138" i="13"/>
  <c r="A139" i="13"/>
  <c r="B139" i="13"/>
  <c r="A140" i="13"/>
  <c r="B140" i="13"/>
  <c r="A141" i="13"/>
  <c r="B141" i="13"/>
  <c r="A142" i="13"/>
  <c r="B142" i="13"/>
  <c r="A143" i="13"/>
  <c r="B143" i="13"/>
  <c r="A144" i="13"/>
  <c r="B144" i="13"/>
  <c r="A145" i="13"/>
  <c r="B145" i="13"/>
  <c r="A146" i="13"/>
  <c r="B146" i="13"/>
  <c r="A147" i="13"/>
  <c r="B147" i="13"/>
  <c r="A148" i="13"/>
  <c r="B148" i="13"/>
  <c r="A149" i="13"/>
  <c r="B149" i="13"/>
  <c r="A150" i="13"/>
  <c r="B150" i="13"/>
  <c r="A151" i="13"/>
  <c r="B151" i="13"/>
  <c r="A152" i="13"/>
  <c r="B152" i="13"/>
  <c r="A153" i="13"/>
  <c r="B153" i="13"/>
  <c r="A154" i="13"/>
  <c r="B154" i="13"/>
  <c r="A155" i="13"/>
  <c r="B155" i="13"/>
  <c r="A156" i="13"/>
  <c r="B156" i="13"/>
  <c r="A157" i="13"/>
  <c r="B157" i="13"/>
  <c r="A158" i="13"/>
  <c r="B158" i="13"/>
  <c r="A159" i="13"/>
  <c r="B159" i="13"/>
  <c r="A160" i="13"/>
  <c r="B160" i="13"/>
  <c r="A161" i="13"/>
  <c r="B161" i="13"/>
  <c r="A162" i="13"/>
  <c r="B162" i="13"/>
  <c r="A163" i="13"/>
  <c r="B163" i="13"/>
  <c r="A164" i="13"/>
  <c r="B164" i="13"/>
  <c r="A165" i="13"/>
  <c r="B165" i="13"/>
  <c r="A166" i="13"/>
  <c r="B166" i="13"/>
  <c r="A167" i="13"/>
  <c r="B167" i="13"/>
  <c r="A168" i="13"/>
  <c r="B168" i="13"/>
  <c r="A169" i="13"/>
  <c r="B169" i="13"/>
  <c r="A171" i="13"/>
  <c r="B171" i="13"/>
  <c r="A172" i="13"/>
  <c r="B172" i="13"/>
  <c r="A173" i="13"/>
  <c r="B173" i="13"/>
  <c r="A174" i="13"/>
  <c r="B174" i="13"/>
  <c r="A175" i="13"/>
  <c r="B175" i="13"/>
  <c r="A176" i="13"/>
  <c r="B176" i="13"/>
  <c r="A177" i="13"/>
  <c r="B177" i="13"/>
  <c r="A178" i="13"/>
  <c r="B178" i="13"/>
  <c r="A179" i="13"/>
  <c r="B179" i="13"/>
  <c r="A180" i="13"/>
  <c r="B180" i="13"/>
  <c r="A181" i="13"/>
  <c r="B181" i="13"/>
  <c r="A182" i="13"/>
  <c r="B182" i="13"/>
  <c r="A183" i="13"/>
  <c r="B183" i="13"/>
  <c r="A184" i="13"/>
  <c r="B184" i="13"/>
  <c r="A185" i="13"/>
  <c r="B185" i="13"/>
  <c r="A186" i="13"/>
  <c r="B186" i="13"/>
  <c r="A187" i="13"/>
  <c r="B187" i="13"/>
  <c r="A188" i="13"/>
  <c r="B188" i="13"/>
  <c r="A189" i="13"/>
  <c r="B189" i="13"/>
  <c r="A190" i="13"/>
  <c r="B190" i="13"/>
  <c r="A191" i="13"/>
  <c r="B191" i="13"/>
  <c r="A192" i="13"/>
  <c r="B192" i="13"/>
  <c r="A193" i="13"/>
  <c r="B193" i="13"/>
  <c r="A194" i="13"/>
  <c r="B194" i="13"/>
  <c r="A195" i="13"/>
  <c r="B195" i="13"/>
  <c r="A196" i="13"/>
  <c r="B196" i="13"/>
  <c r="A197" i="13"/>
  <c r="B197" i="13"/>
  <c r="A198" i="13"/>
  <c r="B198" i="13"/>
  <c r="A199" i="13"/>
  <c r="B199" i="13"/>
  <c r="A200" i="13"/>
  <c r="B200" i="13"/>
  <c r="A201" i="13"/>
  <c r="B201" i="13"/>
  <c r="A202" i="13"/>
  <c r="B202" i="13"/>
  <c r="A203" i="13"/>
  <c r="B203" i="13"/>
  <c r="A204" i="13"/>
  <c r="B204" i="13"/>
  <c r="A205" i="13"/>
  <c r="B205" i="13"/>
  <c r="A206" i="13"/>
  <c r="B206" i="13"/>
  <c r="A207" i="13"/>
  <c r="B207" i="13"/>
  <c r="A208" i="13"/>
  <c r="B208" i="13"/>
  <c r="A209" i="13"/>
  <c r="B209" i="13"/>
  <c r="A210" i="13"/>
  <c r="B210" i="13"/>
  <c r="A211" i="13"/>
  <c r="B211" i="13"/>
  <c r="A212" i="13"/>
  <c r="B212" i="13"/>
  <c r="A213" i="13"/>
  <c r="B213" i="13"/>
  <c r="A214" i="13"/>
  <c r="B214" i="13"/>
  <c r="A215" i="13"/>
  <c r="B215" i="13"/>
  <c r="A216" i="13"/>
  <c r="B216" i="13"/>
  <c r="A217" i="13"/>
  <c r="B217" i="13"/>
  <c r="A218" i="13"/>
  <c r="B218" i="13"/>
  <c r="A220" i="13"/>
  <c r="B220" i="13"/>
  <c r="A221" i="13"/>
  <c r="B221" i="13"/>
  <c r="A222" i="13"/>
  <c r="B222" i="13"/>
  <c r="A223" i="13"/>
  <c r="B223" i="13"/>
  <c r="A224" i="13"/>
  <c r="B224" i="13"/>
  <c r="A225" i="13"/>
  <c r="B225" i="13"/>
  <c r="A226" i="13"/>
  <c r="B226" i="13"/>
  <c r="A227" i="13"/>
  <c r="B227" i="13"/>
  <c r="A228" i="13"/>
  <c r="B228" i="13"/>
  <c r="A229" i="13"/>
  <c r="B229" i="13"/>
  <c r="A230" i="13"/>
  <c r="B230" i="13"/>
  <c r="A231" i="13"/>
  <c r="B231" i="13"/>
  <c r="A232" i="13"/>
  <c r="B232" i="13"/>
  <c r="A233" i="13"/>
  <c r="B233" i="13"/>
  <c r="A234" i="13"/>
  <c r="B234" i="13"/>
  <c r="A235" i="13"/>
  <c r="B235" i="13"/>
  <c r="A236" i="13"/>
  <c r="B236" i="13"/>
  <c r="A237" i="13"/>
  <c r="B237" i="13"/>
  <c r="A238" i="13"/>
  <c r="B238" i="13"/>
  <c r="A239" i="13"/>
  <c r="B239" i="13"/>
  <c r="A240" i="13"/>
  <c r="B240" i="13"/>
  <c r="A241" i="13"/>
  <c r="B241" i="13"/>
  <c r="A242" i="13"/>
  <c r="B242" i="13"/>
  <c r="A243" i="13"/>
  <c r="B243" i="13"/>
  <c r="A245" i="13"/>
  <c r="B245" i="13"/>
  <c r="A246" i="13"/>
  <c r="B246" i="13"/>
  <c r="A247" i="13"/>
  <c r="B247" i="13"/>
  <c r="A248" i="13"/>
  <c r="B248" i="13"/>
  <c r="A249" i="13"/>
  <c r="B249" i="13"/>
  <c r="A250" i="13"/>
  <c r="B250" i="13"/>
  <c r="A251" i="13"/>
  <c r="B251" i="13"/>
  <c r="A252" i="13"/>
  <c r="B252" i="13"/>
  <c r="A253" i="13"/>
  <c r="B253" i="13"/>
  <c r="A254" i="13"/>
  <c r="B254" i="13"/>
  <c r="A255" i="13"/>
  <c r="B255" i="13"/>
  <c r="A256" i="13"/>
  <c r="B256" i="13"/>
  <c r="A257" i="13"/>
  <c r="B257" i="13"/>
  <c r="A258" i="13"/>
  <c r="B258" i="13"/>
  <c r="A259" i="13"/>
  <c r="B259" i="13"/>
  <c r="A260" i="13"/>
  <c r="B260" i="13"/>
  <c r="A261" i="13"/>
  <c r="B261" i="13"/>
  <c r="A262" i="13"/>
  <c r="B262" i="13"/>
  <c r="A263" i="13"/>
  <c r="B263" i="13"/>
  <c r="A264" i="13"/>
  <c r="B264" i="13"/>
  <c r="A265" i="13"/>
  <c r="B265" i="13"/>
  <c r="A266" i="13"/>
  <c r="B266" i="13"/>
  <c r="A267" i="13"/>
  <c r="B267" i="13"/>
  <c r="A268" i="13"/>
  <c r="B268" i="13"/>
  <c r="A269" i="13"/>
  <c r="B269" i="13"/>
  <c r="A270" i="13"/>
  <c r="B270" i="13"/>
  <c r="A271" i="13"/>
  <c r="B271" i="13"/>
  <c r="A272" i="13"/>
  <c r="B272" i="13"/>
  <c r="A273" i="13"/>
  <c r="B273" i="13"/>
  <c r="A274" i="13"/>
  <c r="B274" i="13"/>
  <c r="A275" i="13"/>
  <c r="B275" i="13"/>
  <c r="A276" i="13"/>
  <c r="B276" i="13"/>
  <c r="A277" i="13"/>
  <c r="B277" i="13"/>
  <c r="A278" i="13"/>
  <c r="B278" i="13"/>
  <c r="A279" i="13"/>
  <c r="B279" i="13"/>
  <c r="A280" i="13"/>
  <c r="B280" i="13"/>
  <c r="A281" i="13"/>
  <c r="B281" i="13"/>
  <c r="A282" i="13"/>
  <c r="B282" i="13"/>
  <c r="A283" i="13"/>
  <c r="B283" i="13"/>
  <c r="A284" i="13"/>
  <c r="B284" i="13"/>
  <c r="A285" i="13"/>
  <c r="B285" i="13"/>
  <c r="A286" i="13"/>
  <c r="B286" i="13"/>
  <c r="A287" i="13"/>
  <c r="B287" i="13"/>
  <c r="A288" i="13"/>
  <c r="B288" i="13"/>
  <c r="A289" i="13"/>
  <c r="B289" i="13"/>
  <c r="A290" i="13"/>
  <c r="B290" i="13"/>
  <c r="A291" i="13"/>
  <c r="B291" i="13"/>
  <c r="A292" i="13"/>
  <c r="B292" i="13"/>
  <c r="A293" i="13"/>
  <c r="B293" i="13"/>
  <c r="A294" i="13"/>
  <c r="B294" i="13"/>
  <c r="A295" i="13"/>
  <c r="B295" i="13"/>
  <c r="A296" i="13"/>
  <c r="B296" i="13"/>
  <c r="A297" i="13"/>
  <c r="B297" i="13"/>
  <c r="A298" i="13"/>
  <c r="B298" i="13"/>
  <c r="A299" i="13"/>
  <c r="B299" i="13"/>
  <c r="A300" i="13"/>
  <c r="B300" i="13"/>
  <c r="A301" i="13"/>
  <c r="B301" i="13"/>
  <c r="A302" i="13"/>
  <c r="B302" i="13"/>
  <c r="A303" i="13"/>
  <c r="B303" i="13"/>
  <c r="A304" i="13"/>
  <c r="B304" i="13"/>
  <c r="A305" i="13"/>
  <c r="B305" i="13"/>
  <c r="A306" i="13"/>
  <c r="B306" i="13"/>
  <c r="A307" i="13"/>
  <c r="B307" i="13"/>
  <c r="A308" i="13"/>
  <c r="B308" i="13"/>
  <c r="A309" i="13"/>
  <c r="B309" i="13"/>
  <c r="A310" i="13"/>
  <c r="B310" i="13"/>
  <c r="A311" i="13"/>
  <c r="B311" i="13"/>
  <c r="A312" i="13"/>
  <c r="B312" i="13"/>
  <c r="A313" i="13"/>
  <c r="B313" i="13"/>
  <c r="A314" i="13"/>
  <c r="B314" i="13"/>
  <c r="B6" i="13"/>
  <c r="A6" i="13"/>
  <c r="A6" i="39"/>
  <c r="B6" i="39"/>
  <c r="A7" i="39"/>
  <c r="B7" i="39"/>
  <c r="A8" i="39"/>
  <c r="B8" i="39"/>
  <c r="A9" i="39"/>
  <c r="B9" i="39"/>
  <c r="A10" i="39"/>
  <c r="B10" i="39"/>
  <c r="A11" i="39"/>
  <c r="B11" i="39"/>
  <c r="A12" i="39"/>
  <c r="B12" i="39"/>
  <c r="A13" i="39"/>
  <c r="B13" i="39"/>
  <c r="A14" i="39"/>
  <c r="B14" i="39"/>
  <c r="A15" i="39"/>
  <c r="B15" i="39"/>
  <c r="A16" i="39"/>
  <c r="B16" i="39"/>
  <c r="A17" i="39"/>
  <c r="B17" i="39"/>
  <c r="A18" i="39"/>
  <c r="B18" i="39"/>
  <c r="A19" i="39"/>
  <c r="B19" i="39"/>
  <c r="A20" i="39"/>
  <c r="B20" i="39"/>
  <c r="A21" i="39"/>
  <c r="B21" i="39"/>
  <c r="A22" i="39"/>
  <c r="B22" i="39"/>
  <c r="A23" i="39"/>
  <c r="B23" i="39"/>
  <c r="A24" i="39"/>
  <c r="B24" i="39"/>
  <c r="A25" i="39"/>
  <c r="B25" i="39"/>
  <c r="A26" i="39"/>
  <c r="B26" i="39"/>
  <c r="A27" i="39"/>
  <c r="B27" i="39"/>
  <c r="A28" i="39"/>
  <c r="B28" i="39"/>
  <c r="A29" i="39"/>
  <c r="B29" i="39"/>
  <c r="A30" i="39"/>
  <c r="B30" i="39"/>
  <c r="A31" i="39"/>
  <c r="B31" i="39"/>
  <c r="A32" i="39"/>
  <c r="B32" i="39"/>
  <c r="A33" i="39"/>
  <c r="B33" i="39"/>
  <c r="A34" i="39"/>
  <c r="B34" i="39"/>
  <c r="A35" i="39"/>
  <c r="B35" i="39"/>
  <c r="A36" i="39"/>
  <c r="B36" i="39"/>
  <c r="A37" i="39"/>
  <c r="B37" i="39"/>
  <c r="A38" i="39"/>
  <c r="B38" i="39"/>
  <c r="A39" i="39"/>
  <c r="B39" i="39"/>
  <c r="A40" i="39"/>
  <c r="B40" i="39"/>
  <c r="A41" i="39"/>
  <c r="B41" i="39"/>
  <c r="A42" i="39"/>
  <c r="B42" i="39"/>
  <c r="A43" i="39"/>
  <c r="B43" i="39"/>
  <c r="A44" i="39"/>
  <c r="B44" i="39"/>
  <c r="A45" i="39"/>
  <c r="B45" i="39"/>
  <c r="A46" i="39"/>
  <c r="B46" i="39"/>
  <c r="A47" i="39"/>
  <c r="B47" i="39"/>
  <c r="A48" i="39"/>
  <c r="B48" i="39"/>
  <c r="A49" i="39"/>
  <c r="B49" i="39"/>
  <c r="A50" i="39"/>
  <c r="B50" i="39"/>
  <c r="A51" i="39"/>
  <c r="B51" i="39"/>
  <c r="A52" i="39"/>
  <c r="B52" i="39"/>
  <c r="A53" i="39"/>
  <c r="B53" i="39"/>
  <c r="A54" i="39"/>
  <c r="B54" i="39"/>
  <c r="A55" i="39"/>
  <c r="B55" i="39"/>
  <c r="A56" i="39"/>
  <c r="B56" i="39"/>
  <c r="A57" i="39"/>
  <c r="B57" i="39"/>
  <c r="A58" i="39"/>
  <c r="B58" i="39"/>
  <c r="A59" i="39"/>
  <c r="B59" i="39"/>
  <c r="A60" i="39"/>
  <c r="B60" i="39"/>
  <c r="A61" i="39"/>
  <c r="B61" i="39"/>
  <c r="A62" i="39"/>
  <c r="B62" i="39"/>
  <c r="A63" i="39"/>
  <c r="B63" i="39"/>
  <c r="A64" i="39"/>
  <c r="B64" i="39"/>
  <c r="A65" i="39"/>
  <c r="B65" i="39"/>
  <c r="A66" i="39"/>
  <c r="B66" i="39"/>
  <c r="A67" i="39"/>
  <c r="B67" i="39"/>
  <c r="A68" i="39"/>
  <c r="B68" i="39"/>
  <c r="A69" i="39"/>
  <c r="B69" i="39"/>
  <c r="A70" i="39"/>
  <c r="B70" i="39"/>
  <c r="A71" i="39"/>
  <c r="B71" i="39"/>
  <c r="A72" i="39"/>
  <c r="B72" i="39"/>
  <c r="A73" i="39"/>
  <c r="B73" i="39"/>
  <c r="A74" i="39"/>
  <c r="B74" i="39"/>
  <c r="A75" i="39"/>
  <c r="B75" i="39"/>
  <c r="A76" i="39"/>
  <c r="B76" i="39"/>
  <c r="A77" i="39"/>
  <c r="B77" i="39"/>
  <c r="A78" i="39"/>
  <c r="B78" i="39"/>
  <c r="A79" i="39"/>
  <c r="B79" i="39"/>
  <c r="A80" i="39"/>
  <c r="B80" i="39"/>
  <c r="A81" i="39"/>
  <c r="B81" i="39"/>
  <c r="A82" i="39"/>
  <c r="B82" i="39"/>
  <c r="A83" i="39"/>
  <c r="B83" i="39"/>
  <c r="A84" i="39"/>
  <c r="B84" i="39"/>
  <c r="A85" i="39"/>
  <c r="B85" i="39"/>
  <c r="A86" i="39"/>
  <c r="B86" i="39"/>
  <c r="A87" i="39"/>
  <c r="B87" i="39"/>
  <c r="A88" i="39"/>
  <c r="B88" i="39"/>
  <c r="A89" i="39"/>
  <c r="B89" i="39"/>
  <c r="A90" i="39"/>
  <c r="B90" i="39"/>
  <c r="A91" i="39"/>
  <c r="B91" i="39"/>
  <c r="A92" i="39"/>
  <c r="B92" i="39"/>
  <c r="A93" i="39"/>
  <c r="B93" i="39"/>
  <c r="A94" i="39"/>
  <c r="B94" i="39"/>
  <c r="A95" i="39"/>
  <c r="B95" i="39"/>
  <c r="A96" i="39"/>
  <c r="B96" i="39"/>
  <c r="A97" i="39"/>
  <c r="B97" i="39"/>
  <c r="A98" i="39"/>
  <c r="B98" i="39"/>
  <c r="A99" i="39"/>
  <c r="B99" i="39"/>
  <c r="A100" i="39"/>
  <c r="B100" i="39"/>
  <c r="A101" i="39"/>
  <c r="B101" i="39"/>
  <c r="A102" i="39"/>
  <c r="B102" i="39"/>
  <c r="A103" i="39"/>
  <c r="B103" i="39"/>
  <c r="A104" i="39"/>
  <c r="B104" i="39"/>
  <c r="A105" i="39"/>
  <c r="B105" i="39"/>
  <c r="A106" i="39"/>
  <c r="B106" i="39"/>
  <c r="A107" i="39"/>
  <c r="B107" i="39"/>
  <c r="A108" i="39"/>
  <c r="B108" i="39"/>
  <c r="A109" i="39"/>
  <c r="B109" i="39"/>
  <c r="A110" i="39"/>
  <c r="B110" i="39"/>
  <c r="A111" i="39"/>
  <c r="B111" i="39"/>
  <c r="A112" i="39"/>
  <c r="B112" i="39"/>
  <c r="A113" i="39"/>
  <c r="B113" i="39"/>
  <c r="A114" i="39"/>
  <c r="B114" i="39"/>
  <c r="A115" i="39"/>
  <c r="B115" i="39"/>
  <c r="A116" i="39"/>
  <c r="B116" i="39"/>
  <c r="A117" i="39"/>
  <c r="B117" i="39"/>
  <c r="A118" i="39"/>
  <c r="B118" i="39"/>
  <c r="A119" i="39"/>
  <c r="B119" i="39"/>
  <c r="A120" i="39"/>
  <c r="B120" i="39"/>
  <c r="A121" i="39"/>
  <c r="B121" i="39"/>
  <c r="A122" i="39"/>
  <c r="B122" i="39"/>
  <c r="A123" i="39"/>
  <c r="B123" i="39"/>
  <c r="A124" i="39"/>
  <c r="B124" i="39"/>
  <c r="A125" i="39"/>
  <c r="B125" i="39"/>
  <c r="A126" i="39"/>
  <c r="B126" i="39"/>
  <c r="A127" i="39"/>
  <c r="B127" i="39"/>
  <c r="A128" i="39"/>
  <c r="B128" i="39"/>
  <c r="A129" i="39"/>
  <c r="B129" i="39"/>
  <c r="A130" i="39"/>
  <c r="B130" i="39"/>
  <c r="A131" i="39"/>
  <c r="B131" i="39"/>
  <c r="A132" i="39"/>
  <c r="B132" i="39"/>
  <c r="A133" i="39"/>
  <c r="B133" i="39"/>
  <c r="A134" i="39"/>
  <c r="B134" i="39"/>
  <c r="A135" i="39"/>
  <c r="B135" i="39"/>
  <c r="A136" i="39"/>
  <c r="B136" i="39"/>
  <c r="A137" i="39"/>
  <c r="B137" i="39"/>
  <c r="A138" i="39"/>
  <c r="B138" i="39"/>
  <c r="A139" i="39"/>
  <c r="B139" i="39"/>
  <c r="A140" i="39"/>
  <c r="B140" i="39"/>
  <c r="A141" i="39"/>
  <c r="B141" i="39"/>
  <c r="A142" i="39"/>
  <c r="B142" i="39"/>
  <c r="A143" i="39"/>
  <c r="B143" i="39"/>
  <c r="A144" i="39"/>
  <c r="B144" i="39"/>
  <c r="A145" i="39"/>
  <c r="B145" i="39"/>
  <c r="A146" i="39"/>
  <c r="B146" i="39"/>
  <c r="A147" i="39"/>
  <c r="B147" i="39"/>
  <c r="A148" i="39"/>
  <c r="B148" i="39"/>
  <c r="A149" i="39"/>
  <c r="B149" i="39"/>
  <c r="A150" i="39"/>
  <c r="B150" i="39"/>
  <c r="A151" i="39"/>
  <c r="B151" i="39"/>
  <c r="A152" i="39"/>
  <c r="B152" i="39"/>
  <c r="A153" i="39"/>
  <c r="B153" i="39"/>
  <c r="A154" i="39"/>
  <c r="B154" i="39"/>
  <c r="A155" i="39"/>
  <c r="B155" i="39"/>
  <c r="A156" i="39"/>
  <c r="B156" i="39"/>
  <c r="A157" i="39"/>
  <c r="B157" i="39"/>
  <c r="A158" i="39"/>
  <c r="B158" i="39"/>
  <c r="A159" i="39"/>
  <c r="B159" i="39"/>
  <c r="A160" i="39"/>
  <c r="B160" i="39"/>
  <c r="A161" i="39"/>
  <c r="B161" i="39"/>
  <c r="A162" i="39"/>
  <c r="B162" i="39"/>
  <c r="A163" i="39"/>
  <c r="B163" i="39"/>
  <c r="A164" i="39"/>
  <c r="B164" i="39"/>
  <c r="A165" i="39"/>
  <c r="B165" i="39"/>
  <c r="A166" i="39"/>
  <c r="B166" i="39"/>
  <c r="A167" i="39"/>
  <c r="B167" i="39"/>
  <c r="A168" i="39"/>
  <c r="B168" i="39"/>
  <c r="A170" i="39"/>
  <c r="B170" i="39"/>
  <c r="A171" i="39"/>
  <c r="B171" i="39"/>
  <c r="A172" i="39"/>
  <c r="B172" i="39"/>
  <c r="A173" i="39"/>
  <c r="B173" i="39"/>
  <c r="A174" i="39"/>
  <c r="B174" i="39"/>
  <c r="A175" i="39"/>
  <c r="B175" i="39"/>
  <c r="A176" i="39"/>
  <c r="B176" i="39"/>
  <c r="A177" i="39"/>
  <c r="B177" i="39"/>
  <c r="A178" i="39"/>
  <c r="B178" i="39"/>
  <c r="A179" i="39"/>
  <c r="B179" i="39"/>
  <c r="A180" i="39"/>
  <c r="B180" i="39"/>
  <c r="A181" i="39"/>
  <c r="B181" i="39"/>
  <c r="A182" i="39"/>
  <c r="B182" i="39"/>
  <c r="A183" i="39"/>
  <c r="B183" i="39"/>
  <c r="A184" i="39"/>
  <c r="B184" i="39"/>
  <c r="A185" i="39"/>
  <c r="B185" i="39"/>
  <c r="A186" i="39"/>
  <c r="B186" i="39"/>
  <c r="A187" i="39"/>
  <c r="B187" i="39"/>
  <c r="A188" i="39"/>
  <c r="B188" i="39"/>
  <c r="A189" i="39"/>
  <c r="B189" i="39"/>
  <c r="A190" i="39"/>
  <c r="B190" i="39"/>
  <c r="A191" i="39"/>
  <c r="B191" i="39"/>
  <c r="A192" i="39"/>
  <c r="B192" i="39"/>
  <c r="A193" i="39"/>
  <c r="B193" i="39"/>
  <c r="A194" i="39"/>
  <c r="B194" i="39"/>
  <c r="A195" i="39"/>
  <c r="B195" i="39"/>
  <c r="A196" i="39"/>
  <c r="B196" i="39"/>
  <c r="A197" i="39"/>
  <c r="B197" i="39"/>
  <c r="A198" i="39"/>
  <c r="B198" i="39"/>
  <c r="A199" i="39"/>
  <c r="B199" i="39"/>
  <c r="A200" i="39"/>
  <c r="B200" i="39"/>
  <c r="A201" i="39"/>
  <c r="B201" i="39"/>
  <c r="A202" i="39"/>
  <c r="B202" i="39"/>
  <c r="A203" i="39"/>
  <c r="B203" i="39"/>
  <c r="A204" i="39"/>
  <c r="B204" i="39"/>
  <c r="A205" i="39"/>
  <c r="B205" i="39"/>
  <c r="A206" i="39"/>
  <c r="B206" i="39"/>
  <c r="A207" i="39"/>
  <c r="B207" i="39"/>
  <c r="A208" i="39"/>
  <c r="B208" i="39"/>
  <c r="A209" i="39"/>
  <c r="B209" i="39"/>
  <c r="A210" i="39"/>
  <c r="B210" i="39"/>
  <c r="A211" i="39"/>
  <c r="B211" i="39"/>
  <c r="A212" i="39"/>
  <c r="B212" i="39"/>
  <c r="A213" i="39"/>
  <c r="B213" i="39"/>
  <c r="A214" i="39"/>
  <c r="B214" i="39"/>
  <c r="A215" i="39"/>
  <c r="B215" i="39"/>
  <c r="A216" i="39"/>
  <c r="B216" i="39"/>
  <c r="A217" i="39"/>
  <c r="B217" i="39"/>
  <c r="A219" i="39"/>
  <c r="B219" i="39"/>
  <c r="A220" i="39"/>
  <c r="B220" i="39"/>
  <c r="A221" i="39"/>
  <c r="B221" i="39"/>
  <c r="A222" i="39"/>
  <c r="B222" i="39"/>
  <c r="A223" i="39"/>
  <c r="B223" i="39"/>
  <c r="A224" i="39"/>
  <c r="B224" i="39"/>
  <c r="A225" i="39"/>
  <c r="B225" i="39"/>
  <c r="A226" i="39"/>
  <c r="B226" i="39"/>
  <c r="A227" i="39"/>
  <c r="B227" i="39"/>
  <c r="A228" i="39"/>
  <c r="B228" i="39"/>
  <c r="A229" i="39"/>
  <c r="B229" i="39"/>
  <c r="A230" i="39"/>
  <c r="B230" i="39"/>
  <c r="A231" i="39"/>
  <c r="B231" i="39"/>
  <c r="A232" i="39"/>
  <c r="B232" i="39"/>
  <c r="A233" i="39"/>
  <c r="B233" i="39"/>
  <c r="A234" i="39"/>
  <c r="B234" i="39"/>
  <c r="A235" i="39"/>
  <c r="B235" i="39"/>
  <c r="A236" i="39"/>
  <c r="B236" i="39"/>
  <c r="A237" i="39"/>
  <c r="B237" i="39"/>
  <c r="A238" i="39"/>
  <c r="B238" i="39"/>
  <c r="A239" i="39"/>
  <c r="B239" i="39"/>
  <c r="A240" i="39"/>
  <c r="B240" i="39"/>
  <c r="A241" i="39"/>
  <c r="B241" i="39"/>
  <c r="A242" i="39"/>
  <c r="B242" i="39"/>
  <c r="A245" i="39"/>
  <c r="B245" i="39"/>
  <c r="A246" i="39"/>
  <c r="B246" i="39"/>
  <c r="A247" i="39"/>
  <c r="B247" i="39"/>
  <c r="A248" i="39"/>
  <c r="B248" i="39"/>
  <c r="A249" i="39"/>
  <c r="B249" i="39"/>
  <c r="A250" i="39"/>
  <c r="B250" i="39"/>
  <c r="A251" i="39"/>
  <c r="B251" i="39"/>
  <c r="A252" i="39"/>
  <c r="B252" i="39"/>
  <c r="A253" i="39"/>
  <c r="B253" i="39"/>
  <c r="A254" i="39"/>
  <c r="B254" i="39"/>
  <c r="A255" i="39"/>
  <c r="B255" i="39"/>
  <c r="A256" i="39"/>
  <c r="B256" i="39"/>
  <c r="A257" i="39"/>
  <c r="B257" i="39"/>
  <c r="A258" i="39"/>
  <c r="B258" i="39"/>
  <c r="A259" i="39"/>
  <c r="B259" i="39"/>
  <c r="A260" i="39"/>
  <c r="B260" i="39"/>
  <c r="A261" i="39"/>
  <c r="B261" i="39"/>
  <c r="A262" i="39"/>
  <c r="B262" i="39"/>
  <c r="A263" i="39"/>
  <c r="B263" i="39"/>
  <c r="A264" i="39"/>
  <c r="B264" i="39"/>
  <c r="A265" i="39"/>
  <c r="B265" i="39"/>
  <c r="A266" i="39"/>
  <c r="B266" i="39"/>
  <c r="A267" i="39"/>
  <c r="B267" i="39"/>
  <c r="A268" i="39"/>
  <c r="B268" i="39"/>
  <c r="A269" i="39"/>
  <c r="B269" i="39"/>
  <c r="A270" i="39"/>
  <c r="B270" i="39"/>
  <c r="A271" i="39"/>
  <c r="B271" i="39"/>
  <c r="A272" i="39"/>
  <c r="B272" i="39"/>
  <c r="A273" i="39"/>
  <c r="B273" i="39"/>
  <c r="A274" i="39"/>
  <c r="B274" i="39"/>
  <c r="A275" i="39"/>
  <c r="B275" i="39"/>
  <c r="A276" i="39"/>
  <c r="B276" i="39"/>
  <c r="A277" i="39"/>
  <c r="B277" i="39"/>
  <c r="A278" i="39"/>
  <c r="B278" i="39"/>
  <c r="A279" i="39"/>
  <c r="B279" i="39"/>
  <c r="A280" i="39"/>
  <c r="B280" i="39"/>
  <c r="A281" i="39"/>
  <c r="B281" i="39"/>
  <c r="A282" i="39"/>
  <c r="B282" i="39"/>
  <c r="A283" i="39"/>
  <c r="B283" i="39"/>
  <c r="A284" i="39"/>
  <c r="B284" i="39"/>
  <c r="A285" i="39"/>
  <c r="B285" i="39"/>
  <c r="A286" i="39"/>
  <c r="B286" i="39"/>
  <c r="A287" i="39"/>
  <c r="B287" i="39"/>
  <c r="A288" i="39"/>
  <c r="B288" i="39"/>
  <c r="A289" i="39"/>
  <c r="B289" i="39"/>
  <c r="A290" i="39"/>
  <c r="B290" i="39"/>
  <c r="A291" i="39"/>
  <c r="B291" i="39"/>
  <c r="A292" i="39"/>
  <c r="B292" i="39"/>
  <c r="A293" i="39"/>
  <c r="B293" i="39"/>
  <c r="A294" i="39"/>
  <c r="B294" i="39"/>
  <c r="A295" i="39"/>
  <c r="B295" i="39"/>
  <c r="A296" i="39"/>
  <c r="B296" i="39"/>
  <c r="A297" i="39"/>
  <c r="B297" i="39"/>
  <c r="A298" i="39"/>
  <c r="B298" i="39"/>
  <c r="A299" i="39"/>
  <c r="B299" i="39"/>
  <c r="A300" i="39"/>
  <c r="B300" i="39"/>
  <c r="A301" i="39"/>
  <c r="B301" i="39"/>
  <c r="A302" i="39"/>
  <c r="B302" i="39"/>
  <c r="A303" i="39"/>
  <c r="B303" i="39"/>
  <c r="A304" i="39"/>
  <c r="B304" i="39"/>
  <c r="A305" i="39"/>
  <c r="B305" i="39"/>
  <c r="A306" i="39"/>
  <c r="B306" i="39"/>
  <c r="A307" i="39"/>
  <c r="B307" i="39"/>
  <c r="A308" i="39"/>
  <c r="B308" i="39"/>
  <c r="A309" i="39"/>
  <c r="B309" i="39"/>
  <c r="A310" i="39"/>
  <c r="B310" i="39"/>
  <c r="A311" i="39"/>
  <c r="B311" i="39"/>
  <c r="A312" i="39"/>
  <c r="B312" i="39"/>
  <c r="A313" i="39"/>
  <c r="B313" i="39"/>
  <c r="B5" i="39"/>
  <c r="A5" i="39"/>
  <c r="B5" i="12"/>
  <c r="A5" i="12"/>
  <c r="K314" i="11"/>
  <c r="F314" i="11"/>
  <c r="E314" i="11"/>
  <c r="D314" i="11"/>
  <c r="D16" i="34"/>
  <c r="B16" i="34"/>
  <c r="A16" i="34"/>
  <c r="C5" i="37"/>
  <c r="B5" i="37"/>
  <c r="A5" i="37"/>
  <c r="C8" i="36"/>
  <c r="B8" i="36"/>
  <c r="A8" i="36"/>
  <c r="C11" i="9"/>
  <c r="C320" i="9" s="1"/>
  <c r="B11" i="9"/>
  <c r="A11" i="9"/>
  <c r="D325" i="34" l="1"/>
  <c r="B314" i="37"/>
  <c r="C314" i="37"/>
  <c r="C317" i="36"/>
  <c r="B317" i="36"/>
  <c r="B314" i="12"/>
  <c r="B314" i="39"/>
  <c r="B315" i="13"/>
  <c r="B325" i="34"/>
  <c r="B320" i="9"/>
  <c r="T183" i="13" l="1"/>
  <c r="T155" i="13"/>
  <c r="T224" i="13"/>
  <c r="T33" i="13"/>
  <c r="T97" i="13"/>
  <c r="T23" i="13"/>
  <c r="T39" i="13"/>
  <c r="T55" i="13"/>
  <c r="T63" i="13"/>
  <c r="T101" i="13"/>
  <c r="T103" i="13"/>
  <c r="T107" i="13"/>
  <c r="T109" i="13"/>
  <c r="T117" i="13"/>
  <c r="T123" i="13"/>
  <c r="T125" i="13"/>
  <c r="T135" i="13"/>
  <c r="T137" i="13"/>
  <c r="T143" i="13"/>
  <c r="T145" i="13"/>
  <c r="T147" i="13"/>
  <c r="T151" i="13"/>
  <c r="T153" i="13"/>
  <c r="T159" i="13"/>
  <c r="T161" i="13"/>
  <c r="T163" i="13"/>
  <c r="T172" i="13"/>
  <c r="T188" i="13"/>
  <c r="T192" i="13"/>
  <c r="T204" i="13"/>
  <c r="T210" i="13"/>
  <c r="T218" i="13"/>
  <c r="T221" i="13"/>
  <c r="T223" i="13"/>
  <c r="T229" i="13"/>
  <c r="T254" i="13"/>
  <c r="T256" i="13"/>
  <c r="T264" i="13"/>
  <c r="T266" i="13"/>
  <c r="T270" i="13"/>
  <c r="T272" i="13"/>
  <c r="T274" i="13"/>
  <c r="T282" i="13"/>
  <c r="T314" i="13"/>
  <c r="E315" i="13"/>
  <c r="T18" i="13"/>
  <c r="T28" i="13"/>
  <c r="T30" i="13"/>
  <c r="T32" i="13"/>
  <c r="T36" i="13"/>
  <c r="T44" i="13"/>
  <c r="T70" i="13"/>
  <c r="T78" i="13"/>
  <c r="T80" i="13"/>
  <c r="T82" i="13"/>
  <c r="T84" i="13"/>
  <c r="T88" i="13"/>
  <c r="T90" i="13"/>
  <c r="T92" i="13"/>
  <c r="T96" i="13"/>
  <c r="T98" i="13"/>
  <c r="T100" i="13"/>
  <c r="T112" i="13"/>
  <c r="T116" i="13"/>
  <c r="T118" i="13"/>
  <c r="T120" i="13"/>
  <c r="T124" i="13"/>
  <c r="T126" i="13"/>
  <c r="T128" i="13"/>
  <c r="T132" i="13"/>
  <c r="T140" i="13"/>
  <c r="T156" i="13"/>
  <c r="T160" i="13"/>
  <c r="T209" i="13"/>
  <c r="T213" i="13"/>
  <c r="T217" i="13"/>
  <c r="T226" i="13"/>
  <c r="T242" i="13"/>
  <c r="T247" i="13"/>
  <c r="T251" i="13"/>
  <c r="T255" i="13"/>
  <c r="T259" i="13"/>
  <c r="T261" i="13"/>
  <c r="T279" i="13"/>
  <c r="T283" i="13"/>
  <c r="T285" i="13"/>
  <c r="T287" i="13"/>
  <c r="T303" i="13"/>
  <c r="T307" i="13"/>
  <c r="T309" i="13"/>
  <c r="T311" i="13"/>
  <c r="T29" i="13"/>
  <c r="T41" i="13"/>
  <c r="T43" i="13"/>
  <c r="T47" i="13"/>
  <c r="T81" i="13"/>
  <c r="T91" i="13"/>
  <c r="T49" i="13"/>
  <c r="T53" i="13"/>
  <c r="T59" i="13"/>
  <c r="T61" i="13"/>
  <c r="T75" i="13"/>
  <c r="T165" i="13"/>
  <c r="T167" i="13"/>
  <c r="T169" i="13"/>
  <c r="T176" i="13"/>
  <c r="T178" i="13"/>
  <c r="T182" i="13"/>
  <c r="T184" i="13"/>
  <c r="T186" i="13"/>
  <c r="T190" i="13"/>
  <c r="T194" i="13"/>
  <c r="T198" i="13"/>
  <c r="T208" i="13"/>
  <c r="T212" i="13"/>
  <c r="T233" i="13"/>
  <c r="T237" i="13"/>
  <c r="T239" i="13"/>
  <c r="T243" i="13"/>
  <c r="T248" i="13"/>
  <c r="T252" i="13"/>
  <c r="T276" i="13"/>
  <c r="T280" i="13"/>
  <c r="T288" i="13"/>
  <c r="T304" i="13"/>
  <c r="T308" i="13"/>
  <c r="F315" i="13"/>
  <c r="T8" i="13"/>
  <c r="T12" i="13"/>
  <c r="T20" i="13"/>
  <c r="T26" i="13"/>
  <c r="T38" i="13"/>
  <c r="T42" i="13"/>
  <c r="T46" i="13"/>
  <c r="T48" i="13"/>
  <c r="T56" i="13"/>
  <c r="T64" i="13"/>
  <c r="T102" i="13"/>
  <c r="T104" i="13"/>
  <c r="T106" i="13"/>
  <c r="T108" i="13"/>
  <c r="T134" i="13"/>
  <c r="T138" i="13"/>
  <c r="T142" i="13"/>
  <c r="T146" i="13"/>
  <c r="T148" i="13"/>
  <c r="T150" i="13"/>
  <c r="T154" i="13"/>
  <c r="T158" i="13"/>
  <c r="T162" i="13"/>
  <c r="T168" i="13"/>
  <c r="T173" i="13"/>
  <c r="T175" i="13"/>
  <c r="T177" i="13"/>
  <c r="T185" i="13"/>
  <c r="T193" i="13"/>
  <c r="T201" i="13"/>
  <c r="T207" i="13"/>
  <c r="T211" i="13"/>
  <c r="T222" i="13"/>
  <c r="T228" i="13"/>
  <c r="T232" i="13"/>
  <c r="T236" i="13"/>
  <c r="T263" i="13"/>
  <c r="T265" i="13"/>
  <c r="T269" i="13"/>
  <c r="T271" i="13"/>
  <c r="T273" i="13"/>
  <c r="T291" i="13"/>
  <c r="T293" i="13"/>
  <c r="T295" i="13"/>
  <c r="T297" i="13"/>
  <c r="T299" i="13"/>
  <c r="T301" i="13"/>
  <c r="T19" i="13"/>
  <c r="T17" i="13"/>
  <c r="T25" i="13"/>
  <c r="T51" i="13"/>
  <c r="T57" i="13"/>
  <c r="T67" i="13"/>
  <c r="T71" i="13"/>
  <c r="T73" i="13"/>
  <c r="T79" i="13"/>
  <c r="T85" i="13"/>
  <c r="T89" i="13"/>
  <c r="T105" i="13"/>
  <c r="T113" i="13"/>
  <c r="T121" i="13"/>
  <c r="T129" i="13"/>
  <c r="T139" i="13"/>
  <c r="T180" i="13"/>
  <c r="T196" i="13"/>
  <c r="T200" i="13"/>
  <c r="T202" i="13"/>
  <c r="T206" i="13"/>
  <c r="T227" i="13"/>
  <c r="T231" i="13"/>
  <c r="T235" i="13"/>
  <c r="T241" i="13"/>
  <c r="T246" i="13"/>
  <c r="T250" i="13"/>
  <c r="T268" i="13"/>
  <c r="T278" i="13"/>
  <c r="T292" i="13"/>
  <c r="T294" i="13"/>
  <c r="T296" i="13"/>
  <c r="T298" i="13"/>
  <c r="T300" i="13"/>
  <c r="T302" i="13"/>
  <c r="T306" i="13"/>
  <c r="T312" i="13"/>
  <c r="T6" i="13"/>
  <c r="G315" i="13"/>
  <c r="T16" i="13"/>
  <c r="T22" i="13"/>
  <c r="T40" i="13"/>
  <c r="T50" i="13"/>
  <c r="T52" i="13"/>
  <c r="T54" i="13"/>
  <c r="T58" i="13"/>
  <c r="T60" i="13"/>
  <c r="T62" i="13"/>
  <c r="T66" i="13"/>
  <c r="T74" i="13"/>
  <c r="T110" i="13"/>
  <c r="T136" i="13"/>
  <c r="T144" i="13"/>
  <c r="T152" i="13"/>
  <c r="T164" i="13"/>
  <c r="T166" i="13"/>
  <c r="T179" i="13"/>
  <c r="T181" i="13"/>
  <c r="T187" i="13"/>
  <c r="T189" i="13"/>
  <c r="T191" i="13"/>
  <c r="T195" i="13"/>
  <c r="T197" i="13"/>
  <c r="T203" i="13"/>
  <c r="T205" i="13"/>
  <c r="T230" i="13"/>
  <c r="T234" i="13"/>
  <c r="T238" i="13"/>
  <c r="T249" i="13"/>
  <c r="T257" i="13"/>
  <c r="T267" i="13"/>
  <c r="T275" i="13"/>
  <c r="T277" i="13"/>
  <c r="T281" i="13"/>
  <c r="T289" i="13"/>
  <c r="T9" i="13"/>
  <c r="T13" i="13"/>
  <c r="T21" i="13"/>
  <c r="T65" i="13"/>
  <c r="T69" i="13"/>
  <c r="T77" i="13"/>
  <c r="T7" i="13"/>
  <c r="T11" i="13"/>
  <c r="T15" i="13"/>
  <c r="T27" i="13"/>
  <c r="T31" i="13"/>
  <c r="T35" i="13"/>
  <c r="T37" i="13"/>
  <c r="T45" i="13"/>
  <c r="T83" i="13"/>
  <c r="T87" i="13"/>
  <c r="T93" i="13"/>
  <c r="T95" i="13"/>
  <c r="T99" i="13"/>
  <c r="T111" i="13"/>
  <c r="T115" i="13"/>
  <c r="T119" i="13"/>
  <c r="T127" i="13"/>
  <c r="T131" i="13"/>
  <c r="T133" i="13"/>
  <c r="T141" i="13"/>
  <c r="T149" i="13"/>
  <c r="T157" i="13"/>
  <c r="T174" i="13"/>
  <c r="T214" i="13"/>
  <c r="T216" i="13"/>
  <c r="T225" i="13"/>
  <c r="T258" i="13"/>
  <c r="T260" i="13"/>
  <c r="T262" i="13"/>
  <c r="T284" i="13"/>
  <c r="T286" i="13"/>
  <c r="T290" i="13"/>
  <c r="T310" i="13"/>
  <c r="D315" i="13"/>
  <c r="I315" i="13"/>
  <c r="T10" i="13"/>
  <c r="T14" i="13"/>
  <c r="T24" i="13"/>
  <c r="T34" i="13"/>
  <c r="T68" i="13"/>
  <c r="T72" i="13"/>
  <c r="T76" i="13"/>
  <c r="T86" i="13"/>
  <c r="T94" i="13"/>
  <c r="T114" i="13"/>
  <c r="T122" i="13"/>
  <c r="T130" i="13"/>
  <c r="T171" i="13"/>
  <c r="T199" i="13"/>
  <c r="T215" i="13"/>
  <c r="T220" i="13"/>
  <c r="T240" i="13"/>
  <c r="T245" i="13"/>
  <c r="T253" i="13"/>
  <c r="T305" i="13"/>
  <c r="T313" i="13"/>
  <c r="G3" i="33"/>
  <c r="G4" i="33"/>
  <c r="H315" i="13" l="1"/>
  <c r="K6" i="13"/>
  <c r="C4" i="32"/>
  <c r="B5" i="33"/>
  <c r="A5" i="33"/>
  <c r="B5" i="32"/>
  <c r="A5" i="32"/>
  <c r="B7" i="19"/>
  <c r="A7" i="19"/>
  <c r="A2" i="19"/>
  <c r="A2" i="42"/>
  <c r="O7" i="19"/>
  <c r="S316" i="42"/>
  <c r="R316" i="42"/>
  <c r="Q316" i="42"/>
  <c r="P316" i="42"/>
  <c r="O316" i="42"/>
  <c r="K316" i="42"/>
  <c r="L316" i="42"/>
  <c r="M316" i="42"/>
  <c r="J316" i="42"/>
  <c r="F316" i="42"/>
  <c r="G316" i="42"/>
  <c r="E316" i="42"/>
  <c r="D316" i="42"/>
  <c r="B316" i="42"/>
  <c r="B314" i="32" l="1"/>
  <c r="B316" i="19"/>
  <c r="B314" i="33"/>
  <c r="E4" i="37" l="1"/>
  <c r="E7" i="36"/>
  <c r="D29" i="40"/>
  <c r="F7" i="36" s="1"/>
  <c r="E29" i="40"/>
  <c r="G7" i="36" s="1"/>
  <c r="F29" i="40"/>
  <c r="H7" i="36" s="1"/>
  <c r="G29" i="40"/>
  <c r="I7" i="36" s="1"/>
  <c r="H29" i="40"/>
  <c r="J7" i="36" s="1"/>
  <c r="D7" i="36"/>
  <c r="K161" i="36" l="1"/>
  <c r="F169" i="34" s="1"/>
  <c r="K283" i="36"/>
  <c r="F291" i="34" s="1"/>
  <c r="K291" i="36"/>
  <c r="F299" i="34" s="1"/>
  <c r="K280" i="36"/>
  <c r="F288" i="34" s="1"/>
  <c r="K183" i="36"/>
  <c r="F191" i="34" s="1"/>
  <c r="K175" i="36"/>
  <c r="F183" i="34" s="1"/>
  <c r="K199" i="36"/>
  <c r="F207" i="34" s="1"/>
  <c r="K21" i="36"/>
  <c r="F29" i="34" s="1"/>
  <c r="K153" i="36"/>
  <c r="F161" i="34" s="1"/>
  <c r="K40" i="36"/>
  <c r="F48" i="34" s="1"/>
  <c r="K88" i="36"/>
  <c r="F96" i="34" s="1"/>
  <c r="K48" i="36"/>
  <c r="F56" i="34" s="1"/>
  <c r="K239" i="36"/>
  <c r="F247" i="34" s="1"/>
  <c r="K215" i="36"/>
  <c r="F223" i="34" s="1"/>
  <c r="K272" i="36"/>
  <c r="F280" i="34" s="1"/>
  <c r="K171" i="36"/>
  <c r="F179" i="34" s="1"/>
  <c r="K279" i="36"/>
  <c r="F287" i="34" s="1"/>
  <c r="K263" i="36"/>
  <c r="F271" i="34" s="1"/>
  <c r="K56" i="36"/>
  <c r="F64" i="34" s="1"/>
  <c r="K157" i="36"/>
  <c r="F165" i="34" s="1"/>
  <c r="K45" i="36"/>
  <c r="F53" i="34" s="1"/>
  <c r="K267" i="36"/>
  <c r="F275" i="34" s="1"/>
  <c r="K122" i="36"/>
  <c r="F130" i="34" s="1"/>
  <c r="K203" i="36"/>
  <c r="F211" i="34" s="1"/>
  <c r="K273" i="36"/>
  <c r="F281" i="34" s="1"/>
  <c r="K187" i="36"/>
  <c r="F195" i="34" s="1"/>
  <c r="K167" i="36"/>
  <c r="F175" i="34" s="1"/>
  <c r="K271" i="36"/>
  <c r="F279" i="34" s="1"/>
  <c r="K137" i="36"/>
  <c r="F145" i="34" s="1"/>
  <c r="K149" i="36"/>
  <c r="F157" i="34" s="1"/>
  <c r="K69" i="36"/>
  <c r="F77" i="34" s="1"/>
  <c r="K133" i="36"/>
  <c r="F141" i="34" s="1"/>
  <c r="K32" i="36"/>
  <c r="F40" i="34" s="1"/>
  <c r="K85" i="36"/>
  <c r="F93" i="34" s="1"/>
  <c r="K16" i="36"/>
  <c r="F24" i="34" s="1"/>
  <c r="K219" i="36"/>
  <c r="F227" i="34" s="1"/>
  <c r="K98" i="36"/>
  <c r="F106" i="34" s="1"/>
  <c r="K106" i="36"/>
  <c r="F114" i="34" s="1"/>
  <c r="K111" i="36"/>
  <c r="F119" i="34" s="1"/>
  <c r="K29" i="36"/>
  <c r="F37" i="34" s="1"/>
  <c r="K9" i="36"/>
  <c r="F17" i="34" s="1"/>
  <c r="K53" i="36"/>
  <c r="F61" i="34" s="1"/>
  <c r="K72" i="36"/>
  <c r="F80" i="34" s="1"/>
  <c r="K64" i="36"/>
  <c r="F72" i="34" s="1"/>
  <c r="K37" i="36"/>
  <c r="F45" i="34" s="1"/>
  <c r="K303" i="36"/>
  <c r="F311" i="34" s="1"/>
  <c r="K311" i="36"/>
  <c r="F319" i="34" s="1"/>
  <c r="K259" i="36"/>
  <c r="F267" i="34" s="1"/>
  <c r="K227" i="36"/>
  <c r="F235" i="34" s="1"/>
  <c r="K119" i="36"/>
  <c r="F127" i="34" s="1"/>
  <c r="K95" i="36"/>
  <c r="F103" i="34" s="1"/>
  <c r="K103" i="36"/>
  <c r="F111" i="34" s="1"/>
  <c r="K287" i="36"/>
  <c r="F295" i="34" s="1"/>
  <c r="K295" i="36"/>
  <c r="F303" i="34" s="1"/>
  <c r="K255" i="36"/>
  <c r="F263" i="34" s="1"/>
  <c r="K211" i="36"/>
  <c r="F219" i="34" s="1"/>
  <c r="K251" i="36"/>
  <c r="F259" i="34" s="1"/>
  <c r="K235" i="36"/>
  <c r="F243" i="34" s="1"/>
  <c r="K77" i="36"/>
  <c r="F85" i="34" s="1"/>
  <c r="K61" i="36"/>
  <c r="F69" i="34" s="1"/>
  <c r="K315" i="36"/>
  <c r="F323" i="34" s="1"/>
  <c r="K179" i="36"/>
  <c r="F187" i="34" s="1"/>
  <c r="K284" i="36"/>
  <c r="F292" i="34" s="1"/>
  <c r="K243" i="36"/>
  <c r="F251" i="34" s="1"/>
  <c r="K207" i="36"/>
  <c r="F215" i="34" s="1"/>
  <c r="K41" i="36"/>
  <c r="F49" i="34" s="1"/>
  <c r="K145" i="36"/>
  <c r="F153" i="34" s="1"/>
  <c r="K129" i="36"/>
  <c r="F137" i="34" s="1"/>
  <c r="K109" i="36"/>
  <c r="F117" i="34" s="1"/>
  <c r="K24" i="36"/>
  <c r="F32" i="34" s="1"/>
  <c r="K299" i="36"/>
  <c r="F307" i="34" s="1"/>
  <c r="K307" i="36"/>
  <c r="F315" i="34" s="1"/>
  <c r="K296" i="36"/>
  <c r="F304" i="34" s="1"/>
  <c r="K191" i="36"/>
  <c r="F199" i="34" s="1"/>
  <c r="K247" i="36"/>
  <c r="F255" i="34" s="1"/>
  <c r="K231" i="36"/>
  <c r="F239" i="34" s="1"/>
  <c r="K195" i="36"/>
  <c r="F203" i="34" s="1"/>
  <c r="K223" i="36"/>
  <c r="F231" i="34" s="1"/>
  <c r="K139" i="36"/>
  <c r="F147" i="34" s="1"/>
  <c r="K114" i="36"/>
  <c r="F122" i="34" s="1"/>
  <c r="K141" i="36"/>
  <c r="F149" i="34" s="1"/>
  <c r="K127" i="36"/>
  <c r="F135" i="34" s="1"/>
  <c r="K80" i="36"/>
  <c r="F88" i="34" s="1"/>
  <c r="K13" i="36"/>
  <c r="F21" i="34" s="1"/>
  <c r="K27" i="36"/>
  <c r="F35" i="34" s="1"/>
  <c r="K169" i="36"/>
  <c r="F177" i="34" s="1"/>
  <c r="K17" i="36"/>
  <c r="F25" i="34" s="1"/>
  <c r="K188" i="36"/>
  <c r="F196" i="34" s="1"/>
  <c r="K312" i="36"/>
  <c r="F320" i="34" s="1"/>
  <c r="K244" i="36"/>
  <c r="F252" i="34" s="1"/>
  <c r="K78" i="36"/>
  <c r="F86" i="34" s="1"/>
  <c r="K276" i="36"/>
  <c r="F284" i="34" s="1"/>
  <c r="K62" i="36"/>
  <c r="F70" i="34" s="1"/>
  <c r="K197" i="36"/>
  <c r="F205" i="34" s="1"/>
  <c r="K18" i="36"/>
  <c r="F26" i="34" s="1"/>
  <c r="K84" i="36"/>
  <c r="F92" i="34" s="1"/>
  <c r="K278" i="36"/>
  <c r="F286" i="34" s="1"/>
  <c r="K162" i="36"/>
  <c r="F170" i="34" s="1"/>
  <c r="K264" i="36"/>
  <c r="F272" i="34" s="1"/>
  <c r="K115" i="36"/>
  <c r="F123" i="34" s="1"/>
  <c r="K248" i="36"/>
  <c r="F256" i="34" s="1"/>
  <c r="K19" i="36"/>
  <c r="F27" i="34" s="1"/>
  <c r="K294" i="36"/>
  <c r="F302" i="34" s="1"/>
  <c r="K132" i="36"/>
  <c r="F140" i="34" s="1"/>
  <c r="K245" i="36"/>
  <c r="F253" i="34" s="1"/>
  <c r="K286" i="36"/>
  <c r="F294" i="34" s="1"/>
  <c r="K44" i="36"/>
  <c r="F52" i="34" s="1"/>
  <c r="K108" i="36"/>
  <c r="F116" i="34" s="1"/>
  <c r="K230" i="36"/>
  <c r="F238" i="34" s="1"/>
  <c r="K81" i="36"/>
  <c r="F89" i="34" s="1"/>
  <c r="K290" i="36"/>
  <c r="F298" i="34" s="1"/>
  <c r="K113" i="36"/>
  <c r="F121" i="34" s="1"/>
  <c r="K74" i="36"/>
  <c r="F82" i="34" s="1"/>
  <c r="K22" i="36"/>
  <c r="F30" i="34" s="1"/>
  <c r="K46" i="36"/>
  <c r="F54" i="34" s="1"/>
  <c r="K93" i="36"/>
  <c r="F101" i="34" s="1"/>
  <c r="K202" i="36"/>
  <c r="F210" i="34" s="1"/>
  <c r="K285" i="36"/>
  <c r="F293" i="34" s="1"/>
  <c r="K178" i="36"/>
  <c r="F186" i="34" s="1"/>
  <c r="K83" i="36"/>
  <c r="F91" i="34" s="1"/>
  <c r="K209" i="36"/>
  <c r="F217" i="34" s="1"/>
  <c r="K309" i="36"/>
  <c r="F317" i="34" s="1"/>
  <c r="K177" i="36"/>
  <c r="F185" i="34" s="1"/>
  <c r="K47" i="36"/>
  <c r="F55" i="34" s="1"/>
  <c r="K238" i="36"/>
  <c r="F246" i="34" s="1"/>
  <c r="K34" i="36"/>
  <c r="F42" i="34" s="1"/>
  <c r="K52" i="36"/>
  <c r="F60" i="34" s="1"/>
  <c r="K54" i="36"/>
  <c r="F62" i="34" s="1"/>
  <c r="K189" i="36"/>
  <c r="F197" i="34" s="1"/>
  <c r="K143" i="36"/>
  <c r="F151" i="34" s="1"/>
  <c r="K234" i="36"/>
  <c r="F242" i="34" s="1"/>
  <c r="K63" i="36"/>
  <c r="F71" i="34" s="1"/>
  <c r="K180" i="36"/>
  <c r="F188" i="34" s="1"/>
  <c r="K147" i="36"/>
  <c r="F155" i="34" s="1"/>
  <c r="K289" i="36"/>
  <c r="F297" i="34" s="1"/>
  <c r="K30" i="36"/>
  <c r="F38" i="34" s="1"/>
  <c r="K186" i="36"/>
  <c r="F194" i="34" s="1"/>
  <c r="K14" i="36"/>
  <c r="F22" i="34" s="1"/>
  <c r="K105" i="36"/>
  <c r="F113" i="34" s="1"/>
  <c r="K305" i="36"/>
  <c r="F313" i="34" s="1"/>
  <c r="K217" i="36"/>
  <c r="F225" i="34" s="1"/>
  <c r="K308" i="36"/>
  <c r="F316" i="34" s="1"/>
  <c r="K151" i="36"/>
  <c r="F159" i="34" s="1"/>
  <c r="K288" i="36"/>
  <c r="F296" i="34" s="1"/>
  <c r="K124" i="36"/>
  <c r="F132" i="34" s="1"/>
  <c r="K70" i="36"/>
  <c r="F78" i="34" s="1"/>
  <c r="K79" i="36"/>
  <c r="F87" i="34" s="1"/>
  <c r="K25" i="36"/>
  <c r="F33" i="34" s="1"/>
  <c r="K82" i="36"/>
  <c r="F90" i="34" s="1"/>
  <c r="K172" i="36"/>
  <c r="F180" i="34" s="1"/>
  <c r="K140" i="36"/>
  <c r="F148" i="34" s="1"/>
  <c r="K170" i="36"/>
  <c r="F178" i="34" s="1"/>
  <c r="K194" i="36"/>
  <c r="F202" i="34" s="1"/>
  <c r="K68" i="36"/>
  <c r="F76" i="34" s="1"/>
  <c r="K10" i="36"/>
  <c r="F18" i="34" s="1"/>
  <c r="K60" i="36"/>
  <c r="F68" i="34" s="1"/>
  <c r="K35" i="36"/>
  <c r="F43" i="34" s="1"/>
  <c r="K89" i="36"/>
  <c r="F97" i="34" s="1"/>
  <c r="K11" i="36"/>
  <c r="F19" i="34" s="1"/>
  <c r="K99" i="36"/>
  <c r="F107" i="34" s="1"/>
  <c r="K258" i="36"/>
  <c r="F266" i="34" s="1"/>
  <c r="K156" i="36"/>
  <c r="F164" i="34" s="1"/>
  <c r="K117" i="36"/>
  <c r="F125" i="34" s="1"/>
  <c r="K213" i="36"/>
  <c r="F221" i="34" s="1"/>
  <c r="K65" i="36"/>
  <c r="F73" i="34" s="1"/>
  <c r="K221" i="36"/>
  <c r="F229" i="34" s="1"/>
  <c r="K134" i="36"/>
  <c r="F142" i="34" s="1"/>
  <c r="K250" i="36"/>
  <c r="F258" i="34" s="1"/>
  <c r="K146" i="36"/>
  <c r="F154" i="34" s="1"/>
  <c r="K275" i="36"/>
  <c r="F283" i="34" s="1"/>
  <c r="K164" i="36"/>
  <c r="F172" i="34" s="1"/>
  <c r="K314" i="36"/>
  <c r="F322" i="34" s="1"/>
  <c r="K100" i="36"/>
  <c r="F108" i="34" s="1"/>
  <c r="K277" i="36"/>
  <c r="F285" i="34" s="1"/>
  <c r="K42" i="36"/>
  <c r="F50" i="34" s="1"/>
  <c r="K123" i="36"/>
  <c r="F131" i="34" s="1"/>
  <c r="K208" i="36"/>
  <c r="F216" i="34" s="1"/>
  <c r="K225" i="36"/>
  <c r="F233" i="34" s="1"/>
  <c r="K51" i="36"/>
  <c r="F59" i="34" s="1"/>
  <c r="K101" i="36"/>
  <c r="F109" i="34" s="1"/>
  <c r="K38" i="36"/>
  <c r="F46" i="34" s="1"/>
  <c r="K226" i="36"/>
  <c r="F234" i="34" s="1"/>
  <c r="K241" i="36"/>
  <c r="F249" i="34" s="1"/>
  <c r="K214" i="36"/>
  <c r="F222" i="34" s="1"/>
  <c r="K166" i="36"/>
  <c r="F174" i="34" s="1"/>
  <c r="K301" i="36"/>
  <c r="F309" i="34" s="1"/>
  <c r="K87" i="36"/>
  <c r="F95" i="34" s="1"/>
  <c r="K12" i="36"/>
  <c r="F20" i="34" s="1"/>
  <c r="K204" i="36"/>
  <c r="F212" i="34" s="1"/>
  <c r="K57" i="36"/>
  <c r="F65" i="34" s="1"/>
  <c r="K274" i="36"/>
  <c r="F282" i="34" s="1"/>
  <c r="K92" i="36"/>
  <c r="F100" i="34" s="1"/>
  <c r="K313" i="36"/>
  <c r="F321" i="34" s="1"/>
  <c r="K142" i="36"/>
  <c r="F150" i="34" s="1"/>
  <c r="K184" i="36"/>
  <c r="F192" i="34" s="1"/>
  <c r="K158" i="36"/>
  <c r="F166" i="34" s="1"/>
  <c r="K316" i="36"/>
  <c r="F324" i="34" s="1"/>
  <c r="K107" i="36"/>
  <c r="F115" i="34" s="1"/>
  <c r="K198" i="36"/>
  <c r="F206" i="34" s="1"/>
  <c r="K261" i="36"/>
  <c r="F269" i="34" s="1"/>
  <c r="K222" i="36"/>
  <c r="F230" i="34" s="1"/>
  <c r="K116" i="36"/>
  <c r="F124" i="34" s="1"/>
  <c r="K253" i="36"/>
  <c r="F261" i="34" s="1"/>
  <c r="K73" i="36"/>
  <c r="F81" i="34" s="1"/>
  <c r="K206" i="36"/>
  <c r="F214" i="34" s="1"/>
  <c r="K125" i="36"/>
  <c r="F133" i="34" s="1"/>
  <c r="K94" i="36"/>
  <c r="F102" i="34" s="1"/>
  <c r="K71" i="36"/>
  <c r="F79" i="34" s="1"/>
  <c r="K75" i="36"/>
  <c r="F83" i="34" s="1"/>
  <c r="K270" i="36"/>
  <c r="F278" i="34" s="1"/>
  <c r="K55" i="36"/>
  <c r="F63" i="34" s="1"/>
  <c r="K159" i="36"/>
  <c r="F167" i="34" s="1"/>
  <c r="K218" i="36"/>
  <c r="F226" i="34" s="1"/>
  <c r="K90" i="36"/>
  <c r="F98" i="34" s="1"/>
  <c r="K297" i="36"/>
  <c r="F305" i="34" s="1"/>
  <c r="K66" i="36"/>
  <c r="F74" i="34" s="1"/>
  <c r="K298" i="36"/>
  <c r="F306" i="34" s="1"/>
  <c r="K130" i="36"/>
  <c r="F138" i="34" s="1"/>
  <c r="K229" i="36"/>
  <c r="F237" i="34" s="1"/>
  <c r="K50" i="36"/>
  <c r="F58" i="34" s="1"/>
  <c r="K237" i="36"/>
  <c r="F245" i="34" s="1"/>
  <c r="K163" i="36"/>
  <c r="F171" i="34" s="1"/>
  <c r="K185" i="36"/>
  <c r="F193" i="34" s="1"/>
  <c r="K135" i="36"/>
  <c r="F143" i="34" s="1"/>
  <c r="K181" i="36"/>
  <c r="F189" i="34" s="1"/>
  <c r="K201" i="36"/>
  <c r="F209" i="34" s="1"/>
  <c r="K281" i="36"/>
  <c r="F289" i="34" s="1"/>
  <c r="K43" i="36"/>
  <c r="F51" i="34" s="1"/>
  <c r="K269" i="36"/>
  <c r="F277" i="34" s="1"/>
  <c r="K39" i="36"/>
  <c r="F47" i="34" s="1"/>
  <c r="K282" i="36"/>
  <c r="F290" i="34" s="1"/>
  <c r="K23" i="36"/>
  <c r="F31" i="34" s="1"/>
  <c r="K28" i="36"/>
  <c r="F36" i="34" s="1"/>
  <c r="K160" i="36"/>
  <c r="F168" i="34" s="1"/>
  <c r="K20" i="36"/>
  <c r="F28" i="34" s="1"/>
  <c r="K26" i="36"/>
  <c r="F34" i="34" s="1"/>
  <c r="K118" i="36"/>
  <c r="F126" i="34" s="1"/>
  <c r="K310" i="36"/>
  <c r="F318" i="34" s="1"/>
  <c r="K31" i="36"/>
  <c r="F39" i="34" s="1"/>
  <c r="K236" i="36"/>
  <c r="F244" i="34" s="1"/>
  <c r="K306" i="36"/>
  <c r="F314" i="34" s="1"/>
  <c r="K212" i="36"/>
  <c r="F220" i="34" s="1"/>
  <c r="K59" i="36"/>
  <c r="F67" i="34" s="1"/>
  <c r="K58" i="36"/>
  <c r="F66" i="34" s="1"/>
  <c r="K266" i="36"/>
  <c r="F274" i="34" s="1"/>
  <c r="K102" i="36"/>
  <c r="F110" i="34" s="1"/>
  <c r="K302" i="36"/>
  <c r="F310" i="34" s="1"/>
  <c r="K96" i="36"/>
  <c r="F104" i="34" s="1"/>
  <c r="K220" i="36"/>
  <c r="F228" i="34" s="1"/>
  <c r="K97" i="36"/>
  <c r="F105" i="34" s="1"/>
  <c r="K196" i="36"/>
  <c r="F204" i="34" s="1"/>
  <c r="K155" i="36"/>
  <c r="F163" i="34" s="1"/>
  <c r="K182" i="36"/>
  <c r="F190" i="34" s="1"/>
  <c r="K173" i="36"/>
  <c r="F181" i="34" s="1"/>
  <c r="K304" i="36"/>
  <c r="F312" i="34" s="1"/>
  <c r="K136" i="36"/>
  <c r="F144" i="34" s="1"/>
  <c r="K224" i="36"/>
  <c r="F232" i="34" s="1"/>
  <c r="K86" i="36"/>
  <c r="F94" i="34" s="1"/>
  <c r="K252" i="36"/>
  <c r="F260" i="34" s="1"/>
  <c r="K120" i="36"/>
  <c r="F128" i="34" s="1"/>
  <c r="K49" i="36"/>
  <c r="F57" i="34" s="1"/>
  <c r="K249" i="36"/>
  <c r="F257" i="34" s="1"/>
  <c r="K76" i="36"/>
  <c r="F84" i="34" s="1"/>
  <c r="K36" i="36"/>
  <c r="F44" i="34" s="1"/>
  <c r="K242" i="36"/>
  <c r="F250" i="34" s="1"/>
  <c r="K293" i="36"/>
  <c r="F301" i="34" s="1"/>
  <c r="K128" i="36"/>
  <c r="F136" i="34" s="1"/>
  <c r="K254" i="36"/>
  <c r="F262" i="34" s="1"/>
  <c r="K165" i="36"/>
  <c r="F173" i="34" s="1"/>
  <c r="K257" i="36"/>
  <c r="F265" i="34" s="1"/>
  <c r="K168" i="36"/>
  <c r="F176" i="34" s="1"/>
  <c r="K292" i="36"/>
  <c r="F300" i="34" s="1"/>
  <c r="K216" i="36"/>
  <c r="F224" i="34" s="1"/>
  <c r="K91" i="36"/>
  <c r="F99" i="34" s="1"/>
  <c r="K154" i="36"/>
  <c r="F162" i="34" s="1"/>
  <c r="K240" i="36"/>
  <c r="F248" i="34" s="1"/>
  <c r="K131" i="36"/>
  <c r="F139" i="34" s="1"/>
  <c r="K233" i="36"/>
  <c r="F241" i="34" s="1"/>
  <c r="K110" i="36"/>
  <c r="F118" i="34" s="1"/>
  <c r="K205" i="36"/>
  <c r="F213" i="34" s="1"/>
  <c r="K126" i="36"/>
  <c r="F134" i="34" s="1"/>
  <c r="K228" i="36"/>
  <c r="F236" i="34" s="1"/>
  <c r="K121" i="36"/>
  <c r="F129" i="34" s="1"/>
  <c r="K262" i="36"/>
  <c r="F270" i="34" s="1"/>
  <c r="K144" i="36"/>
  <c r="F152" i="34" s="1"/>
  <c r="K300" i="36"/>
  <c r="F308" i="34" s="1"/>
  <c r="K256" i="36"/>
  <c r="F264" i="34" s="1"/>
  <c r="K193" i="36"/>
  <c r="F201" i="34" s="1"/>
  <c r="K192" i="36"/>
  <c r="F200" i="34" s="1"/>
  <c r="K33" i="36"/>
  <c r="F41" i="34" s="1"/>
  <c r="K232" i="36"/>
  <c r="F240" i="34" s="1"/>
  <c r="K112" i="36"/>
  <c r="F120" i="34" s="1"/>
  <c r="K176" i="36"/>
  <c r="F184" i="34" s="1"/>
  <c r="K260" i="36"/>
  <c r="F268" i="34" s="1"/>
  <c r="K138" i="36"/>
  <c r="F146" i="34" s="1"/>
  <c r="K268" i="36"/>
  <c r="F276" i="34" s="1"/>
  <c r="K150" i="36"/>
  <c r="F158" i="34" s="1"/>
  <c r="K246" i="36"/>
  <c r="F254" i="34" s="1"/>
  <c r="K67" i="36"/>
  <c r="F75" i="34" s="1"/>
  <c r="K265" i="36"/>
  <c r="F273" i="34" s="1"/>
  <c r="K152" i="36"/>
  <c r="F160" i="34" s="1"/>
  <c r="K200" i="36"/>
  <c r="F208" i="34" s="1"/>
  <c r="K104" i="36"/>
  <c r="F112" i="34" s="1"/>
  <c r="K210" i="36"/>
  <c r="F218" i="34" s="1"/>
  <c r="K190" i="36"/>
  <c r="F198" i="34" s="1"/>
  <c r="K148" i="36"/>
  <c r="F156" i="34" s="1"/>
  <c r="K15" i="36"/>
  <c r="F23" i="34" s="1"/>
  <c r="K174" i="36"/>
  <c r="F182" i="34" s="1"/>
  <c r="C4" i="9"/>
  <c r="N316" i="19"/>
  <c r="C7" i="19"/>
  <c r="D7" i="19"/>
  <c r="E7" i="19"/>
  <c r="F7" i="19"/>
  <c r="E11" i="49"/>
  <c r="E15" i="49"/>
  <c r="E19" i="49"/>
  <c r="E23" i="49"/>
  <c r="E24" i="49"/>
  <c r="E27" i="49"/>
  <c r="E28" i="49"/>
  <c r="E31" i="49"/>
  <c r="E35" i="49"/>
  <c r="E39" i="49"/>
  <c r="E43" i="49"/>
  <c r="E55" i="49"/>
  <c r="E63" i="49"/>
  <c r="E67" i="49"/>
  <c r="E71" i="49"/>
  <c r="E75" i="49"/>
  <c r="E79" i="49"/>
  <c r="E83" i="49"/>
  <c r="E86" i="49"/>
  <c r="E87" i="49"/>
  <c r="E91" i="49"/>
  <c r="E95" i="49"/>
  <c r="E96" i="49"/>
  <c r="E99" i="49"/>
  <c r="E103" i="49"/>
  <c r="E107" i="49"/>
  <c r="E111" i="49"/>
  <c r="E115" i="49"/>
  <c r="E118" i="49"/>
  <c r="E119" i="49"/>
  <c r="E120" i="49"/>
  <c r="E121" i="49"/>
  <c r="E123" i="49"/>
  <c r="E127" i="49"/>
  <c r="E128" i="49"/>
  <c r="E131" i="49"/>
  <c r="E132" i="49"/>
  <c r="E134" i="49"/>
  <c r="E136" i="49"/>
  <c r="E139" i="49"/>
  <c r="E142" i="49"/>
  <c r="E143" i="49"/>
  <c r="E146" i="49"/>
  <c r="E149" i="49"/>
  <c r="E152" i="49"/>
  <c r="E168" i="49"/>
  <c r="E171" i="49"/>
  <c r="E173" i="49"/>
  <c r="E180" i="49"/>
  <c r="E183" i="49"/>
  <c r="E195" i="49"/>
  <c r="E196" i="49"/>
  <c r="E197" i="49"/>
  <c r="E199" i="49"/>
  <c r="E215" i="49"/>
  <c r="E220" i="49"/>
  <c r="E221" i="49"/>
  <c r="E222" i="49"/>
  <c r="E227" i="49"/>
  <c r="E229" i="49"/>
  <c r="E234" i="49"/>
  <c r="E239" i="49"/>
  <c r="E242" i="49"/>
  <c r="E243" i="49"/>
  <c r="E245" i="49"/>
  <c r="E246" i="49"/>
  <c r="E256" i="49"/>
  <c r="E257" i="49"/>
  <c r="E261" i="49"/>
  <c r="E269" i="49"/>
  <c r="E270" i="49"/>
  <c r="E276" i="49"/>
  <c r="E288" i="49"/>
  <c r="E289" i="49"/>
  <c r="E293" i="49"/>
  <c r="E296" i="49"/>
  <c r="E297" i="49"/>
  <c r="E301" i="49"/>
  <c r="E304" i="49"/>
  <c r="E312" i="49"/>
  <c r="E313" i="49"/>
  <c r="D4" i="32"/>
  <c r="AA7" i="19"/>
  <c r="D6" i="49" s="1"/>
  <c r="D7" i="49"/>
  <c r="D8" i="49"/>
  <c r="D9" i="49"/>
  <c r="D10" i="49"/>
  <c r="D11" i="49"/>
  <c r="D12" i="49"/>
  <c r="D13" i="49"/>
  <c r="D14" i="49"/>
  <c r="D1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45" i="49"/>
  <c r="D46" i="49"/>
  <c r="D47" i="49"/>
  <c r="D48" i="49"/>
  <c r="D49" i="49"/>
  <c r="D50" i="49"/>
  <c r="D51" i="49"/>
  <c r="D52" i="49"/>
  <c r="D53" i="49"/>
  <c r="D54" i="49"/>
  <c r="D55" i="49"/>
  <c r="D56" i="49"/>
  <c r="D57" i="49"/>
  <c r="D58" i="49"/>
  <c r="D59" i="49"/>
  <c r="D60" i="49"/>
  <c r="D61" i="49"/>
  <c r="D62" i="49"/>
  <c r="D63" i="49"/>
  <c r="D64" i="49"/>
  <c r="D65" i="49"/>
  <c r="D66" i="49"/>
  <c r="D67" i="49"/>
  <c r="D68" i="49"/>
  <c r="D69" i="49"/>
  <c r="D70" i="49"/>
  <c r="D71" i="49"/>
  <c r="D72" i="49"/>
  <c r="D73" i="49"/>
  <c r="D74" i="49"/>
  <c r="D75" i="49"/>
  <c r="D76" i="49"/>
  <c r="D77" i="49"/>
  <c r="D78" i="49"/>
  <c r="D79" i="49"/>
  <c r="D80" i="49"/>
  <c r="D81" i="49"/>
  <c r="D82" i="49"/>
  <c r="D83" i="49"/>
  <c r="D84" i="49"/>
  <c r="D85" i="49"/>
  <c r="D86" i="49"/>
  <c r="D87" i="49"/>
  <c r="D88" i="49"/>
  <c r="D89" i="49"/>
  <c r="D90" i="49"/>
  <c r="D91" i="49"/>
  <c r="D92" i="49"/>
  <c r="D93" i="49"/>
  <c r="D94" i="49"/>
  <c r="D95" i="49"/>
  <c r="D96" i="49"/>
  <c r="D97" i="49"/>
  <c r="D98" i="49"/>
  <c r="D99" i="49"/>
  <c r="D100" i="49"/>
  <c r="D101" i="49"/>
  <c r="D102" i="49"/>
  <c r="D103" i="49"/>
  <c r="D104" i="49"/>
  <c r="D105" i="49"/>
  <c r="D106" i="49"/>
  <c r="D107" i="49"/>
  <c r="D108" i="49"/>
  <c r="D109" i="49"/>
  <c r="D110" i="49"/>
  <c r="D111" i="49"/>
  <c r="D112" i="49"/>
  <c r="D113" i="49"/>
  <c r="D114" i="49"/>
  <c r="D115" i="49"/>
  <c r="D116" i="49"/>
  <c r="D117" i="49"/>
  <c r="D118" i="49"/>
  <c r="D119" i="49"/>
  <c r="D120" i="49"/>
  <c r="D121" i="49"/>
  <c r="D122" i="49"/>
  <c r="D123" i="49"/>
  <c r="D124" i="49"/>
  <c r="D125" i="49"/>
  <c r="D126" i="49"/>
  <c r="D127" i="49"/>
  <c r="D128" i="49"/>
  <c r="D129" i="49"/>
  <c r="D130" i="49"/>
  <c r="D131" i="49"/>
  <c r="D132" i="49"/>
  <c r="D133" i="49"/>
  <c r="D134" i="49"/>
  <c r="D135" i="49"/>
  <c r="D136" i="49"/>
  <c r="D137" i="49"/>
  <c r="D138" i="49"/>
  <c r="D139" i="49"/>
  <c r="D140" i="49"/>
  <c r="D141" i="49"/>
  <c r="D142" i="49"/>
  <c r="D143" i="49"/>
  <c r="D144" i="49"/>
  <c r="D145" i="49"/>
  <c r="D146" i="49"/>
  <c r="D147" i="49"/>
  <c r="D148" i="49"/>
  <c r="D149" i="49"/>
  <c r="D150" i="49"/>
  <c r="D151" i="49"/>
  <c r="D152" i="49"/>
  <c r="D153" i="49"/>
  <c r="D154" i="49"/>
  <c r="D155" i="49"/>
  <c r="D156" i="49"/>
  <c r="D157" i="49"/>
  <c r="D158" i="49"/>
  <c r="D159" i="49"/>
  <c r="D160" i="49"/>
  <c r="D161" i="49"/>
  <c r="D162" i="49"/>
  <c r="D163" i="49"/>
  <c r="D164" i="49"/>
  <c r="D165" i="49"/>
  <c r="D166" i="49"/>
  <c r="D167" i="49"/>
  <c r="D168" i="49"/>
  <c r="D169" i="49"/>
  <c r="D171" i="49"/>
  <c r="D172" i="49"/>
  <c r="D173" i="49"/>
  <c r="D174" i="49"/>
  <c r="D175" i="49"/>
  <c r="D176" i="49"/>
  <c r="D177" i="49"/>
  <c r="D178" i="49"/>
  <c r="D179" i="49"/>
  <c r="D180" i="49"/>
  <c r="D181" i="49"/>
  <c r="D182" i="49"/>
  <c r="D183" i="49"/>
  <c r="D184" i="49"/>
  <c r="D185" i="49"/>
  <c r="D186" i="49"/>
  <c r="D187" i="49"/>
  <c r="D188" i="49"/>
  <c r="D189" i="49"/>
  <c r="D190" i="49"/>
  <c r="D191" i="49"/>
  <c r="D192" i="49"/>
  <c r="D193" i="49"/>
  <c r="D194" i="49"/>
  <c r="D195" i="49"/>
  <c r="D196" i="49"/>
  <c r="D197" i="49"/>
  <c r="D198" i="49"/>
  <c r="D199" i="49"/>
  <c r="D200" i="49"/>
  <c r="D201" i="49"/>
  <c r="D202" i="49"/>
  <c r="D203" i="49"/>
  <c r="D204" i="49"/>
  <c r="D205" i="49"/>
  <c r="D206" i="49"/>
  <c r="D207" i="49"/>
  <c r="D208" i="49"/>
  <c r="D209" i="49"/>
  <c r="D210" i="49"/>
  <c r="D211" i="49"/>
  <c r="D212" i="49"/>
  <c r="D213" i="49"/>
  <c r="D214" i="49"/>
  <c r="D215" i="49"/>
  <c r="D216" i="49"/>
  <c r="D217" i="49"/>
  <c r="D218" i="49"/>
  <c r="D220" i="49"/>
  <c r="D221" i="49"/>
  <c r="D222" i="49"/>
  <c r="D223" i="49"/>
  <c r="D224" i="49"/>
  <c r="D225" i="49"/>
  <c r="D226" i="49"/>
  <c r="D227" i="49"/>
  <c r="D228" i="49"/>
  <c r="D229" i="49"/>
  <c r="D230" i="49"/>
  <c r="D231" i="49"/>
  <c r="D232" i="49"/>
  <c r="D233" i="49"/>
  <c r="D234" i="49"/>
  <c r="D235" i="49"/>
  <c r="D236" i="49"/>
  <c r="D237" i="49"/>
  <c r="D238" i="49"/>
  <c r="D239" i="49"/>
  <c r="D240" i="49"/>
  <c r="D241" i="49"/>
  <c r="D242" i="49"/>
  <c r="D243" i="49"/>
  <c r="D245" i="49"/>
  <c r="D246" i="49"/>
  <c r="D247" i="49"/>
  <c r="D248" i="49"/>
  <c r="D249" i="49"/>
  <c r="D250" i="49"/>
  <c r="D251" i="49"/>
  <c r="D252" i="49"/>
  <c r="D253" i="49"/>
  <c r="D254" i="49"/>
  <c r="D255" i="49"/>
  <c r="D256" i="49"/>
  <c r="D257" i="49"/>
  <c r="D258" i="49"/>
  <c r="D259" i="49"/>
  <c r="D260" i="49"/>
  <c r="D261" i="49"/>
  <c r="D262" i="49"/>
  <c r="D263" i="49"/>
  <c r="D264" i="49"/>
  <c r="D265" i="49"/>
  <c r="D266" i="49"/>
  <c r="D267" i="49"/>
  <c r="D268" i="49"/>
  <c r="D269" i="49"/>
  <c r="D270" i="49"/>
  <c r="D271" i="49"/>
  <c r="D272" i="49"/>
  <c r="D273" i="49"/>
  <c r="D274" i="49"/>
  <c r="D275" i="49"/>
  <c r="D276" i="49"/>
  <c r="D277" i="49"/>
  <c r="D278" i="49"/>
  <c r="D279" i="49"/>
  <c r="D280" i="49"/>
  <c r="D281" i="49"/>
  <c r="D282" i="49"/>
  <c r="D283" i="49"/>
  <c r="D284" i="49"/>
  <c r="D285" i="49"/>
  <c r="D286" i="49"/>
  <c r="D287" i="49"/>
  <c r="D288" i="49"/>
  <c r="D289" i="49"/>
  <c r="D290" i="49"/>
  <c r="D291" i="49"/>
  <c r="D292" i="49"/>
  <c r="D293" i="49"/>
  <c r="D294" i="49"/>
  <c r="D295" i="49"/>
  <c r="D296" i="49"/>
  <c r="D297" i="49"/>
  <c r="D298" i="49"/>
  <c r="D299" i="49"/>
  <c r="D300" i="49"/>
  <c r="D301" i="49"/>
  <c r="D302" i="49"/>
  <c r="D303" i="49"/>
  <c r="D304" i="49"/>
  <c r="D305" i="49"/>
  <c r="D306" i="49"/>
  <c r="D307" i="49"/>
  <c r="D308" i="49"/>
  <c r="D309" i="49"/>
  <c r="D310" i="49"/>
  <c r="D311" i="49"/>
  <c r="D312" i="49"/>
  <c r="D313" i="49"/>
  <c r="D314" i="49"/>
  <c r="K14" i="13"/>
  <c r="K88" i="13"/>
  <c r="E4" i="36"/>
  <c r="G4" i="36"/>
  <c r="I4" i="36"/>
  <c r="H4" i="36"/>
  <c r="G5" i="36"/>
  <c r="C6" i="34"/>
  <c r="D4" i="36"/>
  <c r="D5" i="36"/>
  <c r="E5" i="36"/>
  <c r="F4" i="36"/>
  <c r="F5" i="36"/>
  <c r="H5" i="36"/>
  <c r="J4" i="36"/>
  <c r="I5" i="36"/>
  <c r="I4" i="39"/>
  <c r="K8" i="13"/>
  <c r="K9" i="13"/>
  <c r="K10" i="13"/>
  <c r="K11" i="13"/>
  <c r="K12" i="13"/>
  <c r="K13"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5" i="13"/>
  <c r="K126" i="13"/>
  <c r="K127" i="13"/>
  <c r="K128" i="13"/>
  <c r="K129" i="13"/>
  <c r="K130" i="13"/>
  <c r="K131" i="13"/>
  <c r="K132" i="13"/>
  <c r="K133" i="13"/>
  <c r="K134" i="13"/>
  <c r="K135" i="13"/>
  <c r="K136" i="13"/>
  <c r="K137" i="13"/>
  <c r="K138" i="13"/>
  <c r="K139" i="13"/>
  <c r="K140" i="13"/>
  <c r="K141" i="13"/>
  <c r="K142" i="13"/>
  <c r="K143" i="13"/>
  <c r="K144" i="13"/>
  <c r="K145" i="13"/>
  <c r="K146" i="13"/>
  <c r="K147" i="13"/>
  <c r="K148" i="13"/>
  <c r="K149" i="13"/>
  <c r="K150" i="13"/>
  <c r="K151" i="13"/>
  <c r="K152" i="13"/>
  <c r="K153" i="13"/>
  <c r="K154" i="13"/>
  <c r="K155" i="13"/>
  <c r="K156" i="13"/>
  <c r="K157" i="13"/>
  <c r="K158" i="13"/>
  <c r="K159" i="13"/>
  <c r="K160" i="13"/>
  <c r="K161" i="13"/>
  <c r="K162" i="13"/>
  <c r="K163" i="13"/>
  <c r="K164" i="13"/>
  <c r="K165" i="13"/>
  <c r="K166" i="13"/>
  <c r="K167" i="13"/>
  <c r="K168" i="13"/>
  <c r="K169" i="13"/>
  <c r="K171" i="13"/>
  <c r="K172" i="13"/>
  <c r="K173" i="13"/>
  <c r="K174" i="13"/>
  <c r="K175" i="13"/>
  <c r="K176" i="13"/>
  <c r="K177" i="13"/>
  <c r="K178" i="13"/>
  <c r="K179" i="13"/>
  <c r="K180" i="13"/>
  <c r="K181" i="13"/>
  <c r="K182" i="13"/>
  <c r="K183" i="13"/>
  <c r="K184" i="13"/>
  <c r="K185" i="13"/>
  <c r="K186" i="13"/>
  <c r="K187" i="13"/>
  <c r="K188" i="13"/>
  <c r="K189" i="13"/>
  <c r="K190" i="13"/>
  <c r="K191" i="13"/>
  <c r="K192" i="13"/>
  <c r="K193" i="13"/>
  <c r="K194" i="13"/>
  <c r="K195" i="13"/>
  <c r="K196" i="13"/>
  <c r="K197" i="13"/>
  <c r="K198" i="13"/>
  <c r="K199" i="13"/>
  <c r="K200" i="13"/>
  <c r="K201" i="13"/>
  <c r="K202" i="13"/>
  <c r="K203" i="13"/>
  <c r="K204" i="13"/>
  <c r="K205" i="13"/>
  <c r="K206" i="13"/>
  <c r="K207" i="13"/>
  <c r="K208" i="13"/>
  <c r="K209" i="13"/>
  <c r="K210" i="13"/>
  <c r="K211" i="13"/>
  <c r="K212" i="13"/>
  <c r="K213" i="13"/>
  <c r="K214" i="13"/>
  <c r="K215" i="13"/>
  <c r="K216" i="13"/>
  <c r="K217" i="13"/>
  <c r="K218" i="13"/>
  <c r="K220" i="13"/>
  <c r="K221" i="13"/>
  <c r="K222" i="13"/>
  <c r="K223" i="13"/>
  <c r="K224" i="13"/>
  <c r="K225" i="13"/>
  <c r="K226" i="13"/>
  <c r="K227" i="13"/>
  <c r="K228" i="13"/>
  <c r="K229" i="13"/>
  <c r="K230" i="13"/>
  <c r="K231" i="13"/>
  <c r="K232" i="13"/>
  <c r="K233" i="13"/>
  <c r="K234" i="13"/>
  <c r="K235" i="13"/>
  <c r="K236" i="13"/>
  <c r="K237" i="13"/>
  <c r="K238" i="13"/>
  <c r="K239" i="13"/>
  <c r="K240" i="13"/>
  <c r="K241" i="13"/>
  <c r="K242" i="13"/>
  <c r="K243" i="13"/>
  <c r="K245" i="13"/>
  <c r="K246" i="13"/>
  <c r="K247" i="13"/>
  <c r="K248" i="13"/>
  <c r="K249" i="13"/>
  <c r="K250" i="13"/>
  <c r="K251" i="13"/>
  <c r="K252" i="13"/>
  <c r="K253" i="13"/>
  <c r="K254" i="13"/>
  <c r="K255" i="13"/>
  <c r="K256" i="13"/>
  <c r="K257" i="13"/>
  <c r="K258" i="13"/>
  <c r="K259" i="13"/>
  <c r="K260" i="13"/>
  <c r="K261" i="13"/>
  <c r="K262" i="13"/>
  <c r="K263" i="13"/>
  <c r="K264" i="13"/>
  <c r="K265" i="13"/>
  <c r="K266" i="13"/>
  <c r="K267" i="13"/>
  <c r="K268" i="13"/>
  <c r="K269" i="13"/>
  <c r="K270" i="13"/>
  <c r="K271" i="13"/>
  <c r="K272" i="13"/>
  <c r="K273" i="13"/>
  <c r="K274" i="13"/>
  <c r="K275" i="13"/>
  <c r="K276" i="13"/>
  <c r="K277" i="13"/>
  <c r="K278" i="13"/>
  <c r="K279" i="13"/>
  <c r="K280" i="13"/>
  <c r="K281" i="13"/>
  <c r="K282" i="13"/>
  <c r="K283" i="13"/>
  <c r="K284" i="13"/>
  <c r="K285" i="13"/>
  <c r="K286" i="13"/>
  <c r="K287" i="13"/>
  <c r="K288" i="13"/>
  <c r="K289" i="13"/>
  <c r="K290" i="13"/>
  <c r="K291" i="13"/>
  <c r="K292" i="13"/>
  <c r="K293" i="13"/>
  <c r="K294" i="13"/>
  <c r="K295" i="13"/>
  <c r="K296" i="13"/>
  <c r="K297" i="13"/>
  <c r="K298" i="13"/>
  <c r="K299" i="13"/>
  <c r="K300" i="13"/>
  <c r="K301" i="13"/>
  <c r="K302" i="13"/>
  <c r="K303" i="13"/>
  <c r="K304" i="13"/>
  <c r="K305" i="13"/>
  <c r="K306" i="13"/>
  <c r="K307" i="13"/>
  <c r="K308" i="13"/>
  <c r="K309" i="13"/>
  <c r="K310" i="13"/>
  <c r="K311" i="13"/>
  <c r="K312" i="13"/>
  <c r="K313" i="13"/>
  <c r="K314" i="13"/>
  <c r="A6" i="25"/>
  <c r="B6" i="25"/>
  <c r="V316" i="42" l="1"/>
  <c r="K7" i="13"/>
  <c r="K315" i="13"/>
  <c r="G314" i="11"/>
  <c r="E314" i="49"/>
  <c r="E307" i="49"/>
  <c r="E303" i="49"/>
  <c r="E292" i="49"/>
  <c r="E284" i="49"/>
  <c r="E268" i="49"/>
  <c r="E260" i="49"/>
  <c r="E252" i="49"/>
  <c r="E230" i="49"/>
  <c r="E226" i="49"/>
  <c r="E207" i="49"/>
  <c r="E187" i="49"/>
  <c r="E179" i="49"/>
  <c r="E160" i="49"/>
  <c r="E156" i="49"/>
  <c r="E148" i="49"/>
  <c r="E140" i="49"/>
  <c r="E124" i="49"/>
  <c r="E116" i="49"/>
  <c r="E112" i="49"/>
  <c r="E104" i="49"/>
  <c r="E100" i="49"/>
  <c r="E92" i="49"/>
  <c r="E84" i="49"/>
  <c r="E76" i="49"/>
  <c r="E68" i="49"/>
  <c r="E60" i="49"/>
  <c r="E52" i="49"/>
  <c r="E44" i="49"/>
  <c r="E36" i="49"/>
  <c r="E20" i="49"/>
  <c r="E16" i="49"/>
  <c r="E8" i="49"/>
  <c r="E306" i="49"/>
  <c r="E291" i="49"/>
  <c r="E283" i="49"/>
  <c r="E279" i="49"/>
  <c r="E271" i="49"/>
  <c r="E263" i="49"/>
  <c r="E255" i="49"/>
  <c r="E251" i="49"/>
  <c r="E236" i="49"/>
  <c r="E233" i="49"/>
  <c r="E214" i="49"/>
  <c r="E206" i="49"/>
  <c r="E198" i="49"/>
  <c r="E186" i="49"/>
  <c r="E178" i="49"/>
  <c r="E159" i="49"/>
  <c r="E151" i="49"/>
  <c r="E59" i="49"/>
  <c r="E51" i="49"/>
  <c r="E7" i="49"/>
  <c r="E309" i="49"/>
  <c r="E305" i="49"/>
  <c r="E294" i="49"/>
  <c r="E290" i="49"/>
  <c r="E286" i="49"/>
  <c r="E282" i="49"/>
  <c r="E278" i="49"/>
  <c r="E274" i="49"/>
  <c r="E266" i="49"/>
  <c r="E262" i="49"/>
  <c r="E258" i="49"/>
  <c r="E254" i="49"/>
  <c r="E250" i="49"/>
  <c r="E241" i="49"/>
  <c r="E235" i="49"/>
  <c r="E232" i="49"/>
  <c r="E228" i="49"/>
  <c r="E224" i="49"/>
  <c r="E217" i="49"/>
  <c r="E213" i="49"/>
  <c r="E209" i="49"/>
  <c r="E205" i="49"/>
  <c r="E201" i="49"/>
  <c r="E193" i="49"/>
  <c r="E189" i="49"/>
  <c r="E185" i="49"/>
  <c r="E181" i="49"/>
  <c r="E177" i="49"/>
  <c r="E174" i="49"/>
  <c r="E167" i="49"/>
  <c r="E165" i="49"/>
  <c r="E162" i="49"/>
  <c r="E158" i="49"/>
  <c r="E154" i="49"/>
  <c r="E150" i="49"/>
  <c r="E138" i="49"/>
  <c r="E130" i="49"/>
  <c r="E126" i="49"/>
  <c r="E122" i="49"/>
  <c r="E114" i="49"/>
  <c r="E110" i="49"/>
  <c r="E106" i="49"/>
  <c r="E102" i="49"/>
  <c r="E98" i="49"/>
  <c r="E94" i="49"/>
  <c r="E90" i="49"/>
  <c r="E82" i="49"/>
  <c r="E78" i="49"/>
  <c r="E74" i="49"/>
  <c r="E70" i="49"/>
  <c r="E66" i="49"/>
  <c r="E62" i="49"/>
  <c r="E58" i="49"/>
  <c r="E54" i="49"/>
  <c r="E50" i="49"/>
  <c r="E46" i="49"/>
  <c r="E42" i="49"/>
  <c r="E38" i="49"/>
  <c r="E34" i="49"/>
  <c r="E30" i="49"/>
  <c r="E26" i="49"/>
  <c r="E22" i="49"/>
  <c r="E18" i="49"/>
  <c r="E14" i="49"/>
  <c r="E10" i="49"/>
  <c r="C6" i="25"/>
  <c r="E6" i="49"/>
  <c r="E311" i="49"/>
  <c r="E299" i="49"/>
  <c r="E280" i="49"/>
  <c r="E272" i="49"/>
  <c r="E264" i="49"/>
  <c r="E248" i="49"/>
  <c r="E211" i="49"/>
  <c r="E203" i="49"/>
  <c r="E191" i="49"/>
  <c r="E175" i="49"/>
  <c r="E172" i="49"/>
  <c r="E144" i="49"/>
  <c r="E108" i="49"/>
  <c r="E88" i="49"/>
  <c r="E80" i="49"/>
  <c r="E72" i="49"/>
  <c r="E64" i="49"/>
  <c r="E56" i="49"/>
  <c r="E48" i="49"/>
  <c r="E40" i="49"/>
  <c r="E32" i="49"/>
  <c r="E12" i="49"/>
  <c r="E310" i="49"/>
  <c r="E302" i="49"/>
  <c r="E298" i="49"/>
  <c r="E295" i="49"/>
  <c r="E287" i="49"/>
  <c r="E275" i="49"/>
  <c r="E267" i="49"/>
  <c r="E259" i="49"/>
  <c r="E247" i="49"/>
  <c r="E238" i="49"/>
  <c r="E225" i="49"/>
  <c r="E218" i="49"/>
  <c r="E210" i="49"/>
  <c r="E202" i="49"/>
  <c r="E194" i="49"/>
  <c r="E190" i="49"/>
  <c r="E182" i="49"/>
  <c r="E163" i="49"/>
  <c r="E155" i="49"/>
  <c r="E147" i="49"/>
  <c r="E135" i="49"/>
  <c r="E47" i="49"/>
  <c r="D315" i="49"/>
  <c r="E308" i="49"/>
  <c r="E300" i="49"/>
  <c r="E285" i="49"/>
  <c r="E281" i="49"/>
  <c r="E277" i="49"/>
  <c r="E273" i="49"/>
  <c r="E265" i="49"/>
  <c r="E253" i="49"/>
  <c r="E249" i="49"/>
  <c r="E240" i="49"/>
  <c r="E237" i="49"/>
  <c r="E231" i="49"/>
  <c r="E223" i="49"/>
  <c r="E216" i="49"/>
  <c r="E212" i="49"/>
  <c r="E208" i="49"/>
  <c r="E204" i="49"/>
  <c r="E200" i="49"/>
  <c r="E192" i="49"/>
  <c r="E188" i="49"/>
  <c r="E184" i="49"/>
  <c r="E176" i="49"/>
  <c r="E169" i="49"/>
  <c r="E166" i="49"/>
  <c r="E164" i="49"/>
  <c r="E161" i="49"/>
  <c r="E157" i="49"/>
  <c r="E153" i="49"/>
  <c r="E145" i="49"/>
  <c r="E141" i="49"/>
  <c r="E137" i="49"/>
  <c r="E133" i="49"/>
  <c r="E129" i="49"/>
  <c r="E125" i="49"/>
  <c r="E117" i="49"/>
  <c r="E113" i="49"/>
  <c r="E109" i="49"/>
  <c r="E105" i="49"/>
  <c r="E101" i="49"/>
  <c r="E97" i="49"/>
  <c r="E93" i="49"/>
  <c r="E89" i="49"/>
  <c r="E85" i="49"/>
  <c r="E81" i="49"/>
  <c r="E77" i="49"/>
  <c r="E73" i="49"/>
  <c r="E69" i="49"/>
  <c r="E65" i="49"/>
  <c r="E61" i="49"/>
  <c r="E57" i="49"/>
  <c r="E53" i="49"/>
  <c r="E49" i="49"/>
  <c r="E45" i="49"/>
  <c r="E41" i="49"/>
  <c r="E37" i="49"/>
  <c r="E33" i="49"/>
  <c r="E29" i="49"/>
  <c r="E25" i="49"/>
  <c r="E21" i="49"/>
  <c r="E17" i="49"/>
  <c r="E13" i="49"/>
  <c r="E9" i="49"/>
  <c r="D6" i="25"/>
  <c r="D5" i="33"/>
  <c r="L289" i="13"/>
  <c r="M289" i="13" s="1"/>
  <c r="L257" i="13"/>
  <c r="M257" i="13" s="1"/>
  <c r="L245" i="13"/>
  <c r="M245" i="13" s="1"/>
  <c r="L196" i="13"/>
  <c r="M196" i="13" s="1"/>
  <c r="L180" i="13"/>
  <c r="M180" i="13" s="1"/>
  <c r="L149" i="13"/>
  <c r="M149" i="13" s="1"/>
  <c r="L121" i="13"/>
  <c r="M121" i="13" s="1"/>
  <c r="L296" i="13"/>
  <c r="M296" i="13" s="1"/>
  <c r="L276" i="13"/>
  <c r="M276" i="13" s="1"/>
  <c r="L256" i="13"/>
  <c r="M256" i="13" s="1"/>
  <c r="L243" i="13"/>
  <c r="M243" i="13" s="1"/>
  <c r="L234" i="13"/>
  <c r="M234" i="13" s="1"/>
  <c r="L222" i="13"/>
  <c r="M222" i="13" s="1"/>
  <c r="L215" i="13"/>
  <c r="M215" i="13" s="1"/>
  <c r="L199" i="13"/>
  <c r="M199" i="13" s="1"/>
  <c r="L168" i="13"/>
  <c r="M168" i="13" s="1"/>
  <c r="L152" i="13"/>
  <c r="M152" i="13" s="1"/>
  <c r="L132" i="13"/>
  <c r="M132" i="13" s="1"/>
  <c r="L128" i="13"/>
  <c r="M128" i="13" s="1"/>
  <c r="L120" i="13"/>
  <c r="M120" i="13" s="1"/>
  <c r="L96" i="13"/>
  <c r="M96" i="13" s="1"/>
  <c r="L242" i="13"/>
  <c r="M242" i="13" s="1"/>
  <c r="L229" i="13"/>
  <c r="M229" i="13" s="1"/>
  <c r="L221" i="13"/>
  <c r="M221" i="13" s="1"/>
  <c r="L171" i="13"/>
  <c r="M171" i="13" s="1"/>
  <c r="L139" i="13"/>
  <c r="M139" i="13" s="1"/>
  <c r="L127" i="13"/>
  <c r="M127" i="13" s="1"/>
  <c r="L119" i="13"/>
  <c r="M119" i="13" s="1"/>
  <c r="L111" i="13"/>
  <c r="M111" i="13" s="1"/>
  <c r="L103" i="13"/>
  <c r="M103" i="13" s="1"/>
  <c r="L95" i="13"/>
  <c r="M95" i="13" s="1"/>
  <c r="L87" i="13"/>
  <c r="M87" i="13" s="1"/>
  <c r="L83" i="13"/>
  <c r="M83" i="13" s="1"/>
  <c r="L75" i="13"/>
  <c r="M75" i="13" s="1"/>
  <c r="L67" i="13"/>
  <c r="M67" i="13" s="1"/>
  <c r="L63" i="13"/>
  <c r="M63" i="13" s="1"/>
  <c r="L55" i="13"/>
  <c r="M55" i="13" s="1"/>
  <c r="L39" i="13"/>
  <c r="M39" i="13" s="1"/>
  <c r="L31" i="13"/>
  <c r="M31" i="13" s="1"/>
  <c r="L27" i="13"/>
  <c r="M27" i="13" s="1"/>
  <c r="L23" i="13"/>
  <c r="M23" i="13" s="1"/>
  <c r="L19" i="13"/>
  <c r="M19" i="13" s="1"/>
  <c r="L118" i="13"/>
  <c r="M118" i="13" s="1"/>
  <c r="L86" i="13"/>
  <c r="M86" i="13" s="1"/>
  <c r="B314" i="11"/>
  <c r="L135" i="13"/>
  <c r="M135" i="13" s="1"/>
  <c r="L59" i="13"/>
  <c r="M59" i="13" s="1"/>
  <c r="L51" i="13"/>
  <c r="M51" i="13" s="1"/>
  <c r="L8" i="13"/>
  <c r="M8" i="13" s="1"/>
  <c r="L143" i="13"/>
  <c r="M143" i="13" s="1"/>
  <c r="L131" i="13"/>
  <c r="M131" i="13" s="1"/>
  <c r="L123" i="13"/>
  <c r="M123" i="13" s="1"/>
  <c r="L115" i="13"/>
  <c r="M115" i="13" s="1"/>
  <c r="L107" i="13"/>
  <c r="M107" i="13" s="1"/>
  <c r="L99" i="13"/>
  <c r="M99" i="13" s="1"/>
  <c r="L91" i="13"/>
  <c r="M91" i="13" s="1"/>
  <c r="L79" i="13"/>
  <c r="M79" i="13" s="1"/>
  <c r="L71" i="13"/>
  <c r="M71" i="13" s="1"/>
  <c r="L47" i="13"/>
  <c r="M47" i="13" s="1"/>
  <c r="L43" i="13"/>
  <c r="M43" i="13" s="1"/>
  <c r="L35" i="13"/>
  <c r="M35" i="13" s="1"/>
  <c r="L15" i="13"/>
  <c r="M15" i="13" s="1"/>
  <c r="L11" i="13"/>
  <c r="M11" i="13" s="1"/>
  <c r="Y7" i="19"/>
  <c r="L175" i="13"/>
  <c r="M175" i="13" s="1"/>
  <c r="L272" i="13"/>
  <c r="M272" i="13" s="1"/>
  <c r="L299" i="13"/>
  <c r="M299" i="13" s="1"/>
  <c r="L191" i="13"/>
  <c r="M191" i="13" s="1"/>
  <c r="L68" i="13"/>
  <c r="M68" i="13" s="1"/>
  <c r="L36" i="13"/>
  <c r="M36" i="13" s="1"/>
  <c r="L277" i="13"/>
  <c r="M277" i="13" s="1"/>
  <c r="L249" i="13"/>
  <c r="M249" i="13" s="1"/>
  <c r="L240" i="13"/>
  <c r="M240" i="13" s="1"/>
  <c r="L314" i="13"/>
  <c r="M314" i="13" s="1"/>
  <c r="L307" i="13"/>
  <c r="M307" i="13" s="1"/>
  <c r="L303" i="13"/>
  <c r="M303" i="13" s="1"/>
  <c r="L284" i="13"/>
  <c r="M284" i="13" s="1"/>
  <c r="L260" i="13"/>
  <c r="M260" i="13" s="1"/>
  <c r="L252" i="13"/>
  <c r="M252" i="13" s="1"/>
  <c r="L239" i="13"/>
  <c r="M239" i="13" s="1"/>
  <c r="L226" i="13"/>
  <c r="M226" i="13" s="1"/>
  <c r="L207" i="13"/>
  <c r="M207" i="13" s="1"/>
  <c r="L183" i="13"/>
  <c r="M183" i="13" s="1"/>
  <c r="L172" i="13"/>
  <c r="M172" i="13" s="1"/>
  <c r="L60" i="13"/>
  <c r="M60" i="13" s="1"/>
  <c r="L56" i="13"/>
  <c r="M56" i="13" s="1"/>
  <c r="L48" i="13"/>
  <c r="M48" i="13" s="1"/>
  <c r="L28" i="13"/>
  <c r="M28" i="13" s="1"/>
  <c r="L16" i="13"/>
  <c r="M16" i="13" s="1"/>
  <c r="L248" i="13"/>
  <c r="M248" i="13" s="1"/>
  <c r="L230" i="13"/>
  <c r="M230" i="13" s="1"/>
  <c r="L264" i="13"/>
  <c r="M264" i="13" s="1"/>
  <c r="L311" i="13"/>
  <c r="M311" i="13" s="1"/>
  <c r="L292" i="13"/>
  <c r="M292" i="13" s="1"/>
  <c r="L288" i="13"/>
  <c r="M288" i="13" s="1"/>
  <c r="L280" i="13"/>
  <c r="M280" i="13" s="1"/>
  <c r="L268" i="13"/>
  <c r="M268" i="13" s="1"/>
  <c r="L211" i="13"/>
  <c r="M211" i="13" s="1"/>
  <c r="L203" i="13"/>
  <c r="M203" i="13" s="1"/>
  <c r="L195" i="13"/>
  <c r="M195" i="13" s="1"/>
  <c r="L187" i="13"/>
  <c r="M187" i="13" s="1"/>
  <c r="L44" i="13"/>
  <c r="M44" i="13" s="1"/>
  <c r="L24" i="13"/>
  <c r="M24" i="13" s="1"/>
  <c r="L179" i="13"/>
  <c r="M179" i="13" s="1"/>
  <c r="L162" i="13"/>
  <c r="M162" i="13" s="1"/>
  <c r="L154" i="13"/>
  <c r="M154" i="13" s="1"/>
  <c r="L146" i="13"/>
  <c r="M146" i="13" s="1"/>
  <c r="L138" i="13"/>
  <c r="M138" i="13" s="1"/>
  <c r="L130" i="13"/>
  <c r="M130" i="13" s="1"/>
  <c r="L114" i="13"/>
  <c r="M114" i="13" s="1"/>
  <c r="L106" i="13"/>
  <c r="M106" i="13" s="1"/>
  <c r="L98" i="13"/>
  <c r="M98" i="13" s="1"/>
  <c r="L90" i="13"/>
  <c r="M90" i="13" s="1"/>
  <c r="L82" i="13"/>
  <c r="M82" i="13" s="1"/>
  <c r="L122" i="13"/>
  <c r="M122" i="13" s="1"/>
  <c r="L304" i="13"/>
  <c r="M304" i="13" s="1"/>
  <c r="L158" i="13"/>
  <c r="M158" i="13" s="1"/>
  <c r="L150" i="13"/>
  <c r="M150" i="13" s="1"/>
  <c r="L142" i="13"/>
  <c r="M142" i="13" s="1"/>
  <c r="L134" i="13"/>
  <c r="M134" i="13" s="1"/>
  <c r="L102" i="13"/>
  <c r="M102" i="13" s="1"/>
  <c r="L94" i="13"/>
  <c r="M94" i="13" s="1"/>
  <c r="L78" i="13"/>
  <c r="M78" i="13" s="1"/>
  <c r="L110" i="13"/>
  <c r="M110" i="13" s="1"/>
  <c r="L312" i="13"/>
  <c r="M312" i="13" s="1"/>
  <c r="L308" i="13"/>
  <c r="M308" i="13" s="1"/>
  <c r="L300" i="13"/>
  <c r="M300" i="13" s="1"/>
  <c r="L126" i="13"/>
  <c r="M126" i="13" s="1"/>
  <c r="L285" i="13"/>
  <c r="M285" i="13" s="1"/>
  <c r="L269" i="13"/>
  <c r="M269" i="13" s="1"/>
  <c r="L261" i="13"/>
  <c r="M261" i="13" s="1"/>
  <c r="L253" i="13"/>
  <c r="M253" i="13" s="1"/>
  <c r="L216" i="13"/>
  <c r="M216" i="13" s="1"/>
  <c r="L208" i="13"/>
  <c r="M208" i="13" s="1"/>
  <c r="L192" i="13"/>
  <c r="M192" i="13" s="1"/>
  <c r="L173" i="13"/>
  <c r="M173" i="13" s="1"/>
  <c r="L169" i="13"/>
  <c r="M169" i="13" s="1"/>
  <c r="L164" i="13"/>
  <c r="M164" i="13" s="1"/>
  <c r="L161" i="13"/>
  <c r="M161" i="13" s="1"/>
  <c r="L176" i="13"/>
  <c r="M176" i="13" s="1"/>
  <c r="L293" i="13"/>
  <c r="M293" i="13" s="1"/>
  <c r="L281" i="13"/>
  <c r="M281" i="13" s="1"/>
  <c r="L273" i="13"/>
  <c r="M273" i="13" s="1"/>
  <c r="L265" i="13"/>
  <c r="M265" i="13" s="1"/>
  <c r="L237" i="13"/>
  <c r="M237" i="13" s="1"/>
  <c r="L227" i="13"/>
  <c r="M227" i="13" s="1"/>
  <c r="L220" i="13"/>
  <c r="M220" i="13" s="1"/>
  <c r="L212" i="13"/>
  <c r="M212" i="13" s="1"/>
  <c r="L204" i="13"/>
  <c r="M204" i="13" s="1"/>
  <c r="L188" i="13"/>
  <c r="M188" i="13" s="1"/>
  <c r="L166" i="13"/>
  <c r="M166" i="13" s="1"/>
  <c r="L157" i="13"/>
  <c r="M157" i="13" s="1"/>
  <c r="L200" i="13"/>
  <c r="M200" i="13" s="1"/>
  <c r="L231" i="13"/>
  <c r="M231" i="13" s="1"/>
  <c r="L223" i="13"/>
  <c r="M223" i="13" s="1"/>
  <c r="L184" i="13"/>
  <c r="M184" i="13" s="1"/>
  <c r="L153" i="13"/>
  <c r="M153" i="13" s="1"/>
  <c r="L13" i="13"/>
  <c r="M13" i="13" s="1"/>
  <c r="L20" i="13"/>
  <c r="M20" i="13" s="1"/>
  <c r="L72" i="13"/>
  <c r="M72" i="13" s="1"/>
  <c r="L64" i="13"/>
  <c r="M64" i="13" s="1"/>
  <c r="L52" i="13"/>
  <c r="M52" i="13" s="1"/>
  <c r="K316" i="19"/>
  <c r="E316" i="19"/>
  <c r="H195" i="49"/>
  <c r="I195" i="49" s="1"/>
  <c r="L12" i="13"/>
  <c r="M12" i="13" s="1"/>
  <c r="L40" i="13"/>
  <c r="M40" i="13" s="1"/>
  <c r="L32" i="13"/>
  <c r="M32" i="13" s="1"/>
  <c r="H165" i="49"/>
  <c r="H164" i="49"/>
  <c r="L38" i="13"/>
  <c r="M38" i="13" s="1"/>
  <c r="F316" i="19"/>
  <c r="M316" i="19"/>
  <c r="P316" i="19"/>
  <c r="V316" i="19"/>
  <c r="C316" i="19"/>
  <c r="L270" i="13"/>
  <c r="M270" i="13" s="1"/>
  <c r="J316" i="19"/>
  <c r="D5" i="32"/>
  <c r="D314" i="32" s="1"/>
  <c r="Z316" i="19"/>
  <c r="L310" i="13"/>
  <c r="M310" i="13" s="1"/>
  <c r="L302" i="13"/>
  <c r="M302" i="13" s="1"/>
  <c r="L298" i="13"/>
  <c r="M298" i="13" s="1"/>
  <c r="L291" i="13"/>
  <c r="M291" i="13" s="1"/>
  <c r="L287" i="13"/>
  <c r="M287" i="13" s="1"/>
  <c r="L283" i="13"/>
  <c r="M283" i="13" s="1"/>
  <c r="L275" i="13"/>
  <c r="M275" i="13" s="1"/>
  <c r="L271" i="13"/>
  <c r="M271" i="13" s="1"/>
  <c r="L267" i="13"/>
  <c r="M267" i="13" s="1"/>
  <c r="L263" i="13"/>
  <c r="M263" i="13" s="1"/>
  <c r="L255" i="13"/>
  <c r="M255" i="13" s="1"/>
  <c r="L247" i="13"/>
  <c r="M247" i="13" s="1"/>
  <c r="L238" i="13"/>
  <c r="M238" i="13" s="1"/>
  <c r="L233" i="13"/>
  <c r="M233" i="13" s="1"/>
  <c r="L225" i="13"/>
  <c r="M225" i="13" s="1"/>
  <c r="L218" i="13"/>
  <c r="M218" i="13" s="1"/>
  <c r="L202" i="13"/>
  <c r="M202" i="13" s="1"/>
  <c r="L198" i="13"/>
  <c r="M198" i="13" s="1"/>
  <c r="L194" i="13"/>
  <c r="M194" i="13" s="1"/>
  <c r="L186" i="13"/>
  <c r="M186" i="13" s="1"/>
  <c r="L182" i="13"/>
  <c r="M182" i="13" s="1"/>
  <c r="L178" i="13"/>
  <c r="M178" i="13" s="1"/>
  <c r="L160" i="13"/>
  <c r="M160" i="13" s="1"/>
  <c r="L156" i="13"/>
  <c r="M156" i="13" s="1"/>
  <c r="L148" i="13"/>
  <c r="M148" i="13" s="1"/>
  <c r="L145" i="13"/>
  <c r="M145" i="13" s="1"/>
  <c r="L137" i="13"/>
  <c r="M137" i="13" s="1"/>
  <c r="L133" i="13"/>
  <c r="M133" i="13" s="1"/>
  <c r="L129" i="13"/>
  <c r="M129" i="13" s="1"/>
  <c r="L125" i="13"/>
  <c r="M125" i="13" s="1"/>
  <c r="L113" i="13"/>
  <c r="M113" i="13" s="1"/>
  <c r="L109" i="13"/>
  <c r="M109" i="13" s="1"/>
  <c r="L105" i="13"/>
  <c r="M105" i="13" s="1"/>
  <c r="L101" i="13"/>
  <c r="M101" i="13" s="1"/>
  <c r="L97" i="13"/>
  <c r="M97" i="13" s="1"/>
  <c r="L89" i="13"/>
  <c r="M89" i="13" s="1"/>
  <c r="L81" i="13"/>
  <c r="M81" i="13" s="1"/>
  <c r="L70" i="13"/>
  <c r="M70" i="13" s="1"/>
  <c r="L66" i="13"/>
  <c r="M66" i="13" s="1"/>
  <c r="L62" i="13"/>
  <c r="M62" i="13" s="1"/>
  <c r="L58" i="13"/>
  <c r="M58" i="13" s="1"/>
  <c r="L54" i="13"/>
  <c r="M54" i="13" s="1"/>
  <c r="L50" i="13"/>
  <c r="M50" i="13" s="1"/>
  <c r="L46" i="13"/>
  <c r="M46" i="13" s="1"/>
  <c r="L42" i="13"/>
  <c r="M42" i="13" s="1"/>
  <c r="L34" i="13"/>
  <c r="M34" i="13" s="1"/>
  <c r="L30" i="13"/>
  <c r="M30" i="13" s="1"/>
  <c r="L26" i="13"/>
  <c r="M26" i="13" s="1"/>
  <c r="L22" i="13"/>
  <c r="M22" i="13" s="1"/>
  <c r="L18" i="13"/>
  <c r="M18" i="13" s="1"/>
  <c r="L10" i="13"/>
  <c r="M10" i="13" s="1"/>
  <c r="L7" i="13"/>
  <c r="H316" i="19"/>
  <c r="I316" i="19"/>
  <c r="L206" i="13"/>
  <c r="M206" i="13" s="1"/>
  <c r="L85" i="13"/>
  <c r="M85" i="13" s="1"/>
  <c r="AA316" i="19"/>
  <c r="L309" i="13"/>
  <c r="M309" i="13" s="1"/>
  <c r="L301" i="13"/>
  <c r="M301" i="13" s="1"/>
  <c r="L294" i="13"/>
  <c r="M294" i="13" s="1"/>
  <c r="L286" i="13"/>
  <c r="M286" i="13" s="1"/>
  <c r="L278" i="13"/>
  <c r="M278" i="13" s="1"/>
  <c r="L274" i="13"/>
  <c r="M274" i="13" s="1"/>
  <c r="L266" i="13"/>
  <c r="M266" i="13" s="1"/>
  <c r="L258" i="13"/>
  <c r="M258" i="13" s="1"/>
  <c r="L250" i="13"/>
  <c r="M250" i="13" s="1"/>
  <c r="L241" i="13"/>
  <c r="M241" i="13" s="1"/>
  <c r="L235" i="13"/>
  <c r="M235" i="13" s="1"/>
  <c r="L228" i="13"/>
  <c r="M228" i="13" s="1"/>
  <c r="L209" i="13"/>
  <c r="M209" i="13" s="1"/>
  <c r="L197" i="13"/>
  <c r="M197" i="13" s="1"/>
  <c r="L189" i="13"/>
  <c r="M189" i="13" s="1"/>
  <c r="L181" i="13"/>
  <c r="M181" i="13" s="1"/>
  <c r="L177" i="13"/>
  <c r="M177" i="13" s="1"/>
  <c r="L165" i="13"/>
  <c r="M165" i="13" s="1"/>
  <c r="L163" i="13"/>
  <c r="M163" i="13" s="1"/>
  <c r="L155" i="13"/>
  <c r="M155" i="13" s="1"/>
  <c r="L124" i="13"/>
  <c r="M124" i="13" s="1"/>
  <c r="L116" i="13"/>
  <c r="M116" i="13" s="1"/>
  <c r="L108" i="13"/>
  <c r="M108" i="13" s="1"/>
  <c r="L100" i="13"/>
  <c r="M100" i="13" s="1"/>
  <c r="L92" i="13"/>
  <c r="M92" i="13" s="1"/>
  <c r="L76" i="13"/>
  <c r="M76" i="13" s="1"/>
  <c r="L69" i="13"/>
  <c r="M69" i="13" s="1"/>
  <c r="L65" i="13"/>
  <c r="M65" i="13" s="1"/>
  <c r="L57" i="13"/>
  <c r="M57" i="13" s="1"/>
  <c r="L49" i="13"/>
  <c r="M49" i="13" s="1"/>
  <c r="L41" i="13"/>
  <c r="M41" i="13" s="1"/>
  <c r="L37" i="13"/>
  <c r="M37" i="13" s="1"/>
  <c r="L29" i="13"/>
  <c r="M29" i="13" s="1"/>
  <c r="L21" i="13"/>
  <c r="M21" i="13" s="1"/>
  <c r="L9" i="13"/>
  <c r="M9" i="13" s="1"/>
  <c r="D316" i="19"/>
  <c r="H150" i="49"/>
  <c r="H19" i="49"/>
  <c r="I19" i="49" s="1"/>
  <c r="L316" i="19"/>
  <c r="L201" i="13"/>
  <c r="M201" i="13" s="1"/>
  <c r="L213" i="13"/>
  <c r="M213" i="13" s="1"/>
  <c r="L93" i="13"/>
  <c r="M93" i="13" s="1"/>
  <c r="L141" i="13"/>
  <c r="M141" i="13" s="1"/>
  <c r="L77" i="13"/>
  <c r="M77" i="13" s="1"/>
  <c r="L74" i="13"/>
  <c r="M74" i="13" s="1"/>
  <c r="L14" i="13"/>
  <c r="M14" i="13" s="1"/>
  <c r="L306" i="13"/>
  <c r="M306" i="13" s="1"/>
  <c r="L295" i="13"/>
  <c r="M295" i="13" s="1"/>
  <c r="L279" i="13"/>
  <c r="M279" i="13" s="1"/>
  <c r="L251" i="13"/>
  <c r="M251" i="13" s="1"/>
  <c r="L236" i="13"/>
  <c r="M236" i="13" s="1"/>
  <c r="L214" i="13"/>
  <c r="M214" i="13" s="1"/>
  <c r="L210" i="13"/>
  <c r="M210" i="13" s="1"/>
  <c r="L190" i="13"/>
  <c r="M190" i="13" s="1"/>
  <c r="L117" i="13"/>
  <c r="M117" i="13" s="1"/>
  <c r="W316" i="19"/>
  <c r="X316" i="19"/>
  <c r="L313" i="13"/>
  <c r="M313" i="13" s="1"/>
  <c r="L305" i="13"/>
  <c r="M305" i="13" s="1"/>
  <c r="L297" i="13"/>
  <c r="M297" i="13" s="1"/>
  <c r="L290" i="13"/>
  <c r="M290" i="13" s="1"/>
  <c r="L282" i="13"/>
  <c r="M282" i="13" s="1"/>
  <c r="L262" i="13"/>
  <c r="M262" i="13" s="1"/>
  <c r="L254" i="13"/>
  <c r="M254" i="13" s="1"/>
  <c r="L246" i="13"/>
  <c r="M246" i="13" s="1"/>
  <c r="L232" i="13"/>
  <c r="M232" i="13" s="1"/>
  <c r="L224" i="13"/>
  <c r="M224" i="13" s="1"/>
  <c r="L217" i="13"/>
  <c r="M217" i="13" s="1"/>
  <c r="L205" i="13"/>
  <c r="M205" i="13" s="1"/>
  <c r="L193" i="13"/>
  <c r="M193" i="13" s="1"/>
  <c r="L185" i="13"/>
  <c r="M185" i="13" s="1"/>
  <c r="L151" i="13"/>
  <c r="M151" i="13" s="1"/>
  <c r="L144" i="13"/>
  <c r="M144" i="13" s="1"/>
  <c r="L136" i="13"/>
  <c r="M136" i="13" s="1"/>
  <c r="L112" i="13"/>
  <c r="M112" i="13" s="1"/>
  <c r="L104" i="13"/>
  <c r="M104" i="13" s="1"/>
  <c r="L88" i="13"/>
  <c r="M88" i="13" s="1"/>
  <c r="L84" i="13"/>
  <c r="M84" i="13" s="1"/>
  <c r="L73" i="13"/>
  <c r="M73" i="13" s="1"/>
  <c r="L61" i="13"/>
  <c r="M61" i="13" s="1"/>
  <c r="L53" i="13"/>
  <c r="M53" i="13" s="1"/>
  <c r="L45" i="13"/>
  <c r="M45" i="13" s="1"/>
  <c r="L33" i="13"/>
  <c r="M33" i="13" s="1"/>
  <c r="L25" i="13"/>
  <c r="M25" i="13" s="1"/>
  <c r="L259" i="13"/>
  <c r="M259" i="13" s="1"/>
  <c r="L167" i="13"/>
  <c r="M167" i="13" s="1"/>
  <c r="L80" i="13"/>
  <c r="M80" i="13" s="1"/>
  <c r="L17" i="13"/>
  <c r="M17" i="13" s="1"/>
  <c r="L140" i="13"/>
  <c r="M140" i="13" s="1"/>
  <c r="L159" i="13"/>
  <c r="M159" i="13" s="1"/>
  <c r="L174" i="13"/>
  <c r="M174" i="13" s="1"/>
  <c r="L147" i="13"/>
  <c r="M147" i="13" s="1"/>
  <c r="G7" i="19"/>
  <c r="R7" i="19" s="1"/>
  <c r="H107" i="49"/>
  <c r="I107" i="49" s="1"/>
  <c r="H55" i="49"/>
  <c r="I55" i="49" s="1"/>
  <c r="H8" i="49"/>
  <c r="H106" i="49"/>
  <c r="H130" i="49"/>
  <c r="H172" i="49"/>
  <c r="H39" i="49"/>
  <c r="I39" i="49" s="1"/>
  <c r="H288" i="49"/>
  <c r="I288" i="49" s="1"/>
  <c r="H207" i="49"/>
  <c r="H191" i="49"/>
  <c r="H143" i="49"/>
  <c r="I143" i="49" s="1"/>
  <c r="H59" i="49"/>
  <c r="H47" i="49"/>
  <c r="H296" i="49"/>
  <c r="I296" i="49" s="1"/>
  <c r="H231" i="49"/>
  <c r="H230" i="49"/>
  <c r="H226" i="49"/>
  <c r="H206" i="49"/>
  <c r="H163" i="49"/>
  <c r="H126" i="49"/>
  <c r="H114" i="49"/>
  <c r="H90" i="49"/>
  <c r="H87" i="49"/>
  <c r="I87" i="49" s="1"/>
  <c r="H80" i="49"/>
  <c r="H72" i="49"/>
  <c r="H68" i="49"/>
  <c r="H63" i="49"/>
  <c r="I63" i="49" s="1"/>
  <c r="H36" i="49"/>
  <c r="H28" i="49"/>
  <c r="I28" i="49" s="1"/>
  <c r="H13" i="49"/>
  <c r="H11" i="49"/>
  <c r="I11" i="49" s="1"/>
  <c r="H67" i="49"/>
  <c r="I67" i="49" s="1"/>
  <c r="H266" i="49"/>
  <c r="H240" i="49"/>
  <c r="H176" i="49"/>
  <c r="H175" i="49"/>
  <c r="H125" i="49"/>
  <c r="H95" i="49"/>
  <c r="I95" i="49" s="1"/>
  <c r="H85" i="49"/>
  <c r="H84" i="49"/>
  <c r="H83" i="49"/>
  <c r="I83" i="49" s="1"/>
  <c r="H79" i="49"/>
  <c r="I79" i="49" s="1"/>
  <c r="H75" i="49"/>
  <c r="I75" i="49" s="1"/>
  <c r="H71" i="49"/>
  <c r="I71" i="49" s="1"/>
  <c r="H56" i="49"/>
  <c r="H52" i="49"/>
  <c r="H51" i="49"/>
  <c r="H31" i="49"/>
  <c r="I31" i="49" s="1"/>
  <c r="H14" i="49"/>
  <c r="H303" i="49"/>
  <c r="H299" i="49"/>
  <c r="H289" i="49"/>
  <c r="I289" i="49" s="1"/>
  <c r="H273" i="49"/>
  <c r="H265" i="49"/>
  <c r="H248" i="49"/>
  <c r="H239" i="49"/>
  <c r="I239" i="49" s="1"/>
  <c r="H220" i="49"/>
  <c r="I220" i="49" s="1"/>
  <c r="H196" i="49"/>
  <c r="I196" i="49" s="1"/>
  <c r="H157" i="49"/>
  <c r="H139" i="49"/>
  <c r="I139" i="49" s="1"/>
  <c r="H135" i="49"/>
  <c r="H60" i="49"/>
  <c r="H48" i="49"/>
  <c r="H32" i="49"/>
  <c r="H15" i="49"/>
  <c r="I15" i="49" s="1"/>
  <c r="H280" i="49"/>
  <c r="H276" i="49"/>
  <c r="I276" i="49" s="1"/>
  <c r="H259" i="49"/>
  <c r="H235" i="49"/>
  <c r="H223" i="49"/>
  <c r="H183" i="49"/>
  <c r="I183" i="49" s="1"/>
  <c r="H127" i="49"/>
  <c r="I127" i="49" s="1"/>
  <c r="H123" i="49"/>
  <c r="I123" i="49" s="1"/>
  <c r="H119" i="49"/>
  <c r="I119" i="49" s="1"/>
  <c r="H115" i="49"/>
  <c r="I115" i="49" s="1"/>
  <c r="H103" i="49"/>
  <c r="I103" i="49" s="1"/>
  <c r="H91" i="49"/>
  <c r="I91" i="49" s="1"/>
  <c r="H77" i="49"/>
  <c r="H35" i="49"/>
  <c r="I35" i="49" s="1"/>
  <c r="H16" i="49"/>
  <c r="B315" i="25"/>
  <c r="L6" i="13"/>
  <c r="M6" i="13" s="1"/>
  <c r="D8" i="36"/>
  <c r="J8" i="36"/>
  <c r="N316" i="42"/>
  <c r="I8" i="36"/>
  <c r="F8" i="36"/>
  <c r="H8" i="36"/>
  <c r="E8" i="36"/>
  <c r="G8" i="36"/>
  <c r="M7" i="13" l="1"/>
  <c r="I60" i="49"/>
  <c r="I90" i="49"/>
  <c r="I266" i="49"/>
  <c r="I226" i="49"/>
  <c r="I303" i="49"/>
  <c r="I16" i="49"/>
  <c r="I32" i="49"/>
  <c r="I84" i="49"/>
  <c r="I206" i="49"/>
  <c r="I125" i="49"/>
  <c r="I130" i="49"/>
  <c r="I85" i="49"/>
  <c r="I36" i="49"/>
  <c r="I157" i="49"/>
  <c r="I8" i="49"/>
  <c r="I47" i="49"/>
  <c r="I80" i="49"/>
  <c r="I164" i="49"/>
  <c r="I48" i="49"/>
  <c r="I51" i="49"/>
  <c r="I163" i="49"/>
  <c r="I150" i="49"/>
  <c r="I280" i="49"/>
  <c r="I265" i="49"/>
  <c r="I52" i="49"/>
  <c r="I68" i="49"/>
  <c r="I191" i="49"/>
  <c r="I172" i="49"/>
  <c r="I165" i="49"/>
  <c r="I248" i="49"/>
  <c r="I299" i="49"/>
  <c r="I176" i="49"/>
  <c r="I231" i="49"/>
  <c r="I106" i="49"/>
  <c r="I240" i="49"/>
  <c r="I235" i="49"/>
  <c r="I135" i="49"/>
  <c r="I273" i="49"/>
  <c r="I14" i="49"/>
  <c r="I56" i="49"/>
  <c r="I72" i="49"/>
  <c r="I114" i="49"/>
  <c r="I207" i="49"/>
  <c r="I77" i="49"/>
  <c r="I223" i="49"/>
  <c r="I13" i="49"/>
  <c r="I259" i="49"/>
  <c r="I175" i="49"/>
  <c r="I126" i="49"/>
  <c r="I230" i="49"/>
  <c r="I59" i="49"/>
  <c r="T316" i="42"/>
  <c r="H21" i="49"/>
  <c r="I21" i="49" s="1"/>
  <c r="E15" i="48"/>
  <c r="H12" i="49"/>
  <c r="I12" i="49" s="1"/>
  <c r="H54" i="49"/>
  <c r="I54" i="49" s="1"/>
  <c r="H111" i="49"/>
  <c r="I111" i="49" s="1"/>
  <c r="H227" i="49"/>
  <c r="I227" i="49" s="1"/>
  <c r="H284" i="49"/>
  <c r="I284" i="49" s="1"/>
  <c r="H98" i="49"/>
  <c r="I98" i="49" s="1"/>
  <c r="H128" i="49"/>
  <c r="I128" i="49" s="1"/>
  <c r="H148" i="49"/>
  <c r="I148" i="49" s="1"/>
  <c r="H192" i="49"/>
  <c r="I192" i="49" s="1"/>
  <c r="H208" i="49"/>
  <c r="I208" i="49" s="1"/>
  <c r="H252" i="49"/>
  <c r="I252" i="49" s="1"/>
  <c r="H281" i="49"/>
  <c r="I281" i="49" s="1"/>
  <c r="H297" i="49"/>
  <c r="I297" i="49" s="1"/>
  <c r="H30" i="49"/>
  <c r="I30" i="49" s="1"/>
  <c r="H62" i="49"/>
  <c r="I62" i="49" s="1"/>
  <c r="H86" i="49"/>
  <c r="I86" i="49" s="1"/>
  <c r="H109" i="49"/>
  <c r="I109" i="49" s="1"/>
  <c r="H136" i="49"/>
  <c r="I136" i="49" s="1"/>
  <c r="H154" i="49"/>
  <c r="I154" i="49" s="1"/>
  <c r="H171" i="49"/>
  <c r="I171" i="49" s="1"/>
  <c r="H185" i="49"/>
  <c r="I185" i="49" s="1"/>
  <c r="H205" i="49"/>
  <c r="I205" i="49" s="1"/>
  <c r="H225" i="49"/>
  <c r="I225" i="49" s="1"/>
  <c r="H257" i="49"/>
  <c r="I257" i="49" s="1"/>
  <c r="H274" i="49"/>
  <c r="I274" i="49" s="1"/>
  <c r="H294" i="49"/>
  <c r="I294" i="49" s="1"/>
  <c r="H308" i="49"/>
  <c r="I308" i="49" s="1"/>
  <c r="H102" i="49"/>
  <c r="I102" i="49" s="1"/>
  <c r="H122" i="49"/>
  <c r="I122" i="49" s="1"/>
  <c r="H137" i="49"/>
  <c r="I137" i="49" s="1"/>
  <c r="H186" i="49"/>
  <c r="I186" i="49" s="1"/>
  <c r="H202" i="49"/>
  <c r="I202" i="49" s="1"/>
  <c r="H218" i="49"/>
  <c r="I218" i="49" s="1"/>
  <c r="H246" i="49"/>
  <c r="I246" i="49" s="1"/>
  <c r="H271" i="49"/>
  <c r="I271" i="49" s="1"/>
  <c r="H287" i="49"/>
  <c r="I287" i="49" s="1"/>
  <c r="H305" i="49"/>
  <c r="I305" i="49" s="1"/>
  <c r="H104" i="49"/>
  <c r="I104" i="49" s="1"/>
  <c r="H151" i="49"/>
  <c r="I151" i="49" s="1"/>
  <c r="H33" i="49"/>
  <c r="I33" i="49" s="1"/>
  <c r="H129" i="49"/>
  <c r="I129" i="49" s="1"/>
  <c r="H7" i="49"/>
  <c r="I7" i="49" s="1"/>
  <c r="H177" i="49"/>
  <c r="I177" i="49" s="1"/>
  <c r="H295" i="49"/>
  <c r="I295" i="49" s="1"/>
  <c r="H199" i="49"/>
  <c r="I199" i="49" s="1"/>
  <c r="H41" i="49"/>
  <c r="I41" i="49" s="1"/>
  <c r="H243" i="49"/>
  <c r="I243" i="49" s="1"/>
  <c r="H88" i="49"/>
  <c r="I88" i="49" s="1"/>
  <c r="H251" i="49"/>
  <c r="I251" i="49" s="1"/>
  <c r="H43" i="49"/>
  <c r="I43" i="49" s="1"/>
  <c r="H50" i="49"/>
  <c r="I50" i="49" s="1"/>
  <c r="H82" i="49"/>
  <c r="I82" i="49" s="1"/>
  <c r="H233" i="49"/>
  <c r="I233" i="49" s="1"/>
  <c r="H26" i="49"/>
  <c r="I26" i="49" s="1"/>
  <c r="H73" i="49"/>
  <c r="I73" i="49" s="1"/>
  <c r="H92" i="49"/>
  <c r="I92" i="49" s="1"/>
  <c r="H134" i="49"/>
  <c r="I134" i="49" s="1"/>
  <c r="H215" i="49"/>
  <c r="I215" i="49" s="1"/>
  <c r="H232" i="49"/>
  <c r="I232" i="49" s="1"/>
  <c r="H264" i="49"/>
  <c r="I264" i="49" s="1"/>
  <c r="H314" i="49"/>
  <c r="I314" i="49" s="1"/>
  <c r="H105" i="49"/>
  <c r="I105" i="49" s="1"/>
  <c r="H152" i="49"/>
  <c r="I152" i="49" s="1"/>
  <c r="H180" i="49"/>
  <c r="I180" i="49" s="1"/>
  <c r="H212" i="49"/>
  <c r="I212" i="49" s="1"/>
  <c r="H224" i="49"/>
  <c r="I224" i="49" s="1"/>
  <c r="H256" i="49"/>
  <c r="I256" i="49" s="1"/>
  <c r="H269" i="49"/>
  <c r="I269" i="49" s="1"/>
  <c r="H285" i="49"/>
  <c r="I285" i="49" s="1"/>
  <c r="H66" i="49"/>
  <c r="I66" i="49" s="1"/>
  <c r="H89" i="49"/>
  <c r="I89" i="49" s="1"/>
  <c r="H113" i="49"/>
  <c r="I113" i="49" s="1"/>
  <c r="H140" i="49"/>
  <c r="I140" i="49" s="1"/>
  <c r="H158" i="49"/>
  <c r="I158" i="49" s="1"/>
  <c r="H174" i="49"/>
  <c r="I174" i="49" s="1"/>
  <c r="H193" i="49"/>
  <c r="I193" i="49" s="1"/>
  <c r="H209" i="49"/>
  <c r="I209" i="49" s="1"/>
  <c r="H229" i="49"/>
  <c r="I229" i="49" s="1"/>
  <c r="H245" i="49"/>
  <c r="I245" i="49" s="1"/>
  <c r="H262" i="49"/>
  <c r="I262" i="49" s="1"/>
  <c r="H282" i="49"/>
  <c r="I282" i="49" s="1"/>
  <c r="H298" i="49"/>
  <c r="I298" i="49" s="1"/>
  <c r="H17" i="49"/>
  <c r="I17" i="49" s="1"/>
  <c r="H53" i="49"/>
  <c r="I53" i="49" s="1"/>
  <c r="H110" i="49"/>
  <c r="I110" i="49" s="1"/>
  <c r="H142" i="49"/>
  <c r="I142" i="49" s="1"/>
  <c r="H190" i="49"/>
  <c r="I190" i="49" s="1"/>
  <c r="H222" i="49"/>
  <c r="I222" i="49" s="1"/>
  <c r="H250" i="49"/>
  <c r="I250" i="49" s="1"/>
  <c r="H275" i="49"/>
  <c r="I275" i="49" s="1"/>
  <c r="H291" i="49"/>
  <c r="I291" i="49" s="1"/>
  <c r="H309" i="49"/>
  <c r="I309" i="49" s="1"/>
  <c r="H64" i="49"/>
  <c r="I64" i="49" s="1"/>
  <c r="H138" i="49"/>
  <c r="I138" i="49" s="1"/>
  <c r="H160" i="49"/>
  <c r="I160" i="49" s="1"/>
  <c r="H203" i="49"/>
  <c r="I203" i="49" s="1"/>
  <c r="H34" i="49"/>
  <c r="I34" i="49" s="1"/>
  <c r="H153" i="49"/>
  <c r="I153" i="49" s="1"/>
  <c r="H117" i="49"/>
  <c r="I117" i="49" s="1"/>
  <c r="H181" i="49"/>
  <c r="I181" i="49" s="1"/>
  <c r="H18" i="49"/>
  <c r="I18" i="49" s="1"/>
  <c r="H173" i="49"/>
  <c r="I173" i="49" s="1"/>
  <c r="H236" i="49"/>
  <c r="I236" i="49" s="1"/>
  <c r="H211" i="49"/>
  <c r="I211" i="49" s="1"/>
  <c r="H112" i="49"/>
  <c r="I112" i="49" s="1"/>
  <c r="H247" i="49"/>
  <c r="I247" i="49" s="1"/>
  <c r="H306" i="49"/>
  <c r="I306" i="49" s="1"/>
  <c r="H44" i="49"/>
  <c r="I44" i="49" s="1"/>
  <c r="H93" i="49"/>
  <c r="I93" i="49" s="1"/>
  <c r="H99" i="49"/>
  <c r="I99" i="49" s="1"/>
  <c r="H267" i="49"/>
  <c r="I267" i="49" s="1"/>
  <c r="H23" i="49"/>
  <c r="I23" i="49" s="1"/>
  <c r="H27" i="49"/>
  <c r="I27" i="49" s="1"/>
  <c r="H155" i="49"/>
  <c r="I155" i="49" s="1"/>
  <c r="H166" i="49"/>
  <c r="I166" i="49" s="1"/>
  <c r="H238" i="49"/>
  <c r="I238" i="49" s="1"/>
  <c r="H97" i="49"/>
  <c r="I97" i="49" s="1"/>
  <c r="H156" i="49"/>
  <c r="I156" i="49" s="1"/>
  <c r="H65" i="49"/>
  <c r="I65" i="49" s="1"/>
  <c r="H116" i="49"/>
  <c r="I116" i="49" s="1"/>
  <c r="H184" i="49"/>
  <c r="I184" i="49" s="1"/>
  <c r="H200" i="49"/>
  <c r="I200" i="49" s="1"/>
  <c r="H216" i="49"/>
  <c r="I216" i="49" s="1"/>
  <c r="H260" i="49"/>
  <c r="I260" i="49" s="1"/>
  <c r="H37" i="49"/>
  <c r="I37" i="49" s="1"/>
  <c r="H94" i="49"/>
  <c r="I94" i="49" s="1"/>
  <c r="H121" i="49"/>
  <c r="I121" i="49" s="1"/>
  <c r="H145" i="49"/>
  <c r="I145" i="49" s="1"/>
  <c r="H162" i="49"/>
  <c r="I162" i="49" s="1"/>
  <c r="H197" i="49"/>
  <c r="I197" i="49" s="1"/>
  <c r="H213" i="49"/>
  <c r="I213" i="49" s="1"/>
  <c r="H234" i="49"/>
  <c r="I234" i="49" s="1"/>
  <c r="H249" i="49"/>
  <c r="I249" i="49" s="1"/>
  <c r="H286" i="49"/>
  <c r="I286" i="49" s="1"/>
  <c r="H300" i="49"/>
  <c r="I300" i="49" s="1"/>
  <c r="H9" i="49"/>
  <c r="I9" i="49" s="1"/>
  <c r="H22" i="49"/>
  <c r="I22" i="49" s="1"/>
  <c r="H57" i="49"/>
  <c r="I57" i="49" s="1"/>
  <c r="H132" i="49"/>
  <c r="I132" i="49" s="1"/>
  <c r="H146" i="49"/>
  <c r="I146" i="49" s="1"/>
  <c r="H178" i="49"/>
  <c r="I178" i="49" s="1"/>
  <c r="H194" i="49"/>
  <c r="I194" i="49" s="1"/>
  <c r="H210" i="49"/>
  <c r="I210" i="49" s="1"/>
  <c r="H254" i="49"/>
  <c r="I254" i="49" s="1"/>
  <c r="H279" i="49"/>
  <c r="I279" i="49" s="1"/>
  <c r="H311" i="49"/>
  <c r="I311" i="49" s="1"/>
  <c r="H69" i="49"/>
  <c r="I69" i="49" s="1"/>
  <c r="H179" i="49"/>
  <c r="I179" i="49" s="1"/>
  <c r="H302" i="49"/>
  <c r="I302" i="49" s="1"/>
  <c r="H228" i="49"/>
  <c r="I228" i="49" s="1"/>
  <c r="H131" i="49"/>
  <c r="I131" i="49" s="1"/>
  <c r="H221" i="49"/>
  <c r="I221" i="49" s="1"/>
  <c r="H96" i="49"/>
  <c r="I96" i="49" s="1"/>
  <c r="H307" i="49"/>
  <c r="I307" i="49" s="1"/>
  <c r="H292" i="49"/>
  <c r="I292" i="49" s="1"/>
  <c r="H124" i="49"/>
  <c r="I124" i="49" s="1"/>
  <c r="H272" i="49"/>
  <c r="I272" i="49" s="1"/>
  <c r="H29" i="49"/>
  <c r="I29" i="49" s="1"/>
  <c r="H45" i="49"/>
  <c r="I45" i="49" s="1"/>
  <c r="H74" i="49"/>
  <c r="I74" i="49" s="1"/>
  <c r="H189" i="49"/>
  <c r="I189" i="49" s="1"/>
  <c r="H24" i="49"/>
  <c r="I24" i="49" s="1"/>
  <c r="H46" i="49"/>
  <c r="I46" i="49" s="1"/>
  <c r="H81" i="49"/>
  <c r="I81" i="49" s="1"/>
  <c r="H167" i="49"/>
  <c r="I167" i="49" s="1"/>
  <c r="H242" i="49"/>
  <c r="I242" i="49" s="1"/>
  <c r="H70" i="49"/>
  <c r="I70" i="49" s="1"/>
  <c r="H120" i="49"/>
  <c r="I120" i="49" s="1"/>
  <c r="H144" i="49"/>
  <c r="I144" i="49" s="1"/>
  <c r="H161" i="49"/>
  <c r="I161" i="49" s="1"/>
  <c r="H188" i="49"/>
  <c r="I188" i="49" s="1"/>
  <c r="H204" i="49"/>
  <c r="I204" i="49" s="1"/>
  <c r="H261" i="49"/>
  <c r="I261" i="49" s="1"/>
  <c r="H277" i="49"/>
  <c r="I277" i="49" s="1"/>
  <c r="H293" i="49"/>
  <c r="I293" i="49" s="1"/>
  <c r="H38" i="49"/>
  <c r="I38" i="49" s="1"/>
  <c r="H61" i="49"/>
  <c r="I61" i="49" s="1"/>
  <c r="H149" i="49"/>
  <c r="I149" i="49" s="1"/>
  <c r="H201" i="49"/>
  <c r="I201" i="49" s="1"/>
  <c r="H217" i="49"/>
  <c r="I217" i="49" s="1"/>
  <c r="H237" i="49"/>
  <c r="I237" i="49" s="1"/>
  <c r="H253" i="49"/>
  <c r="I253" i="49" s="1"/>
  <c r="H270" i="49"/>
  <c r="I270" i="49" s="1"/>
  <c r="H290" i="49"/>
  <c r="I290" i="49" s="1"/>
  <c r="H304" i="49"/>
  <c r="I304" i="49" s="1"/>
  <c r="H58" i="49"/>
  <c r="I58" i="49" s="1"/>
  <c r="H76" i="49"/>
  <c r="I76" i="49" s="1"/>
  <c r="H100" i="49"/>
  <c r="I100" i="49" s="1"/>
  <c r="H118" i="49"/>
  <c r="I118" i="49" s="1"/>
  <c r="H133" i="49"/>
  <c r="I133" i="49" s="1"/>
  <c r="H159" i="49"/>
  <c r="I159" i="49" s="1"/>
  <c r="H182" i="49"/>
  <c r="I182" i="49" s="1"/>
  <c r="H198" i="49"/>
  <c r="I198" i="49" s="1"/>
  <c r="H214" i="49"/>
  <c r="I214" i="49" s="1"/>
  <c r="H241" i="49"/>
  <c r="I241" i="49" s="1"/>
  <c r="H258" i="49"/>
  <c r="I258" i="49" s="1"/>
  <c r="H283" i="49"/>
  <c r="I283" i="49" s="1"/>
  <c r="H301" i="49"/>
  <c r="I301" i="49" s="1"/>
  <c r="H101" i="49"/>
  <c r="I101" i="49" s="1"/>
  <c r="H147" i="49"/>
  <c r="I147" i="49" s="1"/>
  <c r="H187" i="49"/>
  <c r="I187" i="49" s="1"/>
  <c r="H268" i="49"/>
  <c r="I268" i="49" s="1"/>
  <c r="H310" i="49"/>
  <c r="I310" i="49" s="1"/>
  <c r="H40" i="49"/>
  <c r="I40" i="49" s="1"/>
  <c r="H313" i="49"/>
  <c r="I313" i="49" s="1"/>
  <c r="H278" i="49"/>
  <c r="I278" i="49" s="1"/>
  <c r="H168" i="49"/>
  <c r="I168" i="49" s="1"/>
  <c r="H263" i="49"/>
  <c r="I263" i="49" s="1"/>
  <c r="H141" i="49"/>
  <c r="I141" i="49" s="1"/>
  <c r="H312" i="49"/>
  <c r="I312" i="49" s="1"/>
  <c r="H42" i="49"/>
  <c r="I42" i="49" s="1"/>
  <c r="H169" i="49"/>
  <c r="I169" i="49" s="1"/>
  <c r="H10" i="49"/>
  <c r="I10" i="49" s="1"/>
  <c r="H49" i="49"/>
  <c r="I49" i="49" s="1"/>
  <c r="H78" i="49"/>
  <c r="I78" i="49" s="1"/>
  <c r="H108" i="49"/>
  <c r="I108" i="49" s="1"/>
  <c r="T7" i="19"/>
  <c r="H6" i="49" s="1"/>
  <c r="I6" i="49" s="1"/>
  <c r="H20" i="49"/>
  <c r="I20" i="49" s="1"/>
  <c r="H25" i="49"/>
  <c r="I25" i="49" s="1"/>
  <c r="H255" i="49"/>
  <c r="I255" i="49" s="1"/>
  <c r="C5" i="32"/>
  <c r="C314" i="32" s="1"/>
  <c r="H314" i="32" s="1"/>
  <c r="Y316" i="19"/>
  <c r="F16" i="49"/>
  <c r="F60" i="49"/>
  <c r="F11" i="49"/>
  <c r="F191" i="49"/>
  <c r="F288" i="49"/>
  <c r="F235" i="49"/>
  <c r="F15" i="49"/>
  <c r="F196" i="49"/>
  <c r="F31" i="49"/>
  <c r="F13" i="49"/>
  <c r="F130" i="49"/>
  <c r="F91" i="49"/>
  <c r="F127" i="49"/>
  <c r="F183" i="49"/>
  <c r="F259" i="49"/>
  <c r="F48" i="49"/>
  <c r="F248" i="49"/>
  <c r="F14" i="49"/>
  <c r="F75" i="49"/>
  <c r="F85" i="49"/>
  <c r="F95" i="49"/>
  <c r="F125" i="49"/>
  <c r="F176" i="49"/>
  <c r="F72" i="49"/>
  <c r="F90" i="49"/>
  <c r="F114" i="49"/>
  <c r="F226" i="49"/>
  <c r="F296" i="49"/>
  <c r="F106" i="49"/>
  <c r="F19" i="49"/>
  <c r="F195" i="49"/>
  <c r="F51" i="49"/>
  <c r="F79" i="49"/>
  <c r="F240" i="49"/>
  <c r="F28" i="49"/>
  <c r="F230" i="49"/>
  <c r="F59" i="49"/>
  <c r="F164" i="49"/>
  <c r="F35" i="49"/>
  <c r="F77" i="49"/>
  <c r="F119" i="49"/>
  <c r="F276" i="49"/>
  <c r="F299" i="49"/>
  <c r="F52" i="49"/>
  <c r="F83" i="49"/>
  <c r="F80" i="49"/>
  <c r="F163" i="49"/>
  <c r="F231" i="49"/>
  <c r="F172" i="49"/>
  <c r="F165" i="49"/>
  <c r="F123" i="49"/>
  <c r="F223" i="49"/>
  <c r="F280" i="49"/>
  <c r="F32" i="49"/>
  <c r="F139" i="49"/>
  <c r="F157" i="49"/>
  <c r="F239" i="49"/>
  <c r="F289" i="49"/>
  <c r="F56" i="49"/>
  <c r="F84" i="49"/>
  <c r="F175" i="49"/>
  <c r="F266" i="49"/>
  <c r="F67" i="49"/>
  <c r="F68" i="49"/>
  <c r="F126" i="49"/>
  <c r="F206" i="49"/>
  <c r="F47" i="49"/>
  <c r="F143" i="49"/>
  <c r="F207" i="49"/>
  <c r="F39" i="49"/>
  <c r="F107" i="49"/>
  <c r="F150" i="49"/>
  <c r="O316" i="19"/>
  <c r="K8" i="36"/>
  <c r="I317" i="36"/>
  <c r="E317" i="36"/>
  <c r="J317" i="36"/>
  <c r="H317" i="36"/>
  <c r="F317" i="36"/>
  <c r="D317" i="36"/>
  <c r="G316" i="19"/>
  <c r="G317" i="36"/>
  <c r="K317" i="36" l="1"/>
  <c r="E5" i="32"/>
  <c r="E314" i="32" s="1"/>
  <c r="I315" i="49"/>
  <c r="E14" i="48"/>
  <c r="F15" i="48" s="1"/>
  <c r="H5" i="32"/>
  <c r="D11" i="9" s="1"/>
  <c r="D320" i="9" s="1"/>
  <c r="U7" i="19"/>
  <c r="G6" i="49" s="1"/>
  <c r="F6" i="49"/>
  <c r="F16" i="34"/>
  <c r="F28" i="48"/>
  <c r="F115" i="49"/>
  <c r="J233" i="13"/>
  <c r="F233" i="49"/>
  <c r="F251" i="49"/>
  <c r="F199" i="49"/>
  <c r="F129" i="49"/>
  <c r="F305" i="49"/>
  <c r="J218" i="13"/>
  <c r="F218" i="49"/>
  <c r="F122" i="49"/>
  <c r="F274" i="49"/>
  <c r="F154" i="49"/>
  <c r="F62" i="49"/>
  <c r="F297" i="49"/>
  <c r="F208" i="49"/>
  <c r="F128" i="49"/>
  <c r="F284" i="49"/>
  <c r="F12" i="49"/>
  <c r="F135" i="49"/>
  <c r="F63" i="49"/>
  <c r="F78" i="49"/>
  <c r="F168" i="49"/>
  <c r="F268" i="49"/>
  <c r="F301" i="49"/>
  <c r="F258" i="49"/>
  <c r="F182" i="49"/>
  <c r="F100" i="49"/>
  <c r="F58" i="49"/>
  <c r="F253" i="49"/>
  <c r="F261" i="49"/>
  <c r="F144" i="49"/>
  <c r="F70" i="49"/>
  <c r="F46" i="49"/>
  <c r="F74" i="49"/>
  <c r="F124" i="49"/>
  <c r="F96" i="49"/>
  <c r="F302" i="49"/>
  <c r="F279" i="49"/>
  <c r="J194" i="13"/>
  <c r="F194" i="49"/>
  <c r="F57" i="49"/>
  <c r="F286" i="49"/>
  <c r="J197" i="13"/>
  <c r="F197" i="49"/>
  <c r="F200" i="49"/>
  <c r="F97" i="49"/>
  <c r="J27" i="13"/>
  <c r="F27" i="49"/>
  <c r="F93" i="49"/>
  <c r="F112" i="49"/>
  <c r="F18" i="49"/>
  <c r="J34" i="13"/>
  <c r="F34" i="49"/>
  <c r="F138" i="49"/>
  <c r="F275" i="49"/>
  <c r="F142" i="49"/>
  <c r="J298" i="13"/>
  <c r="F298" i="49"/>
  <c r="F229" i="49"/>
  <c r="F158" i="49"/>
  <c r="F66" i="49"/>
  <c r="F224" i="49"/>
  <c r="J215" i="13"/>
  <c r="F215" i="49"/>
  <c r="J26" i="13"/>
  <c r="F26" i="49"/>
  <c r="F265" i="49"/>
  <c r="F88" i="49"/>
  <c r="F295" i="49"/>
  <c r="J7" i="13"/>
  <c r="F7" i="49"/>
  <c r="F33" i="49"/>
  <c r="F104" i="49"/>
  <c r="F287" i="49"/>
  <c r="J246" i="13"/>
  <c r="F246" i="49"/>
  <c r="F202" i="49"/>
  <c r="F137" i="49"/>
  <c r="F294" i="49"/>
  <c r="F257" i="49"/>
  <c r="F205" i="49"/>
  <c r="F171" i="49"/>
  <c r="F136" i="49"/>
  <c r="F30" i="49"/>
  <c r="F281" i="49"/>
  <c r="F192" i="49"/>
  <c r="F148" i="49"/>
  <c r="F98" i="49"/>
  <c r="F227" i="49"/>
  <c r="J54" i="13"/>
  <c r="F54" i="49"/>
  <c r="F8" i="49"/>
  <c r="F50" i="49"/>
  <c r="F243" i="49"/>
  <c r="F177" i="49"/>
  <c r="F151" i="49"/>
  <c r="J271" i="13"/>
  <c r="F271" i="49"/>
  <c r="F186" i="49"/>
  <c r="F308" i="49"/>
  <c r="F225" i="49"/>
  <c r="F185" i="49"/>
  <c r="F109" i="49"/>
  <c r="F252" i="49"/>
  <c r="J111" i="13"/>
  <c r="F111" i="49"/>
  <c r="F87" i="49"/>
  <c r="J303" i="13"/>
  <c r="F303" i="49"/>
  <c r="F220" i="49"/>
  <c r="F25" i="49"/>
  <c r="J10" i="13"/>
  <c r="F10" i="49"/>
  <c r="J141" i="13"/>
  <c r="F141" i="49"/>
  <c r="F40" i="49"/>
  <c r="F147" i="49"/>
  <c r="F214" i="49"/>
  <c r="F133" i="49"/>
  <c r="F290" i="49"/>
  <c r="J217" i="13"/>
  <c r="F217" i="49"/>
  <c r="F61" i="49"/>
  <c r="F293" i="49"/>
  <c r="F188" i="49"/>
  <c r="J167" i="13"/>
  <c r="F167" i="49"/>
  <c r="J24" i="13"/>
  <c r="F24" i="49"/>
  <c r="F307" i="49"/>
  <c r="J131" i="13"/>
  <c r="F131" i="49"/>
  <c r="F146" i="49"/>
  <c r="F9" i="49"/>
  <c r="F234" i="49"/>
  <c r="F145" i="49"/>
  <c r="F260" i="49"/>
  <c r="J116" i="13"/>
  <c r="F116" i="49"/>
  <c r="F166" i="49"/>
  <c r="F267" i="49"/>
  <c r="F306" i="49"/>
  <c r="J236" i="13"/>
  <c r="F236" i="49"/>
  <c r="F117" i="49"/>
  <c r="F203" i="49"/>
  <c r="F309" i="49"/>
  <c r="F190" i="49"/>
  <c r="J262" i="13"/>
  <c r="F262" i="49"/>
  <c r="F193" i="49"/>
  <c r="F113" i="49"/>
  <c r="F269" i="49"/>
  <c r="F180" i="49"/>
  <c r="F264" i="49"/>
  <c r="F92" i="49"/>
  <c r="F71" i="49"/>
  <c r="F273" i="49"/>
  <c r="F103" i="49"/>
  <c r="J255" i="13"/>
  <c r="F255" i="49"/>
  <c r="F20" i="49"/>
  <c r="F49" i="49"/>
  <c r="F169" i="49"/>
  <c r="F312" i="49"/>
  <c r="F263" i="49"/>
  <c r="F278" i="49"/>
  <c r="F313" i="49"/>
  <c r="F310" i="49"/>
  <c r="F187" i="49"/>
  <c r="F283" i="49"/>
  <c r="F241" i="49"/>
  <c r="F198" i="49"/>
  <c r="F159" i="49"/>
  <c r="F118" i="49"/>
  <c r="F304" i="49"/>
  <c r="F270" i="49"/>
  <c r="F237" i="49"/>
  <c r="F201" i="49"/>
  <c r="F149" i="49"/>
  <c r="F38" i="49"/>
  <c r="J277" i="13"/>
  <c r="F277" i="49"/>
  <c r="F204" i="49"/>
  <c r="F161" i="49"/>
  <c r="J120" i="13"/>
  <c r="F120" i="49"/>
  <c r="F242" i="49"/>
  <c r="F81" i="49"/>
  <c r="F189" i="49"/>
  <c r="J272" i="13"/>
  <c r="F272" i="49"/>
  <c r="F292" i="49"/>
  <c r="F221" i="49"/>
  <c r="F228" i="49"/>
  <c r="F179" i="49"/>
  <c r="F311" i="49"/>
  <c r="F254" i="49"/>
  <c r="J210" i="13"/>
  <c r="F210" i="49"/>
  <c r="F178" i="49"/>
  <c r="F132" i="49"/>
  <c r="F22" i="49"/>
  <c r="J300" i="13"/>
  <c r="F300" i="49"/>
  <c r="F249" i="49"/>
  <c r="F213" i="49"/>
  <c r="F162" i="49"/>
  <c r="J121" i="13"/>
  <c r="F121" i="49"/>
  <c r="F37" i="49"/>
  <c r="F216" i="49"/>
  <c r="F184" i="49"/>
  <c r="F65" i="49"/>
  <c r="F156" i="49"/>
  <c r="F238" i="49"/>
  <c r="F155" i="49"/>
  <c r="F99" i="49"/>
  <c r="F247" i="49"/>
  <c r="F211" i="49"/>
  <c r="J173" i="13"/>
  <c r="F173" i="49"/>
  <c r="F181" i="49"/>
  <c r="F153" i="49"/>
  <c r="F160" i="49"/>
  <c r="F64" i="49"/>
  <c r="F291" i="49"/>
  <c r="F250" i="49"/>
  <c r="F222" i="49"/>
  <c r="J110" i="13"/>
  <c r="F110" i="49"/>
  <c r="F17" i="49"/>
  <c r="F282" i="49"/>
  <c r="F245" i="49"/>
  <c r="F209" i="49"/>
  <c r="F174" i="49"/>
  <c r="F140" i="49"/>
  <c r="J285" i="13"/>
  <c r="F285" i="49"/>
  <c r="F256" i="49"/>
  <c r="F212" i="49"/>
  <c r="F152" i="49"/>
  <c r="F314" i="49"/>
  <c r="F232" i="49"/>
  <c r="F134" i="49"/>
  <c r="F73" i="49"/>
  <c r="F108" i="49"/>
  <c r="F105" i="49"/>
  <c r="F102" i="49"/>
  <c r="F101" i="49"/>
  <c r="F94" i="49"/>
  <c r="F89" i="49"/>
  <c r="F86" i="49"/>
  <c r="F82" i="49"/>
  <c r="F76" i="49"/>
  <c r="F69" i="49"/>
  <c r="F55" i="49"/>
  <c r="J53" i="13"/>
  <c r="F53" i="49"/>
  <c r="J45" i="13"/>
  <c r="F45" i="49"/>
  <c r="F44" i="49"/>
  <c r="F43" i="49"/>
  <c r="F42" i="49"/>
  <c r="F41" i="49"/>
  <c r="F36" i="49"/>
  <c r="F29" i="49"/>
  <c r="H315" i="49"/>
  <c r="F23" i="49"/>
  <c r="F21" i="49"/>
  <c r="T316" i="19"/>
  <c r="T318" i="19" s="1"/>
  <c r="G206" i="49"/>
  <c r="G32" i="49"/>
  <c r="G172" i="49"/>
  <c r="G35" i="49"/>
  <c r="G59" i="49"/>
  <c r="G72" i="49"/>
  <c r="G85" i="49"/>
  <c r="G127" i="49"/>
  <c r="G207" i="49"/>
  <c r="G126" i="49"/>
  <c r="G56" i="49"/>
  <c r="G280" i="49"/>
  <c r="G231" i="49"/>
  <c r="G276" i="49"/>
  <c r="G230" i="49"/>
  <c r="G195" i="49"/>
  <c r="G176" i="49"/>
  <c r="G48" i="49"/>
  <c r="G235" i="49"/>
  <c r="G11" i="49"/>
  <c r="G143" i="49"/>
  <c r="G175" i="49"/>
  <c r="G157" i="49"/>
  <c r="G223" i="49"/>
  <c r="G165" i="49"/>
  <c r="G163" i="49"/>
  <c r="G52" i="49"/>
  <c r="G119" i="49"/>
  <c r="G164" i="49"/>
  <c r="G28" i="49"/>
  <c r="G51" i="49"/>
  <c r="G19" i="49"/>
  <c r="G114" i="49"/>
  <c r="G125" i="49"/>
  <c r="G14" i="49"/>
  <c r="G259" i="49"/>
  <c r="G31" i="49"/>
  <c r="G39" i="49"/>
  <c r="G67" i="49"/>
  <c r="G296" i="49"/>
  <c r="G15" i="49"/>
  <c r="G191" i="49"/>
  <c r="G150" i="49"/>
  <c r="G266" i="49"/>
  <c r="G239" i="49"/>
  <c r="G83" i="49"/>
  <c r="G79" i="49"/>
  <c r="G226" i="49"/>
  <c r="G75" i="49"/>
  <c r="G91" i="49"/>
  <c r="G13" i="49"/>
  <c r="G16" i="49"/>
  <c r="G107" i="49"/>
  <c r="G47" i="49"/>
  <c r="G68" i="49"/>
  <c r="G84" i="49"/>
  <c r="G289" i="49"/>
  <c r="G139" i="49"/>
  <c r="G123" i="49"/>
  <c r="G80" i="49"/>
  <c r="G299" i="49"/>
  <c r="G77" i="49"/>
  <c r="G240" i="49"/>
  <c r="G106" i="49"/>
  <c r="G90" i="49"/>
  <c r="G95" i="49"/>
  <c r="G248" i="49"/>
  <c r="G183" i="49"/>
  <c r="G130" i="49"/>
  <c r="G196" i="49"/>
  <c r="G288" i="49"/>
  <c r="G60" i="49"/>
  <c r="C5" i="9"/>
  <c r="D315" i="25"/>
  <c r="D314" i="33"/>
  <c r="R316" i="19"/>
  <c r="R318" i="19" l="1"/>
  <c r="R320" i="19"/>
  <c r="J170" i="49"/>
  <c r="K170" i="49" s="1"/>
  <c r="L170" i="49" s="1"/>
  <c r="J244" i="49"/>
  <c r="J6" i="49"/>
  <c r="L6" i="49" s="1"/>
  <c r="J219" i="49"/>
  <c r="F325" i="34"/>
  <c r="J128" i="13"/>
  <c r="J46" i="13"/>
  <c r="J199" i="13"/>
  <c r="J112" i="13"/>
  <c r="J124" i="13"/>
  <c r="J158" i="13"/>
  <c r="J275" i="13"/>
  <c r="J9" i="13"/>
  <c r="J65" i="13"/>
  <c r="J228" i="13"/>
  <c r="J208" i="13"/>
  <c r="J50" i="13"/>
  <c r="J145" i="13"/>
  <c r="J8" i="49"/>
  <c r="K8" i="49" s="1"/>
  <c r="J297" i="13"/>
  <c r="C5" i="39"/>
  <c r="G36" i="49"/>
  <c r="J36" i="13"/>
  <c r="G42" i="49"/>
  <c r="J42" i="13"/>
  <c r="G44" i="49"/>
  <c r="G53" i="49"/>
  <c r="G82" i="49"/>
  <c r="G89" i="49"/>
  <c r="J89" i="13"/>
  <c r="G101" i="49"/>
  <c r="G105" i="49"/>
  <c r="G73" i="49"/>
  <c r="J73" i="13"/>
  <c r="G232" i="49"/>
  <c r="G152" i="49"/>
  <c r="G256" i="49"/>
  <c r="G140" i="49"/>
  <c r="J140" i="13"/>
  <c r="G209" i="49"/>
  <c r="J209" i="13"/>
  <c r="G282" i="49"/>
  <c r="G110" i="49"/>
  <c r="G222" i="49"/>
  <c r="G291" i="49"/>
  <c r="J291" i="13"/>
  <c r="G160" i="49"/>
  <c r="J160" i="13"/>
  <c r="G153" i="49"/>
  <c r="J153" i="13"/>
  <c r="G173" i="49"/>
  <c r="G247" i="49"/>
  <c r="J247" i="13"/>
  <c r="G155" i="49"/>
  <c r="J155" i="13"/>
  <c r="G156" i="49"/>
  <c r="G184" i="49"/>
  <c r="J184" i="13"/>
  <c r="G37" i="49"/>
  <c r="G162" i="49"/>
  <c r="G249" i="49"/>
  <c r="G22" i="49"/>
  <c r="G178" i="49"/>
  <c r="G254" i="49"/>
  <c r="G179" i="49"/>
  <c r="G221" i="49"/>
  <c r="J221" i="13"/>
  <c r="G292" i="49"/>
  <c r="G189" i="49"/>
  <c r="G81" i="49"/>
  <c r="G120" i="49"/>
  <c r="G204" i="49"/>
  <c r="G38" i="49"/>
  <c r="G201" i="49"/>
  <c r="G270" i="49"/>
  <c r="G118" i="49"/>
  <c r="G198" i="49"/>
  <c r="J198" i="13"/>
  <c r="G283" i="49"/>
  <c r="G310" i="49"/>
  <c r="G278" i="49"/>
  <c r="J278" i="13"/>
  <c r="G312" i="49"/>
  <c r="J312" i="13"/>
  <c r="G49" i="49"/>
  <c r="J49" i="13"/>
  <c r="G255" i="49"/>
  <c r="G273" i="49"/>
  <c r="J273" i="13"/>
  <c r="G92" i="49"/>
  <c r="J92" i="13"/>
  <c r="G180" i="49"/>
  <c r="J180" i="13"/>
  <c r="G113" i="49"/>
  <c r="J113" i="13"/>
  <c r="G262" i="49"/>
  <c r="G203" i="49"/>
  <c r="J203" i="13"/>
  <c r="G236" i="49"/>
  <c r="G267" i="49"/>
  <c r="J267" i="13"/>
  <c r="G260" i="49"/>
  <c r="J260" i="13"/>
  <c r="G234" i="49"/>
  <c r="G146" i="49"/>
  <c r="J146" i="13"/>
  <c r="G131" i="49"/>
  <c r="G24" i="49"/>
  <c r="G188" i="49"/>
  <c r="J188" i="13"/>
  <c r="G61" i="49"/>
  <c r="J61" i="13"/>
  <c r="G290" i="49"/>
  <c r="J290" i="13"/>
  <c r="G214" i="49"/>
  <c r="J214" i="13"/>
  <c r="G40" i="49"/>
  <c r="G141" i="49"/>
  <c r="G25" i="49"/>
  <c r="J25" i="13"/>
  <c r="G303" i="49"/>
  <c r="G111" i="49"/>
  <c r="G252" i="49"/>
  <c r="J252" i="13"/>
  <c r="G185" i="49"/>
  <c r="J185" i="13"/>
  <c r="G308" i="49"/>
  <c r="J308" i="13"/>
  <c r="G271" i="49"/>
  <c r="G177" i="49"/>
  <c r="J177" i="13"/>
  <c r="G50" i="49"/>
  <c r="G54" i="49"/>
  <c r="G98" i="49"/>
  <c r="J98" i="13"/>
  <c r="G192" i="49"/>
  <c r="J192" i="13"/>
  <c r="G281" i="49"/>
  <c r="J281" i="13"/>
  <c r="G136" i="49"/>
  <c r="J136" i="13"/>
  <c r="G205" i="49"/>
  <c r="J205" i="13"/>
  <c r="G294" i="49"/>
  <c r="J294" i="13"/>
  <c r="G202" i="49"/>
  <c r="J202" i="13"/>
  <c r="G287" i="49"/>
  <c r="J287" i="13"/>
  <c r="G33" i="49"/>
  <c r="J33" i="13"/>
  <c r="G295" i="49"/>
  <c r="J295" i="13"/>
  <c r="G265" i="49"/>
  <c r="J265" i="13"/>
  <c r="G215" i="49"/>
  <c r="G66" i="49"/>
  <c r="J66" i="13"/>
  <c r="G229" i="49"/>
  <c r="J229" i="13"/>
  <c r="G142" i="49"/>
  <c r="J142" i="13"/>
  <c r="G138" i="49"/>
  <c r="J138" i="13"/>
  <c r="G18" i="49"/>
  <c r="J18" i="13"/>
  <c r="G93" i="49"/>
  <c r="J93" i="13"/>
  <c r="G97" i="49"/>
  <c r="J97" i="13"/>
  <c r="G197" i="49"/>
  <c r="G57" i="49"/>
  <c r="J57" i="13"/>
  <c r="G279" i="49"/>
  <c r="J279" i="13"/>
  <c r="G96" i="49"/>
  <c r="G74" i="49"/>
  <c r="J74" i="13"/>
  <c r="G70" i="49"/>
  <c r="G261" i="49"/>
  <c r="J261" i="13"/>
  <c r="G253" i="49"/>
  <c r="J253" i="13"/>
  <c r="G100" i="49"/>
  <c r="J100" i="13"/>
  <c r="G258" i="49"/>
  <c r="J258" i="13"/>
  <c r="G268" i="49"/>
  <c r="J268" i="13"/>
  <c r="G78" i="49"/>
  <c r="J78" i="13"/>
  <c r="G135" i="49"/>
  <c r="J135" i="13"/>
  <c r="G284" i="49"/>
  <c r="J284" i="13"/>
  <c r="G208" i="49"/>
  <c r="G62" i="49"/>
  <c r="G274" i="49"/>
  <c r="G218" i="49"/>
  <c r="G129" i="49"/>
  <c r="J129" i="13"/>
  <c r="G251" i="49"/>
  <c r="J251" i="13"/>
  <c r="G115" i="49"/>
  <c r="J115" i="13"/>
  <c r="J62" i="13"/>
  <c r="J274" i="13"/>
  <c r="J105" i="13"/>
  <c r="J234" i="13"/>
  <c r="J40" i="13"/>
  <c r="J152" i="13"/>
  <c r="J118" i="13"/>
  <c r="G69" i="49"/>
  <c r="J69" i="13"/>
  <c r="J96" i="13"/>
  <c r="J70" i="13"/>
  <c r="J282" i="13"/>
  <c r="J310" i="13"/>
  <c r="G21" i="49"/>
  <c r="J159" i="13"/>
  <c r="C5" i="12"/>
  <c r="F5" i="32"/>
  <c r="J6" i="13"/>
  <c r="J305" i="13"/>
  <c r="J302" i="13"/>
  <c r="C5" i="33"/>
  <c r="J7" i="49"/>
  <c r="L7" i="49" s="1"/>
  <c r="J9" i="49"/>
  <c r="J13" i="49"/>
  <c r="J17" i="49"/>
  <c r="J21" i="49"/>
  <c r="J25" i="49"/>
  <c r="J29" i="49"/>
  <c r="J33" i="49"/>
  <c r="J37" i="49"/>
  <c r="J41" i="49"/>
  <c r="J45" i="49"/>
  <c r="J49" i="49"/>
  <c r="J53" i="49"/>
  <c r="J57" i="49"/>
  <c r="J61" i="49"/>
  <c r="J65" i="49"/>
  <c r="J69" i="49"/>
  <c r="J12" i="49"/>
  <c r="J18" i="49"/>
  <c r="J23" i="49"/>
  <c r="J28" i="49"/>
  <c r="J34" i="49"/>
  <c r="J39" i="49"/>
  <c r="J44" i="49"/>
  <c r="J50" i="49"/>
  <c r="J55" i="49"/>
  <c r="J60" i="49"/>
  <c r="J66" i="49"/>
  <c r="J71" i="49"/>
  <c r="J75" i="49"/>
  <c r="J79" i="49"/>
  <c r="J83" i="49"/>
  <c r="J87" i="49"/>
  <c r="J91" i="49"/>
  <c r="J95" i="49"/>
  <c r="J99" i="49"/>
  <c r="J103" i="49"/>
  <c r="J107" i="49"/>
  <c r="J111" i="49"/>
  <c r="J115" i="49"/>
  <c r="J119" i="49"/>
  <c r="L119" i="49" s="1"/>
  <c r="J123" i="49"/>
  <c r="J127" i="49"/>
  <c r="L127" i="49" s="1"/>
  <c r="J131" i="49"/>
  <c r="L131" i="49" s="1"/>
  <c r="J135" i="49"/>
  <c r="L135" i="49" s="1"/>
  <c r="J139" i="49"/>
  <c r="J143" i="49"/>
  <c r="J147" i="49"/>
  <c r="J151" i="49"/>
  <c r="L151" i="49" s="1"/>
  <c r="J155" i="49"/>
  <c r="L155" i="49" s="1"/>
  <c r="J159" i="49"/>
  <c r="J163" i="49"/>
  <c r="J171" i="49"/>
  <c r="J178" i="49"/>
  <c r="J182" i="49"/>
  <c r="J186" i="49"/>
  <c r="J190" i="49"/>
  <c r="J194" i="49"/>
  <c r="J198" i="49"/>
  <c r="J202" i="49"/>
  <c r="L202" i="49" s="1"/>
  <c r="J206" i="49"/>
  <c r="J210" i="49"/>
  <c r="J214" i="49"/>
  <c r="J218" i="49"/>
  <c r="J221" i="49"/>
  <c r="J225" i="49"/>
  <c r="L225" i="49" s="1"/>
  <c r="J229" i="49"/>
  <c r="J11" i="49"/>
  <c r="J19" i="49"/>
  <c r="J26" i="49"/>
  <c r="J32" i="49"/>
  <c r="J40" i="49"/>
  <c r="J47" i="49"/>
  <c r="J54" i="49"/>
  <c r="J62" i="49"/>
  <c r="J68" i="49"/>
  <c r="J74" i="49"/>
  <c r="J80" i="49"/>
  <c r="J85" i="49"/>
  <c r="J90" i="49"/>
  <c r="J96" i="49"/>
  <c r="J101" i="49"/>
  <c r="J106" i="49"/>
  <c r="J112" i="49"/>
  <c r="L112" i="49" s="1"/>
  <c r="J117" i="49"/>
  <c r="L117" i="49" s="1"/>
  <c r="J122" i="49"/>
  <c r="L122" i="49" s="1"/>
  <c r="J128" i="49"/>
  <c r="L128" i="49" s="1"/>
  <c r="J133" i="49"/>
  <c r="J138" i="49"/>
  <c r="J144" i="49"/>
  <c r="L144" i="49" s="1"/>
  <c r="J149" i="49"/>
  <c r="L149" i="49" s="1"/>
  <c r="J154" i="49"/>
  <c r="L154" i="49" s="1"/>
  <c r="J160" i="49"/>
  <c r="J164" i="49"/>
  <c r="J167" i="49"/>
  <c r="J172" i="49"/>
  <c r="J176" i="49"/>
  <c r="J181" i="49"/>
  <c r="J187" i="49"/>
  <c r="J192" i="49"/>
  <c r="J197" i="49"/>
  <c r="J203" i="49"/>
  <c r="L203" i="49" s="1"/>
  <c r="J208" i="49"/>
  <c r="J213" i="49"/>
  <c r="J223" i="49"/>
  <c r="J228" i="49"/>
  <c r="J233" i="49"/>
  <c r="J236" i="49"/>
  <c r="J238" i="49"/>
  <c r="J242" i="49"/>
  <c r="J247" i="49"/>
  <c r="J251" i="49"/>
  <c r="J255" i="49"/>
  <c r="J259" i="49"/>
  <c r="J263" i="49"/>
  <c r="J267" i="49"/>
  <c r="J271" i="49"/>
  <c r="J275" i="49"/>
  <c r="L275" i="49" s="1"/>
  <c r="J279" i="49"/>
  <c r="L279" i="49" s="1"/>
  <c r="J283" i="49"/>
  <c r="L283" i="49" s="1"/>
  <c r="J287" i="49"/>
  <c r="J291" i="49"/>
  <c r="J295" i="49"/>
  <c r="J298" i="49"/>
  <c r="J302" i="49"/>
  <c r="J306" i="49"/>
  <c r="J310" i="49"/>
  <c r="J314" i="49"/>
  <c r="J10" i="49"/>
  <c r="J20" i="49"/>
  <c r="J30" i="49"/>
  <c r="J38" i="49"/>
  <c r="J48" i="49"/>
  <c r="J58" i="49"/>
  <c r="J67" i="49"/>
  <c r="J76" i="49"/>
  <c r="J82" i="49"/>
  <c r="J89" i="49"/>
  <c r="J97" i="49"/>
  <c r="J104" i="49"/>
  <c r="J110" i="49"/>
  <c r="J118" i="49"/>
  <c r="J125" i="49"/>
  <c r="J132" i="49"/>
  <c r="J140" i="49"/>
  <c r="J146" i="49"/>
  <c r="J153" i="49"/>
  <c r="J161" i="49"/>
  <c r="J177" i="49"/>
  <c r="J184" i="49"/>
  <c r="J191" i="49"/>
  <c r="L191" i="49" s="1"/>
  <c r="J199" i="49"/>
  <c r="J205" i="49"/>
  <c r="J212" i="49"/>
  <c r="J220" i="49"/>
  <c r="J226" i="49"/>
  <c r="J232" i="49"/>
  <c r="J240" i="49"/>
  <c r="J246" i="49"/>
  <c r="J252" i="49"/>
  <c r="J257" i="49"/>
  <c r="J262" i="49"/>
  <c r="J268" i="49"/>
  <c r="J273" i="49"/>
  <c r="J278" i="49"/>
  <c r="L278" i="49" s="1"/>
  <c r="J284" i="49"/>
  <c r="L284" i="49" s="1"/>
  <c r="J289" i="49"/>
  <c r="J294" i="49"/>
  <c r="J299" i="49"/>
  <c r="J304" i="49"/>
  <c r="J309" i="49"/>
  <c r="J14" i="49"/>
  <c r="L14" i="49" s="1"/>
  <c r="J22" i="49"/>
  <c r="J31" i="49"/>
  <c r="J42" i="49"/>
  <c r="J51" i="49"/>
  <c r="J59" i="49"/>
  <c r="J70" i="49"/>
  <c r="J77" i="49"/>
  <c r="J84" i="49"/>
  <c r="J92" i="49"/>
  <c r="J98" i="49"/>
  <c r="J105" i="49"/>
  <c r="J113" i="49"/>
  <c r="J120" i="49"/>
  <c r="L120" i="49" s="1"/>
  <c r="J126" i="49"/>
  <c r="L126" i="49" s="1"/>
  <c r="J134" i="49"/>
  <c r="L134" i="49" s="1"/>
  <c r="J141" i="49"/>
  <c r="J148" i="49"/>
  <c r="J156" i="49"/>
  <c r="L156" i="49" s="1"/>
  <c r="J162" i="49"/>
  <c r="J166" i="49"/>
  <c r="J173" i="49"/>
  <c r="J179" i="49"/>
  <c r="J185" i="49"/>
  <c r="J193" i="49"/>
  <c r="J200" i="49"/>
  <c r="J207" i="49"/>
  <c r="J215" i="49"/>
  <c r="J227" i="49"/>
  <c r="J234" i="49"/>
  <c r="J237" i="49"/>
  <c r="J241" i="49"/>
  <c r="J248" i="49"/>
  <c r="J253" i="49"/>
  <c r="J258" i="49"/>
  <c r="J264" i="49"/>
  <c r="J269" i="49"/>
  <c r="J274" i="49"/>
  <c r="J280" i="49"/>
  <c r="L280" i="49" s="1"/>
  <c r="J285" i="49"/>
  <c r="J290" i="49"/>
  <c r="J296" i="49"/>
  <c r="L296" i="49" s="1"/>
  <c r="J300" i="49"/>
  <c r="J305" i="49"/>
  <c r="L305" i="49" s="1"/>
  <c r="J311" i="49"/>
  <c r="J15" i="49"/>
  <c r="J24" i="49"/>
  <c r="J35" i="49"/>
  <c r="J43" i="49"/>
  <c r="J52" i="49"/>
  <c r="J63" i="49"/>
  <c r="J72" i="49"/>
  <c r="J78" i="49"/>
  <c r="J86" i="49"/>
  <c r="J93" i="49"/>
  <c r="J100" i="49"/>
  <c r="J108" i="49"/>
  <c r="J114" i="49"/>
  <c r="L114" i="49" s="1"/>
  <c r="J121" i="49"/>
  <c r="L121" i="49" s="1"/>
  <c r="J129" i="49"/>
  <c r="L129" i="49" s="1"/>
  <c r="J136" i="49"/>
  <c r="J142" i="49"/>
  <c r="J150" i="49"/>
  <c r="L150" i="49" s="1"/>
  <c r="J157" i="49"/>
  <c r="J168" i="49"/>
  <c r="J174" i="49"/>
  <c r="J180" i="49"/>
  <c r="J188" i="49"/>
  <c r="J195" i="49"/>
  <c r="J201" i="49"/>
  <c r="J209" i="49"/>
  <c r="J216" i="49"/>
  <c r="J222" i="49"/>
  <c r="J230" i="49"/>
  <c r="J243" i="49"/>
  <c r="J249" i="49"/>
  <c r="J254" i="49"/>
  <c r="J260" i="49"/>
  <c r="J265" i="49"/>
  <c r="J270" i="49"/>
  <c r="J276" i="49"/>
  <c r="L276" i="49" s="1"/>
  <c r="J281" i="49"/>
  <c r="L281" i="49" s="1"/>
  <c r="J286" i="49"/>
  <c r="J292" i="49"/>
  <c r="J301" i="49"/>
  <c r="J307" i="49"/>
  <c r="J312" i="49"/>
  <c r="J46" i="49"/>
  <c r="J81" i="49"/>
  <c r="J109" i="49"/>
  <c r="J137" i="49"/>
  <c r="L137" i="49" s="1"/>
  <c r="J165" i="49"/>
  <c r="J189" i="49"/>
  <c r="J217" i="49"/>
  <c r="J239" i="49"/>
  <c r="J261" i="49"/>
  <c r="J282" i="49"/>
  <c r="L282" i="49" s="1"/>
  <c r="J303" i="49"/>
  <c r="J64" i="49"/>
  <c r="J175" i="49"/>
  <c r="J250" i="49"/>
  <c r="J293" i="49"/>
  <c r="J36" i="49"/>
  <c r="J73" i="49"/>
  <c r="J102" i="49"/>
  <c r="J130" i="49"/>
  <c r="L130" i="49" s="1"/>
  <c r="J158" i="49"/>
  <c r="L158" i="49" s="1"/>
  <c r="J183" i="49"/>
  <c r="J211" i="49"/>
  <c r="J235" i="49"/>
  <c r="J256" i="49"/>
  <c r="J277" i="49"/>
  <c r="L277" i="49" s="1"/>
  <c r="J297" i="49"/>
  <c r="J16" i="49"/>
  <c r="J56" i="49"/>
  <c r="J88" i="49"/>
  <c r="J116" i="49"/>
  <c r="J145" i="49"/>
  <c r="J169" i="49"/>
  <c r="J196" i="49"/>
  <c r="J224" i="49"/>
  <c r="L224" i="49" s="1"/>
  <c r="J245" i="49"/>
  <c r="J266" i="49"/>
  <c r="J288" i="49"/>
  <c r="J308" i="49"/>
  <c r="J27" i="49"/>
  <c r="J94" i="49"/>
  <c r="J124" i="49"/>
  <c r="L124" i="49" s="1"/>
  <c r="J152" i="49"/>
  <c r="J204" i="49"/>
  <c r="J231" i="49"/>
  <c r="J272" i="49"/>
  <c r="J313" i="49"/>
  <c r="L313" i="49" s="1"/>
  <c r="J254" i="13"/>
  <c r="J222" i="13"/>
  <c r="J94" i="13"/>
  <c r="J44" i="13"/>
  <c r="J29" i="13"/>
  <c r="G23" i="49"/>
  <c r="G29" i="49"/>
  <c r="G41" i="49"/>
  <c r="J41" i="13"/>
  <c r="G43" i="49"/>
  <c r="G45" i="49"/>
  <c r="G55" i="49"/>
  <c r="G76" i="49"/>
  <c r="J76" i="13"/>
  <c r="G86" i="49"/>
  <c r="J86" i="13"/>
  <c r="G94" i="49"/>
  <c r="G102" i="49"/>
  <c r="J102" i="13"/>
  <c r="G108" i="49"/>
  <c r="J108" i="13"/>
  <c r="G134" i="49"/>
  <c r="J134" i="13"/>
  <c r="G314" i="49"/>
  <c r="G212" i="49"/>
  <c r="J212" i="13"/>
  <c r="G285" i="49"/>
  <c r="G174" i="49"/>
  <c r="J174" i="13"/>
  <c r="G245" i="49"/>
  <c r="J245" i="13"/>
  <c r="G17" i="49"/>
  <c r="J17" i="13"/>
  <c r="G250" i="49"/>
  <c r="J250" i="13"/>
  <c r="G64" i="49"/>
  <c r="J64" i="13"/>
  <c r="G181" i="49"/>
  <c r="J181" i="13"/>
  <c r="G211" i="49"/>
  <c r="J211" i="13"/>
  <c r="G99" i="49"/>
  <c r="J99" i="13"/>
  <c r="G238" i="49"/>
  <c r="J238" i="13"/>
  <c r="G65" i="49"/>
  <c r="G216" i="49"/>
  <c r="J216" i="13"/>
  <c r="G121" i="49"/>
  <c r="G213" i="49"/>
  <c r="J213" i="13"/>
  <c r="G300" i="49"/>
  <c r="G132" i="49"/>
  <c r="J132" i="13"/>
  <c r="G210" i="49"/>
  <c r="G311" i="49"/>
  <c r="J311" i="13"/>
  <c r="G228" i="49"/>
  <c r="G272" i="49"/>
  <c r="G242" i="49"/>
  <c r="G161" i="49"/>
  <c r="J161" i="13"/>
  <c r="G277" i="49"/>
  <c r="G149" i="49"/>
  <c r="J149" i="13"/>
  <c r="G237" i="49"/>
  <c r="G304" i="49"/>
  <c r="J304" i="13"/>
  <c r="G159" i="49"/>
  <c r="G241" i="49"/>
  <c r="J241" i="13"/>
  <c r="G187" i="49"/>
  <c r="J187" i="13"/>
  <c r="G313" i="49"/>
  <c r="J313" i="13"/>
  <c r="G263" i="49"/>
  <c r="J263" i="13"/>
  <c r="G169" i="49"/>
  <c r="J169" i="13"/>
  <c r="G20" i="49"/>
  <c r="J20" i="13"/>
  <c r="G103" i="49"/>
  <c r="J103" i="13"/>
  <c r="G71" i="49"/>
  <c r="J71" i="13"/>
  <c r="G264" i="49"/>
  <c r="G269" i="49"/>
  <c r="G193" i="49"/>
  <c r="J193" i="13"/>
  <c r="G190" i="49"/>
  <c r="J190" i="13"/>
  <c r="G309" i="49"/>
  <c r="J309" i="13"/>
  <c r="G117" i="49"/>
  <c r="J117" i="13"/>
  <c r="G306" i="49"/>
  <c r="J306" i="13"/>
  <c r="G166" i="49"/>
  <c r="J166" i="13"/>
  <c r="G116" i="49"/>
  <c r="G145" i="49"/>
  <c r="G9" i="49"/>
  <c r="G307" i="49"/>
  <c r="J307" i="13"/>
  <c r="G167" i="49"/>
  <c r="G293" i="49"/>
  <c r="J293" i="13"/>
  <c r="G217" i="49"/>
  <c r="G133" i="49"/>
  <c r="J133" i="13"/>
  <c r="G147" i="49"/>
  <c r="J147" i="13"/>
  <c r="G10" i="49"/>
  <c r="G220" i="49"/>
  <c r="J220" i="13"/>
  <c r="G87" i="49"/>
  <c r="J87" i="13"/>
  <c r="G109" i="49"/>
  <c r="J109" i="13"/>
  <c r="G225" i="49"/>
  <c r="J225" i="13"/>
  <c r="G186" i="49"/>
  <c r="J186" i="13"/>
  <c r="G151" i="49"/>
  <c r="J151" i="13"/>
  <c r="G243" i="49"/>
  <c r="J243" i="13"/>
  <c r="G8" i="49"/>
  <c r="J8" i="13"/>
  <c r="G227" i="49"/>
  <c r="G148" i="49"/>
  <c r="J148" i="13"/>
  <c r="G30" i="49"/>
  <c r="J30" i="13"/>
  <c r="G171" i="49"/>
  <c r="J171" i="13"/>
  <c r="G257" i="49"/>
  <c r="J257" i="13"/>
  <c r="G137" i="49"/>
  <c r="J137" i="13"/>
  <c r="G246" i="49"/>
  <c r="G104" i="49"/>
  <c r="J104" i="13"/>
  <c r="G7" i="49"/>
  <c r="G88" i="49"/>
  <c r="J88" i="13"/>
  <c r="G26" i="49"/>
  <c r="G224" i="49"/>
  <c r="J224" i="13"/>
  <c r="G158" i="49"/>
  <c r="G298" i="49"/>
  <c r="G275" i="49"/>
  <c r="G34" i="49"/>
  <c r="G112" i="49"/>
  <c r="G27" i="49"/>
  <c r="G200" i="49"/>
  <c r="J200" i="13"/>
  <c r="G286" i="49"/>
  <c r="J286" i="13"/>
  <c r="G194" i="49"/>
  <c r="G302" i="49"/>
  <c r="G124" i="49"/>
  <c r="G46" i="49"/>
  <c r="G144" i="49"/>
  <c r="J144" i="13"/>
  <c r="G58" i="49"/>
  <c r="G182" i="49"/>
  <c r="J182" i="13"/>
  <c r="G301" i="49"/>
  <c r="G168" i="49"/>
  <c r="J168" i="13"/>
  <c r="G63" i="49"/>
  <c r="J63" i="13"/>
  <c r="G12" i="49"/>
  <c r="J12" i="13"/>
  <c r="G128" i="49"/>
  <c r="G297" i="49"/>
  <c r="G154" i="49"/>
  <c r="G122" i="49"/>
  <c r="G305" i="49"/>
  <c r="G199" i="49"/>
  <c r="G233" i="49"/>
  <c r="J154" i="13"/>
  <c r="J122" i="13"/>
  <c r="J264" i="13"/>
  <c r="J269" i="13"/>
  <c r="J58" i="13"/>
  <c r="J301" i="13"/>
  <c r="J227" i="13"/>
  <c r="J314" i="13"/>
  <c r="J242" i="13"/>
  <c r="J237" i="13"/>
  <c r="J82" i="13"/>
  <c r="J21" i="13"/>
  <c r="J232" i="13"/>
  <c r="J256" i="13"/>
  <c r="J156" i="13"/>
  <c r="J37" i="13"/>
  <c r="J162" i="13"/>
  <c r="J249" i="13"/>
  <c r="J22" i="13"/>
  <c r="J178" i="13"/>
  <c r="J179" i="13"/>
  <c r="J292" i="13"/>
  <c r="J189" i="13"/>
  <c r="J81" i="13"/>
  <c r="J204" i="13"/>
  <c r="J38" i="13"/>
  <c r="J201" i="13"/>
  <c r="J270" i="13"/>
  <c r="J283" i="13"/>
  <c r="J101" i="13"/>
  <c r="J55" i="13"/>
  <c r="J43" i="13"/>
  <c r="J23" i="13"/>
  <c r="F315" i="49"/>
  <c r="J196" i="13"/>
  <c r="J289" i="13"/>
  <c r="J16" i="13"/>
  <c r="J239" i="13"/>
  <c r="J67" i="13"/>
  <c r="J51" i="13"/>
  <c r="J143" i="13"/>
  <c r="J230" i="13"/>
  <c r="J207" i="13"/>
  <c r="J32" i="13"/>
  <c r="J90" i="13"/>
  <c r="J13" i="13"/>
  <c r="J266" i="13"/>
  <c r="J125" i="13"/>
  <c r="J52" i="13"/>
  <c r="U316" i="19"/>
  <c r="J11" i="13"/>
  <c r="J56" i="13"/>
  <c r="J35" i="13"/>
  <c r="J60" i="13"/>
  <c r="J183" i="13"/>
  <c r="J106" i="13"/>
  <c r="J299" i="13"/>
  <c r="J123" i="13"/>
  <c r="J84" i="13"/>
  <c r="J91" i="13"/>
  <c r="J79" i="13"/>
  <c r="J150" i="13"/>
  <c r="J15" i="13"/>
  <c r="J31" i="13"/>
  <c r="J114" i="13"/>
  <c r="J28" i="13"/>
  <c r="J163" i="13"/>
  <c r="J157" i="13"/>
  <c r="J176" i="13"/>
  <c r="J276" i="13"/>
  <c r="J126" i="13"/>
  <c r="J85" i="13"/>
  <c r="J95" i="13"/>
  <c r="J68" i="13"/>
  <c r="J75" i="13"/>
  <c r="J191" i="13"/>
  <c r="J14" i="13"/>
  <c r="J119" i="13"/>
  <c r="J223" i="13"/>
  <c r="J48" i="13"/>
  <c r="J280" i="13"/>
  <c r="J59" i="13"/>
  <c r="J130" i="13"/>
  <c r="J77" i="13"/>
  <c r="J47" i="13"/>
  <c r="J226" i="13"/>
  <c r="J39" i="13"/>
  <c r="J127" i="13"/>
  <c r="J206" i="13"/>
  <c r="J288" i="13"/>
  <c r="J248" i="13"/>
  <c r="J240" i="13"/>
  <c r="J80" i="13"/>
  <c r="J139" i="13"/>
  <c r="J107" i="13"/>
  <c r="J83" i="13"/>
  <c r="J296" i="13"/>
  <c r="J259" i="13"/>
  <c r="J19" i="13"/>
  <c r="J164" i="13"/>
  <c r="J165" i="13"/>
  <c r="J175" i="13"/>
  <c r="J235" i="13"/>
  <c r="J195" i="13"/>
  <c r="J231" i="13"/>
  <c r="J72" i="13"/>
  <c r="J172" i="13"/>
  <c r="F9" i="48" l="1"/>
  <c r="E6" i="25"/>
  <c r="M6" i="49"/>
  <c r="C5" i="11"/>
  <c r="C16" i="34"/>
  <c r="C314" i="39"/>
  <c r="K219" i="49"/>
  <c r="L219" i="49" s="1"/>
  <c r="K244" i="49"/>
  <c r="L244" i="49" s="1"/>
  <c r="J315" i="13"/>
  <c r="E5" i="33"/>
  <c r="D5" i="37" s="1"/>
  <c r="G5" i="32"/>
  <c r="F314" i="32"/>
  <c r="S316" i="19"/>
  <c r="K231" i="49"/>
  <c r="L231" i="49" s="1"/>
  <c r="K266" i="49"/>
  <c r="L266" i="49" s="1"/>
  <c r="K56" i="49"/>
  <c r="L56" i="49" s="1"/>
  <c r="K64" i="49"/>
  <c r="L64" i="49" s="1"/>
  <c r="K254" i="49"/>
  <c r="L254" i="49" s="1"/>
  <c r="K180" i="49"/>
  <c r="L180" i="49" s="1"/>
  <c r="K72" i="49"/>
  <c r="L72" i="49" s="1"/>
  <c r="K35" i="49"/>
  <c r="L35" i="49" s="1"/>
  <c r="K285" i="49"/>
  <c r="L285" i="49" s="1"/>
  <c r="K241" i="49"/>
  <c r="L241" i="49" s="1"/>
  <c r="K193" i="49"/>
  <c r="L193" i="49" s="1"/>
  <c r="K141" i="49"/>
  <c r="L141" i="49" s="1"/>
  <c r="K84" i="49"/>
  <c r="L84" i="49" s="1"/>
  <c r="K51" i="49"/>
  <c r="L51" i="49" s="1"/>
  <c r="K294" i="49"/>
  <c r="L294" i="49" s="1"/>
  <c r="K252" i="49"/>
  <c r="L252" i="49" s="1"/>
  <c r="K232" i="49"/>
  <c r="L232" i="49" s="1"/>
  <c r="K177" i="49"/>
  <c r="L177" i="49" s="1"/>
  <c r="K125" i="49"/>
  <c r="L125" i="49" s="1"/>
  <c r="K67" i="49"/>
  <c r="L67" i="49" s="1"/>
  <c r="K310" i="49"/>
  <c r="L310" i="49" s="1"/>
  <c r="K295" i="49"/>
  <c r="L295" i="49" s="1"/>
  <c r="K263" i="49"/>
  <c r="L263" i="49" s="1"/>
  <c r="K233" i="49"/>
  <c r="L233" i="49" s="1"/>
  <c r="K192" i="49"/>
  <c r="L192" i="49" s="1"/>
  <c r="K172" i="49"/>
  <c r="L172" i="49" s="1"/>
  <c r="K133" i="49"/>
  <c r="L133" i="49" s="1"/>
  <c r="K90" i="49"/>
  <c r="L90" i="49" s="1"/>
  <c r="K40" i="49"/>
  <c r="L40" i="49" s="1"/>
  <c r="K171" i="49"/>
  <c r="L171" i="49" s="1"/>
  <c r="K95" i="49"/>
  <c r="L95" i="49" s="1"/>
  <c r="K79" i="49"/>
  <c r="L79" i="49" s="1"/>
  <c r="K18" i="49"/>
  <c r="L18" i="49" s="1"/>
  <c r="K45" i="49"/>
  <c r="L45" i="49" s="1"/>
  <c r="K13" i="49"/>
  <c r="L13" i="49" s="1"/>
  <c r="K204" i="49"/>
  <c r="L204" i="49" s="1"/>
  <c r="K245" i="49"/>
  <c r="L245" i="49" s="1"/>
  <c r="K16" i="49"/>
  <c r="L16" i="49" s="1"/>
  <c r="K235" i="49"/>
  <c r="L235" i="49" s="1"/>
  <c r="K293" i="49"/>
  <c r="L293" i="49" s="1"/>
  <c r="K217" i="49"/>
  <c r="L217" i="49" s="1"/>
  <c r="K312" i="49"/>
  <c r="L312" i="49" s="1"/>
  <c r="K270" i="49"/>
  <c r="L270" i="49" s="1"/>
  <c r="K249" i="49"/>
  <c r="L249" i="49" s="1"/>
  <c r="K201" i="49"/>
  <c r="L201" i="49" s="1"/>
  <c r="K174" i="49"/>
  <c r="L174" i="49" s="1"/>
  <c r="K63" i="49"/>
  <c r="L63" i="49" s="1"/>
  <c r="K237" i="49"/>
  <c r="L237" i="49" s="1"/>
  <c r="K185" i="49"/>
  <c r="L185" i="49" s="1"/>
  <c r="K77" i="49"/>
  <c r="L77" i="49" s="1"/>
  <c r="K309" i="49"/>
  <c r="L309" i="49" s="1"/>
  <c r="K268" i="49"/>
  <c r="L268" i="49" s="1"/>
  <c r="K226" i="49"/>
  <c r="L226" i="49" s="1"/>
  <c r="K118" i="49"/>
  <c r="L118" i="49" s="1"/>
  <c r="K58" i="49"/>
  <c r="L58" i="49" s="1"/>
  <c r="K306" i="49"/>
  <c r="K242" i="49"/>
  <c r="L242" i="49" s="1"/>
  <c r="K187" i="49"/>
  <c r="L187" i="49" s="1"/>
  <c r="K106" i="49"/>
  <c r="L106" i="49" s="1"/>
  <c r="K62" i="49"/>
  <c r="L62" i="49" s="1"/>
  <c r="K229" i="49"/>
  <c r="L229" i="49" s="1"/>
  <c r="K198" i="49"/>
  <c r="L198" i="49" s="1"/>
  <c r="K182" i="49"/>
  <c r="L182" i="49" s="1"/>
  <c r="K139" i="49"/>
  <c r="L139" i="49" s="1"/>
  <c r="K123" i="49"/>
  <c r="L123" i="49" s="1"/>
  <c r="K107" i="49"/>
  <c r="L107" i="49" s="1"/>
  <c r="K91" i="49"/>
  <c r="L91" i="49" s="1"/>
  <c r="K75" i="49"/>
  <c r="L75" i="49" s="1"/>
  <c r="K55" i="49"/>
  <c r="L55" i="49" s="1"/>
  <c r="K34" i="49"/>
  <c r="L34" i="49" s="1"/>
  <c r="K12" i="49"/>
  <c r="L12" i="49" s="1"/>
  <c r="K57" i="49"/>
  <c r="L57" i="49" s="1"/>
  <c r="K41" i="49"/>
  <c r="L41" i="49" s="1"/>
  <c r="K9" i="49"/>
  <c r="L9" i="49" s="1"/>
  <c r="K272" i="49"/>
  <c r="L272" i="49" s="1"/>
  <c r="K288" i="49"/>
  <c r="L288" i="49" s="1"/>
  <c r="K196" i="49"/>
  <c r="L196" i="49" s="1"/>
  <c r="K88" i="49"/>
  <c r="L88" i="49" s="1"/>
  <c r="K183" i="49"/>
  <c r="L183" i="49" s="1"/>
  <c r="K73" i="49"/>
  <c r="L73" i="49" s="1"/>
  <c r="K175" i="49"/>
  <c r="L175" i="49" s="1"/>
  <c r="K261" i="49"/>
  <c r="L261" i="49" s="1"/>
  <c r="K165" i="49"/>
  <c r="L165" i="49" s="1"/>
  <c r="K46" i="49"/>
  <c r="L46" i="49" s="1"/>
  <c r="K301" i="49"/>
  <c r="L301" i="49" s="1"/>
  <c r="K260" i="49"/>
  <c r="L260" i="49" s="1"/>
  <c r="K216" i="49"/>
  <c r="L216" i="49" s="1"/>
  <c r="K188" i="49"/>
  <c r="L188" i="49" s="1"/>
  <c r="K136" i="49"/>
  <c r="L136" i="49" s="1"/>
  <c r="K108" i="49"/>
  <c r="L108" i="49" s="1"/>
  <c r="K78" i="49"/>
  <c r="L78" i="49" s="1"/>
  <c r="K43" i="49"/>
  <c r="L43" i="49" s="1"/>
  <c r="K311" i="49"/>
  <c r="L311" i="49" s="1"/>
  <c r="K290" i="49"/>
  <c r="L290" i="49" s="1"/>
  <c r="K269" i="49"/>
  <c r="L269" i="49" s="1"/>
  <c r="K248" i="49"/>
  <c r="L248" i="49" s="1"/>
  <c r="K227" i="49"/>
  <c r="L227" i="49" s="1"/>
  <c r="K200" i="49"/>
  <c r="L200" i="49" s="1"/>
  <c r="K173" i="49"/>
  <c r="L173" i="49" s="1"/>
  <c r="K148" i="49"/>
  <c r="L148" i="49" s="1"/>
  <c r="K92" i="49"/>
  <c r="L92" i="49" s="1"/>
  <c r="K59" i="49"/>
  <c r="L59" i="49" s="1"/>
  <c r="K22" i="49"/>
  <c r="L22" i="49" s="1"/>
  <c r="K299" i="49"/>
  <c r="L299" i="49" s="1"/>
  <c r="K257" i="49"/>
  <c r="L257" i="49" s="1"/>
  <c r="K212" i="49"/>
  <c r="L212" i="49" s="1"/>
  <c r="K184" i="49"/>
  <c r="L184" i="49" s="1"/>
  <c r="K161" i="49"/>
  <c r="L161" i="49" s="1"/>
  <c r="K132" i="49"/>
  <c r="L132" i="49" s="1"/>
  <c r="K104" i="49"/>
  <c r="L104" i="49" s="1"/>
  <c r="K76" i="49"/>
  <c r="L76" i="49" s="1"/>
  <c r="K38" i="49"/>
  <c r="L38" i="49" s="1"/>
  <c r="K314" i="49"/>
  <c r="L314" i="49" s="1"/>
  <c r="K298" i="49"/>
  <c r="L298" i="49" s="1"/>
  <c r="K267" i="49"/>
  <c r="L267" i="49" s="1"/>
  <c r="K251" i="49"/>
  <c r="L251" i="49" s="1"/>
  <c r="K236" i="49"/>
  <c r="L236" i="49" s="1"/>
  <c r="K197" i="49"/>
  <c r="L197" i="49" s="1"/>
  <c r="K176" i="49"/>
  <c r="L176" i="49" s="1"/>
  <c r="K160" i="49"/>
  <c r="L160" i="49" s="1"/>
  <c r="K138" i="49"/>
  <c r="L138" i="49" s="1"/>
  <c r="K96" i="49"/>
  <c r="L96" i="49" s="1"/>
  <c r="K74" i="49"/>
  <c r="L74" i="49" s="1"/>
  <c r="K47" i="49"/>
  <c r="L47" i="49" s="1"/>
  <c r="K19" i="49"/>
  <c r="L19" i="49" s="1"/>
  <c r="K221" i="49"/>
  <c r="L221" i="49" s="1"/>
  <c r="K206" i="49"/>
  <c r="L206" i="49" s="1"/>
  <c r="K190" i="49"/>
  <c r="L190" i="49" s="1"/>
  <c r="K163" i="49"/>
  <c r="L163" i="49" s="1"/>
  <c r="K147" i="49"/>
  <c r="L147" i="49" s="1"/>
  <c r="K115" i="49"/>
  <c r="L115" i="49" s="1"/>
  <c r="K99" i="49"/>
  <c r="L99" i="49" s="1"/>
  <c r="K83" i="49"/>
  <c r="L83" i="49" s="1"/>
  <c r="K66" i="49"/>
  <c r="L66" i="49" s="1"/>
  <c r="K44" i="49"/>
  <c r="L44" i="49" s="1"/>
  <c r="K23" i="49"/>
  <c r="L23" i="49" s="1"/>
  <c r="K65" i="49"/>
  <c r="L65" i="49" s="1"/>
  <c r="K49" i="49"/>
  <c r="L49" i="49" s="1"/>
  <c r="K33" i="49"/>
  <c r="L33" i="49" s="1"/>
  <c r="K17" i="49"/>
  <c r="L17" i="49" s="1"/>
  <c r="K94" i="49"/>
  <c r="L94" i="49" s="1"/>
  <c r="K169" i="49"/>
  <c r="L169" i="49" s="1"/>
  <c r="K256" i="49"/>
  <c r="L256" i="49" s="1"/>
  <c r="K36" i="49"/>
  <c r="L36" i="49" s="1"/>
  <c r="K239" i="49"/>
  <c r="L239" i="49" s="1"/>
  <c r="K209" i="49"/>
  <c r="L209" i="49" s="1"/>
  <c r="K157" i="49"/>
  <c r="L157" i="49" s="1"/>
  <c r="K100" i="49"/>
  <c r="L100" i="49" s="1"/>
  <c r="K264" i="49"/>
  <c r="L264" i="49" s="1"/>
  <c r="K166" i="49"/>
  <c r="L166" i="49" s="1"/>
  <c r="K113" i="49"/>
  <c r="L113" i="49" s="1"/>
  <c r="K273" i="49"/>
  <c r="L273" i="49" s="1"/>
  <c r="K205" i="49"/>
  <c r="L205" i="49" s="1"/>
  <c r="K153" i="49"/>
  <c r="L153" i="49" s="1"/>
  <c r="K97" i="49"/>
  <c r="L97" i="49" s="1"/>
  <c r="K30" i="49"/>
  <c r="L30" i="49" s="1"/>
  <c r="K247" i="49"/>
  <c r="L247" i="49" s="1"/>
  <c r="K213" i="49"/>
  <c r="L213" i="49" s="1"/>
  <c r="K68" i="49"/>
  <c r="L68" i="49" s="1"/>
  <c r="K11" i="49"/>
  <c r="L11" i="49" s="1"/>
  <c r="K218" i="49"/>
  <c r="L218" i="49" s="1"/>
  <c r="K186" i="49"/>
  <c r="L186" i="49" s="1"/>
  <c r="K159" i="49"/>
  <c r="L159" i="49" s="1"/>
  <c r="K143" i="49"/>
  <c r="L143" i="49" s="1"/>
  <c r="K111" i="49"/>
  <c r="L111" i="49" s="1"/>
  <c r="K60" i="49"/>
  <c r="L60" i="49" s="1"/>
  <c r="K39" i="49"/>
  <c r="L39" i="49" s="1"/>
  <c r="K61" i="49"/>
  <c r="L61" i="49" s="1"/>
  <c r="K29" i="49"/>
  <c r="L29" i="49" s="1"/>
  <c r="K27" i="49"/>
  <c r="L27" i="49" s="1"/>
  <c r="K145" i="49"/>
  <c r="L145" i="49" s="1"/>
  <c r="L303" i="49"/>
  <c r="K109" i="49"/>
  <c r="L109" i="49" s="1"/>
  <c r="K292" i="49"/>
  <c r="L292" i="49" s="1"/>
  <c r="K230" i="49"/>
  <c r="L230" i="49" s="1"/>
  <c r="K93" i="49"/>
  <c r="L93" i="49" s="1"/>
  <c r="K24" i="49"/>
  <c r="L24" i="49" s="1"/>
  <c r="K300" i="49"/>
  <c r="L300" i="49" s="1"/>
  <c r="K258" i="49"/>
  <c r="L258" i="49" s="1"/>
  <c r="K215" i="49"/>
  <c r="L215" i="49" s="1"/>
  <c r="K162" i="49"/>
  <c r="L162" i="49" s="1"/>
  <c r="K105" i="49"/>
  <c r="L105" i="49" s="1"/>
  <c r="K42" i="49"/>
  <c r="L42" i="49" s="1"/>
  <c r="K289" i="49"/>
  <c r="L289" i="49" s="1"/>
  <c r="K246" i="49"/>
  <c r="L246" i="49" s="1"/>
  <c r="K199" i="49"/>
  <c r="L199" i="49" s="1"/>
  <c r="K146" i="49"/>
  <c r="L146" i="49" s="1"/>
  <c r="K89" i="49"/>
  <c r="L89" i="49" s="1"/>
  <c r="K20" i="49"/>
  <c r="L20" i="49" s="1"/>
  <c r="K291" i="49"/>
  <c r="K259" i="49"/>
  <c r="L259" i="49" s="1"/>
  <c r="K228" i="49"/>
  <c r="L228" i="49" s="1"/>
  <c r="K208" i="49"/>
  <c r="L208" i="49" s="1"/>
  <c r="K167" i="49"/>
  <c r="L167" i="49" s="1"/>
  <c r="K85" i="49"/>
  <c r="L85" i="49" s="1"/>
  <c r="K32" i="49"/>
  <c r="L32" i="49" s="1"/>
  <c r="K214" i="49"/>
  <c r="L214" i="49" s="1"/>
  <c r="K25" i="49"/>
  <c r="L25" i="49" s="1"/>
  <c r="K152" i="49"/>
  <c r="L152" i="49" s="1"/>
  <c r="K308" i="49"/>
  <c r="L308" i="49" s="1"/>
  <c r="K116" i="49"/>
  <c r="L116" i="49" s="1"/>
  <c r="K297" i="49"/>
  <c r="K211" i="49"/>
  <c r="L211" i="49" s="1"/>
  <c r="K102" i="49"/>
  <c r="L102" i="49" s="1"/>
  <c r="K250" i="49"/>
  <c r="L250" i="49" s="1"/>
  <c r="K189" i="49"/>
  <c r="L189" i="49" s="1"/>
  <c r="K81" i="49"/>
  <c r="L81" i="49" s="1"/>
  <c r="K307" i="49"/>
  <c r="K286" i="49"/>
  <c r="L286" i="49" s="1"/>
  <c r="K265" i="49"/>
  <c r="L265" i="49" s="1"/>
  <c r="K243" i="49"/>
  <c r="L243" i="49" s="1"/>
  <c r="K222" i="49"/>
  <c r="L222" i="49" s="1"/>
  <c r="K195" i="49"/>
  <c r="L195" i="49" s="1"/>
  <c r="K168" i="49"/>
  <c r="L168" i="49" s="1"/>
  <c r="K142" i="49"/>
  <c r="L142" i="49" s="1"/>
  <c r="K86" i="49"/>
  <c r="L86" i="49" s="1"/>
  <c r="K52" i="49"/>
  <c r="L52" i="49" s="1"/>
  <c r="K15" i="49"/>
  <c r="L15" i="49" s="1"/>
  <c r="K274" i="49"/>
  <c r="L274" i="49" s="1"/>
  <c r="K253" i="49"/>
  <c r="L253" i="49" s="1"/>
  <c r="K234" i="49"/>
  <c r="L234" i="49" s="1"/>
  <c r="K207" i="49"/>
  <c r="L207" i="49" s="1"/>
  <c r="K179" i="49"/>
  <c r="L179" i="49" s="1"/>
  <c r="K98" i="49"/>
  <c r="L98" i="49" s="1"/>
  <c r="K70" i="49"/>
  <c r="L70" i="49" s="1"/>
  <c r="K31" i="49"/>
  <c r="L31" i="49" s="1"/>
  <c r="K304" i="49"/>
  <c r="L304" i="49" s="1"/>
  <c r="K262" i="49"/>
  <c r="L262" i="49" s="1"/>
  <c r="K240" i="49"/>
  <c r="L240" i="49" s="1"/>
  <c r="K220" i="49"/>
  <c r="L220" i="49" s="1"/>
  <c r="K140" i="49"/>
  <c r="L140" i="49" s="1"/>
  <c r="K110" i="49"/>
  <c r="L110" i="49" s="1"/>
  <c r="K82" i="49"/>
  <c r="L82" i="49" s="1"/>
  <c r="K48" i="49"/>
  <c r="L48" i="49" s="1"/>
  <c r="K10" i="49"/>
  <c r="L10" i="49" s="1"/>
  <c r="K302" i="49"/>
  <c r="L302" i="49" s="1"/>
  <c r="K287" i="49"/>
  <c r="K271" i="49"/>
  <c r="L271" i="49" s="1"/>
  <c r="K255" i="49"/>
  <c r="L255" i="49" s="1"/>
  <c r="K238" i="49"/>
  <c r="L238" i="49" s="1"/>
  <c r="K223" i="49"/>
  <c r="L223" i="49" s="1"/>
  <c r="K181" i="49"/>
  <c r="L181" i="49" s="1"/>
  <c r="K164" i="49"/>
  <c r="L164" i="49" s="1"/>
  <c r="K101" i="49"/>
  <c r="L101" i="49" s="1"/>
  <c r="K80" i="49"/>
  <c r="L80" i="49" s="1"/>
  <c r="K54" i="49"/>
  <c r="L54" i="49" s="1"/>
  <c r="K26" i="49"/>
  <c r="L26" i="49" s="1"/>
  <c r="K210" i="49"/>
  <c r="L210" i="49" s="1"/>
  <c r="K194" i="49"/>
  <c r="L194" i="49" s="1"/>
  <c r="K178" i="49"/>
  <c r="L178" i="49" s="1"/>
  <c r="K103" i="49"/>
  <c r="L103" i="49" s="1"/>
  <c r="K87" i="49"/>
  <c r="L87" i="49" s="1"/>
  <c r="K71" i="49"/>
  <c r="L71" i="49" s="1"/>
  <c r="K50" i="49"/>
  <c r="L50" i="49" s="1"/>
  <c r="K28" i="49"/>
  <c r="L28" i="49" s="1"/>
  <c r="K69" i="49"/>
  <c r="L69" i="49" s="1"/>
  <c r="K53" i="49"/>
  <c r="L53" i="49" s="1"/>
  <c r="K37" i="49"/>
  <c r="L37" i="49" s="1"/>
  <c r="K21" i="49"/>
  <c r="L21" i="49" s="1"/>
  <c r="J315" i="49"/>
  <c r="G315" i="49"/>
  <c r="C314" i="12"/>
  <c r="L315" i="13" l="1"/>
  <c r="L291" i="49"/>
  <c r="L287" i="49"/>
  <c r="L297" i="49"/>
  <c r="L307" i="49"/>
  <c r="L306" i="49"/>
  <c r="E47" i="48"/>
  <c r="L8" i="49"/>
  <c r="K315" i="49"/>
  <c r="N315" i="49" s="1"/>
  <c r="G314" i="37"/>
  <c r="G314" i="32"/>
  <c r="C314" i="33"/>
  <c r="H29" i="37" l="1"/>
  <c r="H38" i="37"/>
  <c r="H41" i="37"/>
  <c r="H63" i="37"/>
  <c r="H7" i="37"/>
  <c r="H20" i="37"/>
  <c r="H45" i="37"/>
  <c r="H54" i="37"/>
  <c r="H57" i="37"/>
  <c r="H14" i="37"/>
  <c r="H17" i="37"/>
  <c r="H23" i="37"/>
  <c r="H36" i="37"/>
  <c r="H61" i="37"/>
  <c r="H30" i="37"/>
  <c r="H33" i="37"/>
  <c r="H39" i="37"/>
  <c r="H52" i="37"/>
  <c r="H21" i="37"/>
  <c r="H46" i="37"/>
  <c r="H49" i="37"/>
  <c r="H55" i="37"/>
  <c r="H68" i="37"/>
  <c r="H15" i="37"/>
  <c r="H37" i="37"/>
  <c r="H62" i="37"/>
  <c r="H65" i="37"/>
  <c r="H6" i="37"/>
  <c r="H9" i="37"/>
  <c r="H31" i="37"/>
  <c r="H53" i="37"/>
  <c r="H47" i="37"/>
  <c r="H70" i="37"/>
  <c r="H73" i="37"/>
  <c r="H95" i="37"/>
  <c r="H111" i="37"/>
  <c r="H134" i="37"/>
  <c r="H137" i="37"/>
  <c r="H150" i="37"/>
  <c r="H153" i="37"/>
  <c r="H189" i="37"/>
  <c r="H205" i="37"/>
  <c r="H221" i="37"/>
  <c r="H237" i="37"/>
  <c r="H253" i="37"/>
  <c r="H256" i="37"/>
  <c r="H272" i="37"/>
  <c r="H285" i="37"/>
  <c r="H288" i="37"/>
  <c r="H294" i="37"/>
  <c r="H13" i="37"/>
  <c r="H77" i="37"/>
  <c r="H86" i="37"/>
  <c r="H89" i="37"/>
  <c r="H102" i="37"/>
  <c r="H105" i="37"/>
  <c r="H118" i="37"/>
  <c r="H121" i="37"/>
  <c r="H141" i="37"/>
  <c r="H157" i="37"/>
  <c r="H183" i="37"/>
  <c r="H199" i="37"/>
  <c r="H215" i="37"/>
  <c r="H231" i="37"/>
  <c r="H247" i="37"/>
  <c r="H266" i="37"/>
  <c r="H282" i="37"/>
  <c r="H93" i="37"/>
  <c r="H109" i="37"/>
  <c r="H125" i="37"/>
  <c r="H167" i="37"/>
  <c r="H174" i="37"/>
  <c r="H177" i="37"/>
  <c r="H193" i="37"/>
  <c r="H209" i="37"/>
  <c r="H225" i="37"/>
  <c r="H241" i="37"/>
  <c r="H260" i="37"/>
  <c r="H276" i="37"/>
  <c r="H292" i="37"/>
  <c r="H298" i="37"/>
  <c r="H301" i="37"/>
  <c r="H304" i="37"/>
  <c r="H310" i="37"/>
  <c r="H25" i="37"/>
  <c r="H71" i="37"/>
  <c r="H84" i="37"/>
  <c r="H135" i="37"/>
  <c r="H151" i="37"/>
  <c r="H187" i="37"/>
  <c r="H203" i="37"/>
  <c r="H219" i="37"/>
  <c r="H235" i="37"/>
  <c r="H251" i="37"/>
  <c r="H254" i="37"/>
  <c r="H270" i="37"/>
  <c r="H286" i="37"/>
  <c r="H69" i="37"/>
  <c r="H94" i="37"/>
  <c r="H97" i="37"/>
  <c r="H110" i="37"/>
  <c r="H113" i="37"/>
  <c r="H133" i="37"/>
  <c r="H149" i="37"/>
  <c r="H165" i="37"/>
  <c r="H175" i="37"/>
  <c r="H191" i="37"/>
  <c r="H207" i="37"/>
  <c r="H223" i="37"/>
  <c r="H239" i="37"/>
  <c r="H258" i="37"/>
  <c r="H274" i="37"/>
  <c r="H290" i="37"/>
  <c r="H293" i="37"/>
  <c r="H296" i="37"/>
  <c r="H302" i="37"/>
  <c r="H201" i="37"/>
  <c r="H227" i="37"/>
  <c r="H245" i="37"/>
  <c r="H87" i="37"/>
  <c r="H143" i="37"/>
  <c r="H158" i="37"/>
  <c r="H161" i="37"/>
  <c r="H249" i="37"/>
  <c r="H264" i="37"/>
  <c r="H312" i="37"/>
  <c r="H22" i="37"/>
  <c r="H169" i="37"/>
  <c r="H195" i="37"/>
  <c r="H213" i="37"/>
  <c r="H268" i="37"/>
  <c r="H306" i="37"/>
  <c r="H309" i="37"/>
  <c r="H119" i="37"/>
  <c r="H185" i="37"/>
  <c r="H211" i="37"/>
  <c r="H229" i="37"/>
  <c r="H300" i="37"/>
  <c r="H79" i="37"/>
  <c r="H116" i="37"/>
  <c r="H127" i="37"/>
  <c r="H142" i="37"/>
  <c r="H145" i="37"/>
  <c r="H233" i="37"/>
  <c r="H78" i="37"/>
  <c r="H85" i="37"/>
  <c r="H159" i="37"/>
  <c r="H217" i="37"/>
  <c r="H129" i="37"/>
  <c r="H179" i="37"/>
  <c r="H280" i="37"/>
  <c r="H308" i="37"/>
  <c r="H243" i="37"/>
  <c r="H278" i="37"/>
  <c r="H262" i="37"/>
  <c r="H103" i="37"/>
  <c r="H181" i="37"/>
  <c r="H81" i="37"/>
  <c r="H100" i="37"/>
  <c r="H197" i="37"/>
  <c r="H166" i="37"/>
  <c r="H124" i="37"/>
  <c r="H182" i="37"/>
  <c r="H104" i="37"/>
  <c r="H246" i="37"/>
  <c r="H114" i="37"/>
  <c r="H275" i="37"/>
  <c r="H220" i="37"/>
  <c r="H91" i="37"/>
  <c r="H184" i="37"/>
  <c r="H273" i="37"/>
  <c r="H148" i="37"/>
  <c r="H307" i="37"/>
  <c r="H162" i="37"/>
  <c r="H277" i="37"/>
  <c r="H120" i="37"/>
  <c r="H82" i="37"/>
  <c r="H210" i="37"/>
  <c r="H242" i="37"/>
  <c r="H204" i="37"/>
  <c r="H72" i="37"/>
  <c r="H171" i="37"/>
  <c r="H257" i="37"/>
  <c r="H138" i="37"/>
  <c r="H279" i="37"/>
  <c r="H160" i="37"/>
  <c r="H269" i="37"/>
  <c r="H131" i="37"/>
  <c r="H43" i="37"/>
  <c r="H11" i="37"/>
  <c r="H92" i="37"/>
  <c r="H265" i="37"/>
  <c r="H126" i="37"/>
  <c r="H16" i="37"/>
  <c r="H173" i="37"/>
  <c r="H176" i="37"/>
  <c r="H287" i="37"/>
  <c r="H188" i="37"/>
  <c r="H283" i="37"/>
  <c r="H122" i="37"/>
  <c r="H238" i="37"/>
  <c r="H132" i="37"/>
  <c r="H263" i="37"/>
  <c r="H98" i="37"/>
  <c r="H156" i="37"/>
  <c r="H297" i="37"/>
  <c r="H226" i="37"/>
  <c r="H224" i="37"/>
  <c r="H255" i="37"/>
  <c r="H136" i="37"/>
  <c r="H232" i="37"/>
  <c r="H190" i="37"/>
  <c r="H74" i="37"/>
  <c r="H212" i="37"/>
  <c r="H99" i="37"/>
  <c r="H202" i="37"/>
  <c r="H19" i="37"/>
  <c r="H27" i="37"/>
  <c r="H51" i="37"/>
  <c r="H240" i="37"/>
  <c r="H192" i="37"/>
  <c r="H75" i="37"/>
  <c r="H303" i="37"/>
  <c r="H281" i="37"/>
  <c r="H130" i="37"/>
  <c r="H299" i="37"/>
  <c r="H198" i="37"/>
  <c r="H252" i="37"/>
  <c r="H123" i="37"/>
  <c r="H216" i="37"/>
  <c r="H295" i="37"/>
  <c r="H164" i="37"/>
  <c r="H196" i="37"/>
  <c r="H80" i="37"/>
  <c r="H186" i="37"/>
  <c r="H59" i="37"/>
  <c r="H8" i="37"/>
  <c r="H32" i="37"/>
  <c r="H178" i="37"/>
  <c r="H230" i="37"/>
  <c r="H35" i="37"/>
  <c r="H271" i="37"/>
  <c r="H267" i="37"/>
  <c r="H289" i="37"/>
  <c r="H228" i="37"/>
  <c r="H250" i="37"/>
  <c r="H40" i="37"/>
  <c r="H48" i="37"/>
  <c r="H88" i="37"/>
  <c r="H168" i="37"/>
  <c r="H194" i="37"/>
  <c r="H311" i="37"/>
  <c r="H236" i="37"/>
  <c r="H248" i="37"/>
  <c r="H222" i="37"/>
  <c r="H180" i="37"/>
  <c r="H234" i="37"/>
  <c r="H34" i="37"/>
  <c r="H26" i="37"/>
  <c r="H208" i="37"/>
  <c r="H259" i="37"/>
  <c r="H172" i="37"/>
  <c r="H200" i="37"/>
  <c r="H206" i="37"/>
  <c r="H170" i="37"/>
  <c r="H218" i="37"/>
  <c r="H24" i="37"/>
  <c r="H10" i="37"/>
  <c r="H305" i="37"/>
  <c r="H108" i="37"/>
  <c r="H152" i="37"/>
  <c r="H106" i="37"/>
  <c r="H154" i="37"/>
  <c r="H144" i="37"/>
  <c r="H163" i="37"/>
  <c r="H18" i="37"/>
  <c r="H291" i="37"/>
  <c r="H261" i="37"/>
  <c r="H146" i="37"/>
  <c r="H107" i="37"/>
  <c r="H90" i="37"/>
  <c r="H112" i="37"/>
  <c r="H128" i="37"/>
  <c r="H147" i="37"/>
  <c r="H58" i="37"/>
  <c r="H66" i="37"/>
  <c r="H140" i="37"/>
  <c r="H96" i="37"/>
  <c r="H115" i="37"/>
  <c r="H83" i="37"/>
  <c r="H64" i="37"/>
  <c r="H139" i="37"/>
  <c r="H313" i="37"/>
  <c r="H56" i="37"/>
  <c r="H42" i="37"/>
  <c r="H67" i="37"/>
  <c r="H284" i="37"/>
  <c r="H214" i="37"/>
  <c r="H244" i="37"/>
  <c r="H60" i="37"/>
  <c r="H50" i="37"/>
  <c r="H28" i="37"/>
  <c r="H76" i="37"/>
  <c r="H44" i="37"/>
  <c r="H12" i="37"/>
  <c r="H155" i="37"/>
  <c r="H117" i="37"/>
  <c r="H101" i="37"/>
  <c r="G40" i="40"/>
  <c r="E4" i="9"/>
  <c r="E314" i="33"/>
  <c r="D314" i="37" s="1"/>
  <c r="B60" i="40"/>
  <c r="L315" i="49"/>
  <c r="H314" i="37"/>
  <c r="H5" i="37"/>
  <c r="G2" i="33" l="1"/>
  <c r="I2" i="33"/>
  <c r="F5" i="33"/>
  <c r="K2" i="33"/>
  <c r="H2" i="33"/>
  <c r="J2" i="33"/>
  <c r="J99" i="33" s="1"/>
  <c r="J70" i="33"/>
  <c r="J91" i="33"/>
  <c r="J123" i="33"/>
  <c r="J89" i="33"/>
  <c r="J95" i="33"/>
  <c r="J103" i="33"/>
  <c r="J93" i="33"/>
  <c r="J101" i="33"/>
  <c r="J147" i="33"/>
  <c r="J151" i="33"/>
  <c r="J162" i="33"/>
  <c r="J226" i="33"/>
  <c r="J234" i="33"/>
  <c r="J242" i="33"/>
  <c r="J202" i="33"/>
  <c r="J270" i="33"/>
  <c r="J299" i="33"/>
  <c r="J278" i="33"/>
  <c r="J262" i="33"/>
  <c r="J313" i="33"/>
  <c r="J250" i="33"/>
  <c r="J279" i="33"/>
  <c r="J281" i="33"/>
  <c r="J283" i="33"/>
  <c r="J285" i="33"/>
  <c r="J287" i="33"/>
  <c r="J289" i="33"/>
  <c r="J291" i="33"/>
  <c r="J293" i="33"/>
  <c r="J295" i="33"/>
  <c r="J303" i="33"/>
  <c r="J311" i="33"/>
  <c r="J228" i="33"/>
  <c r="J277" i="33"/>
  <c r="J301" i="33"/>
  <c r="J204" i="33"/>
  <c r="J269" i="33"/>
  <c r="J207" i="33"/>
  <c r="J182" i="33"/>
  <c r="J245" i="33"/>
  <c r="J190" i="33"/>
  <c r="J265" i="33"/>
  <c r="J261" i="33"/>
  <c r="J272" i="33"/>
  <c r="J191" i="33"/>
  <c r="J222" i="33"/>
  <c r="J180" i="33"/>
  <c r="J128" i="33"/>
  <c r="J206" i="33"/>
  <c r="J232" i="33"/>
  <c r="J246" i="33"/>
  <c r="J254" i="33"/>
  <c r="J171" i="33"/>
  <c r="J212" i="33"/>
  <c r="J181" i="33"/>
  <c r="J187" i="33"/>
  <c r="J98" i="33"/>
  <c r="J238" i="33"/>
  <c r="J218" i="33"/>
  <c r="J94" i="33"/>
  <c r="J178" i="33"/>
  <c r="J258" i="33"/>
  <c r="J248" i="33"/>
  <c r="J264" i="33"/>
  <c r="J252" i="33"/>
  <c r="J276" i="33"/>
  <c r="J208" i="33"/>
  <c r="J298" i="33"/>
  <c r="J240" i="33"/>
  <c r="J243" i="33"/>
  <c r="J309" i="33"/>
  <c r="J173" i="33"/>
  <c r="J297" i="33"/>
  <c r="J305" i="33"/>
  <c r="J249" i="33"/>
  <c r="J235" i="33"/>
  <c r="J219" i="33"/>
  <c r="J308" i="33"/>
  <c r="J260" i="33"/>
  <c r="J274" i="33"/>
  <c r="J257" i="33"/>
  <c r="J233" i="33"/>
  <c r="J138" i="33"/>
  <c r="J169" i="33"/>
  <c r="J158" i="33"/>
  <c r="J140" i="33"/>
  <c r="J215" i="33"/>
  <c r="J179" i="33"/>
  <c r="J307" i="33"/>
  <c r="J241" i="33"/>
  <c r="J256" i="33"/>
  <c r="J195" i="33"/>
  <c r="J163" i="33"/>
  <c r="J153" i="33"/>
  <c r="J216" i="33"/>
  <c r="J273" i="33"/>
  <c r="J268" i="33"/>
  <c r="J266" i="33"/>
  <c r="J210" i="33"/>
  <c r="J306" i="33"/>
  <c r="J253" i="33"/>
  <c r="J227" i="33"/>
  <c r="J165" i="33"/>
  <c r="J167" i="33"/>
  <c r="J144" i="33"/>
  <c r="J137" i="33"/>
  <c r="J148" i="33"/>
  <c r="J100" i="33"/>
  <c r="J83" i="33"/>
  <c r="J13" i="33"/>
  <c r="J8" i="33"/>
  <c r="J11" i="33"/>
  <c r="J28" i="33"/>
  <c r="J56" i="33"/>
  <c r="J129" i="33"/>
  <c r="J46" i="33"/>
  <c r="J12" i="33"/>
  <c r="J17" i="33"/>
  <c r="J49" i="33"/>
  <c r="J149" i="33"/>
  <c r="J198" i="33"/>
  <c r="J211" i="33"/>
  <c r="J120" i="33"/>
  <c r="J145" i="33"/>
  <c r="J112" i="33"/>
  <c r="J121" i="33"/>
  <c r="J108" i="33"/>
  <c r="J127" i="33"/>
  <c r="J62" i="33"/>
  <c r="J225" i="33"/>
  <c r="J237" i="33"/>
  <c r="J199" i="33"/>
  <c r="J175" i="33"/>
  <c r="J154" i="33"/>
  <c r="J126" i="33"/>
  <c r="J75" i="33"/>
  <c r="J92" i="33"/>
  <c r="J115" i="33"/>
  <c r="J74" i="33"/>
  <c r="J55" i="33"/>
  <c r="J48" i="33"/>
  <c r="J36" i="33"/>
  <c r="J161" i="33"/>
  <c r="J229" i="33"/>
  <c r="J146" i="33"/>
  <c r="J141" i="33"/>
  <c r="J122" i="33"/>
  <c r="J53" i="33"/>
  <c r="J96" i="33"/>
  <c r="J111" i="33"/>
  <c r="J63" i="33"/>
  <c r="J116" i="33"/>
  <c r="J6" i="33"/>
  <c r="J106" i="33"/>
  <c r="J102" i="33"/>
  <c r="J107" i="33"/>
  <c r="J71" i="33"/>
  <c r="J67" i="33"/>
  <c r="J42" i="33"/>
  <c r="J50" i="33"/>
  <c r="J40" i="33"/>
  <c r="J61" i="33"/>
  <c r="J16" i="33"/>
  <c r="J203" i="33"/>
  <c r="J66" i="33"/>
  <c r="J84" i="33"/>
  <c r="J230" i="33"/>
  <c r="J142" i="33"/>
  <c r="J139" i="33"/>
  <c r="J79" i="33"/>
  <c r="J51" i="33"/>
  <c r="J9" i="33"/>
  <c r="J34" i="33"/>
  <c r="J30" i="33"/>
  <c r="J26" i="33"/>
  <c r="J22" i="33"/>
  <c r="J10" i="33"/>
  <c r="J54" i="33"/>
  <c r="J135" i="33"/>
  <c r="J86" i="33"/>
  <c r="J7" i="33"/>
  <c r="J223" i="33"/>
  <c r="J90" i="33"/>
  <c r="J124" i="33"/>
  <c r="J85" i="33"/>
  <c r="J38" i="33"/>
  <c r="J24" i="33"/>
  <c r="J18" i="33"/>
  <c r="J15" i="33"/>
  <c r="J134" i="33"/>
  <c r="J224" i="33"/>
  <c r="J136" i="33"/>
  <c r="J82" i="33"/>
  <c r="J104" i="33"/>
  <c r="J60" i="33"/>
  <c r="J57" i="33"/>
  <c r="J52" i="33"/>
  <c r="J32" i="33"/>
  <c r="J20" i="33"/>
  <c r="J14" i="33"/>
  <c r="J183" i="33"/>
  <c r="J113" i="33"/>
  <c r="J131" i="33"/>
  <c r="J59" i="33"/>
  <c r="J44" i="33"/>
  <c r="J76" i="33"/>
  <c r="J33" i="33"/>
  <c r="J21" i="33"/>
  <c r="J244" i="33"/>
  <c r="J73" i="33"/>
  <c r="J19" i="33"/>
  <c r="J166" i="33"/>
  <c r="J43" i="33"/>
  <c r="J77" i="33"/>
  <c r="J150" i="33"/>
  <c r="J172" i="33"/>
  <c r="J201" i="33"/>
  <c r="J247" i="33"/>
  <c r="J280" i="33"/>
  <c r="J288" i="33"/>
  <c r="J170" i="33"/>
  <c r="J156" i="33"/>
  <c r="J200" i="33"/>
  <c r="J80" i="33"/>
  <c r="J152" i="33"/>
  <c r="J69" i="33"/>
  <c r="J304" i="33"/>
  <c r="J205" i="33"/>
  <c r="J110" i="33"/>
  <c r="J23" i="33"/>
  <c r="J39" i="33"/>
  <c r="J41" i="33"/>
  <c r="J47" i="33"/>
  <c r="J271" i="33"/>
  <c r="J282" i="33"/>
  <c r="J184" i="33"/>
  <c r="J192" i="33"/>
  <c r="J214" i="33"/>
  <c r="J132" i="33"/>
  <c r="J177" i="33"/>
  <c r="J31" i="33"/>
  <c r="J239" i="33"/>
  <c r="J37" i="33"/>
  <c r="J118" i="33"/>
  <c r="J35" i="33"/>
  <c r="J217" i="33"/>
  <c r="J45" i="33"/>
  <c r="J68" i="33"/>
  <c r="J220" i="33"/>
  <c r="J290" i="33"/>
  <c r="J275" i="33"/>
  <c r="J310" i="33"/>
  <c r="J197" i="33"/>
  <c r="J251" i="33"/>
  <c r="J130" i="33"/>
  <c r="J189" i="33"/>
  <c r="J88" i="33"/>
  <c r="J119" i="33"/>
  <c r="J64" i="33"/>
  <c r="J58" i="33"/>
  <c r="J312" i="33"/>
  <c r="J300" i="33"/>
  <c r="J185" i="33"/>
  <c r="J25" i="33"/>
  <c r="J174" i="33"/>
  <c r="J65" i="33"/>
  <c r="J29" i="33"/>
  <c r="J193" i="33"/>
  <c r="J27" i="33"/>
  <c r="J114" i="33"/>
  <c r="J81" i="33"/>
  <c r="J87" i="33"/>
  <c r="J160" i="33"/>
  <c r="J255" i="33"/>
  <c r="J209" i="33"/>
  <c r="J296" i="33"/>
  <c r="J213" i="33"/>
  <c r="J259" i="33"/>
  <c r="J221" i="33"/>
  <c r="J292" i="33"/>
  <c r="J196" i="33"/>
  <c r="J236" i="33"/>
  <c r="J263" i="33"/>
  <c r="J286" i="33"/>
  <c r="J294" i="33"/>
  <c r="J159" i="33"/>
  <c r="J231" i="33"/>
  <c r="J72" i="33"/>
  <c r="J267" i="33"/>
  <c r="J188" i="33"/>
  <c r="J164" i="33"/>
  <c r="J284" i="33"/>
  <c r="J302" i="33"/>
  <c r="J168" i="33"/>
  <c r="J155" i="33"/>
  <c r="G51" i="33"/>
  <c r="G55" i="33"/>
  <c r="G54" i="33"/>
  <c r="G71" i="33"/>
  <c r="G109" i="33"/>
  <c r="G123" i="33"/>
  <c r="G97" i="33"/>
  <c r="G105" i="33"/>
  <c r="G124" i="33"/>
  <c r="G63" i="33"/>
  <c r="G89" i="33"/>
  <c r="G115" i="33"/>
  <c r="G67" i="33"/>
  <c r="G83" i="33"/>
  <c r="G95" i="33"/>
  <c r="G103" i="33"/>
  <c r="G93" i="33"/>
  <c r="G101" i="33"/>
  <c r="G108" i="33"/>
  <c r="G91" i="33"/>
  <c r="G99" i="33"/>
  <c r="G144" i="33"/>
  <c r="G142" i="33"/>
  <c r="G195" i="33"/>
  <c r="G137" i="33"/>
  <c r="G175" i="33"/>
  <c r="G183" i="33"/>
  <c r="G199" i="33"/>
  <c r="G211" i="33"/>
  <c r="G222" i="33"/>
  <c r="G133" i="33"/>
  <c r="G141" i="33"/>
  <c r="G139" i="33"/>
  <c r="G148" i="33"/>
  <c r="G187" i="33"/>
  <c r="G203" i="33"/>
  <c r="G145" i="33"/>
  <c r="G154" i="33"/>
  <c r="G215" i="33"/>
  <c r="G180" i="33"/>
  <c r="G191" i="33"/>
  <c r="G206" i="33"/>
  <c r="G147" i="33"/>
  <c r="G248" i="33"/>
  <c r="G268" i="33"/>
  <c r="G256" i="33"/>
  <c r="G260" i="33"/>
  <c r="G276" i="33"/>
  <c r="G232" i="33"/>
  <c r="G298" i="33"/>
  <c r="G237" i="33"/>
  <c r="G253" i="33"/>
  <c r="G285" i="33"/>
  <c r="G229" i="33"/>
  <c r="G151" i="33"/>
  <c r="G140" i="33"/>
  <c r="G297" i="33"/>
  <c r="G273" i="33"/>
  <c r="G277" i="33"/>
  <c r="G283" i="33"/>
  <c r="G307" i="33"/>
  <c r="G240" i="33"/>
  <c r="G233" i="33"/>
  <c r="G223" i="33"/>
  <c r="G269" i="33"/>
  <c r="G230" i="33"/>
  <c r="G171" i="33"/>
  <c r="G181" i="33"/>
  <c r="G198" i="33"/>
  <c r="G182" i="33"/>
  <c r="G98" i="33"/>
  <c r="G94" i="33"/>
  <c r="G157" i="33"/>
  <c r="G305" i="33"/>
  <c r="G274" i="33"/>
  <c r="G178" i="33"/>
  <c r="G252" i="33"/>
  <c r="G241" i="33"/>
  <c r="G218" i="33"/>
  <c r="G266" i="33"/>
  <c r="G261" i="33"/>
  <c r="G250" i="33"/>
  <c r="G289" i="33"/>
  <c r="G262" i="33"/>
  <c r="G227" i="33"/>
  <c r="G208" i="33"/>
  <c r="G226" i="33"/>
  <c r="G245" i="33"/>
  <c r="G313" i="33"/>
  <c r="G173" i="33"/>
  <c r="G158" i="33"/>
  <c r="G128" i="33"/>
  <c r="G265" i="33"/>
  <c r="G225" i="33"/>
  <c r="G299" i="33"/>
  <c r="G246" i="33"/>
  <c r="G234" i="33"/>
  <c r="G311" i="33"/>
  <c r="G287" i="33"/>
  <c r="G254" i="33"/>
  <c r="G207" i="33"/>
  <c r="G306" i="33"/>
  <c r="G309" i="33"/>
  <c r="G210" i="33"/>
  <c r="G303" i="33"/>
  <c r="G291" i="33"/>
  <c r="G242" i="33"/>
  <c r="G163" i="33"/>
  <c r="G190" i="33"/>
  <c r="G135" i="33"/>
  <c r="G243" i="33"/>
  <c r="G270" i="33"/>
  <c r="G228" i="33"/>
  <c r="G281" i="33"/>
  <c r="G165" i="33"/>
  <c r="G134" i="33"/>
  <c r="G116" i="33"/>
  <c r="G125" i="33"/>
  <c r="G272" i="33"/>
  <c r="G308" i="33"/>
  <c r="G249" i="33"/>
  <c r="G219" i="33"/>
  <c r="G235" i="33"/>
  <c r="G295" i="33"/>
  <c r="G279" i="33"/>
  <c r="G257" i="33"/>
  <c r="G138" i="33"/>
  <c r="G258" i="33"/>
  <c r="G204" i="33"/>
  <c r="G301" i="33"/>
  <c r="G238" i="33"/>
  <c r="G202" i="33"/>
  <c r="G162" i="33"/>
  <c r="G104" i="33"/>
  <c r="G52" i="33"/>
  <c r="G38" i="33"/>
  <c r="G22" i="33"/>
  <c r="G10" i="33"/>
  <c r="G278" i="33"/>
  <c r="G179" i="33"/>
  <c r="G143" i="33"/>
  <c r="G117" i="33"/>
  <c r="G74" i="33"/>
  <c r="G40" i="33"/>
  <c r="G34" i="33"/>
  <c r="G113" i="33"/>
  <c r="G121" i="33"/>
  <c r="G92" i="33"/>
  <c r="G84" i="33"/>
  <c r="G13" i="33"/>
  <c r="G216" i="33"/>
  <c r="G153" i="33"/>
  <c r="G224" i="33"/>
  <c r="G75" i="33"/>
  <c r="G56" i="33"/>
  <c r="G96" i="33"/>
  <c r="G79" i="33"/>
  <c r="G62" i="33"/>
  <c r="G61" i="33"/>
  <c r="G194" i="33"/>
  <c r="G131" i="33"/>
  <c r="G120" i="33"/>
  <c r="G112" i="33"/>
  <c r="G90" i="33"/>
  <c r="G86" i="33"/>
  <c r="G59" i="33"/>
  <c r="G42" i="33"/>
  <c r="G8" i="33"/>
  <c r="G106" i="33"/>
  <c r="G146" i="33"/>
  <c r="G102" i="33"/>
  <c r="G136" i="33"/>
  <c r="G78" i="33"/>
  <c r="G46" i="33"/>
  <c r="G169" i="33"/>
  <c r="G212" i="33"/>
  <c r="G129" i="33"/>
  <c r="G149" i="33"/>
  <c r="G66" i="33"/>
  <c r="G70" i="33"/>
  <c r="G57" i="33"/>
  <c r="G293" i="33"/>
  <c r="G167" i="33"/>
  <c r="G126" i="33"/>
  <c r="G122" i="33"/>
  <c r="G100" i="33"/>
  <c r="G12" i="33"/>
  <c r="G7" i="33"/>
  <c r="G50" i="33"/>
  <c r="G30" i="33"/>
  <c r="G26" i="33"/>
  <c r="G49" i="33"/>
  <c r="G14" i="33"/>
  <c r="G15" i="33"/>
  <c r="G53" i="33"/>
  <c r="G48" i="33"/>
  <c r="G24" i="33"/>
  <c r="G18" i="33"/>
  <c r="G176" i="33"/>
  <c r="G186" i="33"/>
  <c r="G107" i="33"/>
  <c r="G127" i="33"/>
  <c r="G82" i="33"/>
  <c r="G9" i="33"/>
  <c r="G32" i="33"/>
  <c r="G28" i="33"/>
  <c r="G20" i="33"/>
  <c r="G264" i="33"/>
  <c r="G161" i="33"/>
  <c r="G85" i="33"/>
  <c r="G11" i="33"/>
  <c r="G44" i="33"/>
  <c r="G36" i="33"/>
  <c r="G6" i="33"/>
  <c r="G111" i="33"/>
  <c r="G60" i="33"/>
  <c r="G17" i="33"/>
  <c r="G16" i="33"/>
  <c r="G185" i="33"/>
  <c r="G65" i="33"/>
  <c r="G193" i="33"/>
  <c r="G217" i="33"/>
  <c r="G114" i="33"/>
  <c r="G81" i="33"/>
  <c r="G255" i="33"/>
  <c r="G160" i="33"/>
  <c r="G177" i="33"/>
  <c r="G286" i="33"/>
  <c r="G119" i="33"/>
  <c r="G23" i="33"/>
  <c r="G39" i="33"/>
  <c r="G41" i="33"/>
  <c r="G64" i="33"/>
  <c r="G214" i="33"/>
  <c r="G47" i="33"/>
  <c r="G275" i="33"/>
  <c r="G164" i="33"/>
  <c r="G209" i="33"/>
  <c r="G213" i="33"/>
  <c r="G221" i="33"/>
  <c r="G168" i="33"/>
  <c r="G170" i="33"/>
  <c r="G201" i="33"/>
  <c r="G288" i="33"/>
  <c r="G76" i="33"/>
  <c r="G156" i="33"/>
  <c r="G73" i="33"/>
  <c r="G72" i="33"/>
  <c r="G77" i="33"/>
  <c r="G31" i="33"/>
  <c r="G37" i="33"/>
  <c r="G35" i="33"/>
  <c r="G45" i="33"/>
  <c r="G220" i="33"/>
  <c r="G304" i="33"/>
  <c r="G312" i="33"/>
  <c r="G284" i="33"/>
  <c r="G200" i="33"/>
  <c r="G69" i="33"/>
  <c r="G231" i="33"/>
  <c r="G150" i="33"/>
  <c r="G267" i="33"/>
  <c r="G263" i="33"/>
  <c r="G236" i="33"/>
  <c r="G259" i="33"/>
  <c r="G110" i="33"/>
  <c r="G25" i="33"/>
  <c r="G174" i="33"/>
  <c r="G29" i="33"/>
  <c r="G27" i="33"/>
  <c r="G80" i="33"/>
  <c r="G159" i="33"/>
  <c r="G87" i="33"/>
  <c r="G132" i="33"/>
  <c r="G152" i="33"/>
  <c r="G205" i="33"/>
  <c r="G302" i="33"/>
  <c r="G282" i="33"/>
  <c r="G294" i="33"/>
  <c r="G88" i="33"/>
  <c r="G239" i="33"/>
  <c r="G118" i="33"/>
  <c r="G244" i="33"/>
  <c r="G184" i="33"/>
  <c r="G192" i="33"/>
  <c r="G68" i="33"/>
  <c r="G271" i="33"/>
  <c r="G197" i="33"/>
  <c r="G130" i="33"/>
  <c r="G189" i="33"/>
  <c r="G155" i="33"/>
  <c r="G196" i="33"/>
  <c r="G247" i="33"/>
  <c r="G33" i="33"/>
  <c r="G21" i="33"/>
  <c r="G19" i="33"/>
  <c r="G166" i="33"/>
  <c r="G43" i="33"/>
  <c r="G58" i="33"/>
  <c r="G290" i="33"/>
  <c r="G310" i="33"/>
  <c r="G172" i="33"/>
  <c r="G296" i="33"/>
  <c r="G292" i="33"/>
  <c r="G300" i="33"/>
  <c r="G251" i="33"/>
  <c r="G280" i="33"/>
  <c r="G188" i="33"/>
  <c r="I20" i="33"/>
  <c r="I78" i="33"/>
  <c r="I90" i="33"/>
  <c r="I123" i="33"/>
  <c r="I74" i="33"/>
  <c r="I62" i="33"/>
  <c r="I70" i="33"/>
  <c r="I109" i="33"/>
  <c r="I157" i="33"/>
  <c r="I147" i="33"/>
  <c r="I149" i="33"/>
  <c r="I153" i="33"/>
  <c r="I163" i="33"/>
  <c r="I165" i="33"/>
  <c r="I167" i="33"/>
  <c r="I169" i="33"/>
  <c r="I171" i="33"/>
  <c r="I173" i="33"/>
  <c r="I179" i="33"/>
  <c r="I194" i="33"/>
  <c r="I141" i="33"/>
  <c r="I143" i="33"/>
  <c r="I162" i="33"/>
  <c r="I186" i="33"/>
  <c r="I202" i="33"/>
  <c r="I203" i="33"/>
  <c r="I237" i="33"/>
  <c r="I145" i="33"/>
  <c r="I215" i="33"/>
  <c r="I161" i="33"/>
  <c r="I269" i="33"/>
  <c r="I245" i="33"/>
  <c r="I248" i="33"/>
  <c r="I272" i="33"/>
  <c r="I277" i="33"/>
  <c r="I281" i="33"/>
  <c r="I287" i="33"/>
  <c r="I289" i="33"/>
  <c r="I291" i="33"/>
  <c r="I295" i="33"/>
  <c r="I253" i="33"/>
  <c r="I261" i="33"/>
  <c r="I279" i="33"/>
  <c r="I283" i="33"/>
  <c r="I285" i="33"/>
  <c r="I293" i="33"/>
  <c r="I256" i="33"/>
  <c r="I311" i="33"/>
  <c r="I219" i="33"/>
  <c r="I206" i="33"/>
  <c r="I306" i="33"/>
  <c r="I241" i="33"/>
  <c r="I208" i="33"/>
  <c r="I308" i="33"/>
  <c r="I258" i="33"/>
  <c r="I223" i="33"/>
  <c r="I115" i="33"/>
  <c r="I230" i="33"/>
  <c r="I207" i="33"/>
  <c r="I178" i="33"/>
  <c r="I257" i="33"/>
  <c r="I301" i="33"/>
  <c r="I309" i="33"/>
  <c r="I232" i="33"/>
  <c r="I190" i="33"/>
  <c r="I246" i="33"/>
  <c r="I235" i="33"/>
  <c r="I262" i="33"/>
  <c r="I254" i="33"/>
  <c r="I138" i="33"/>
  <c r="I134" i="33"/>
  <c r="I216" i="33"/>
  <c r="I234" i="33"/>
  <c r="I183" i="33"/>
  <c r="I135" i="33"/>
  <c r="I273" i="33"/>
  <c r="I276" i="33"/>
  <c r="I299" i="33"/>
  <c r="I222" i="33"/>
  <c r="I180" i="33"/>
  <c r="I240" i="33"/>
  <c r="I151" i="33"/>
  <c r="I175" i="33"/>
  <c r="I297" i="33"/>
  <c r="I305" i="33"/>
  <c r="I274" i="33"/>
  <c r="I266" i="33"/>
  <c r="I278" i="33"/>
  <c r="I265" i="33"/>
  <c r="I252" i="33"/>
  <c r="I260" i="33"/>
  <c r="I270" i="33"/>
  <c r="I224" i="33"/>
  <c r="I198" i="33"/>
  <c r="I264" i="33"/>
  <c r="I181" i="33"/>
  <c r="I128" i="33"/>
  <c r="I199" i="33"/>
  <c r="I238" i="33"/>
  <c r="I218" i="33"/>
  <c r="I249" i="33"/>
  <c r="I210" i="33"/>
  <c r="I268" i="33"/>
  <c r="I211" i="33"/>
  <c r="I182" i="33"/>
  <c r="I140" i="33"/>
  <c r="I229" i="33"/>
  <c r="I242" i="33"/>
  <c r="I212" i="33"/>
  <c r="I98" i="33"/>
  <c r="I225" i="33"/>
  <c r="I94" i="33"/>
  <c r="I303" i="33"/>
  <c r="I307" i="33"/>
  <c r="I228" i="33"/>
  <c r="I233" i="33"/>
  <c r="I243" i="33"/>
  <c r="I195" i="33"/>
  <c r="I100" i="33"/>
  <c r="I126" i="33"/>
  <c r="I146" i="33"/>
  <c r="I136" i="33"/>
  <c r="I85" i="33"/>
  <c r="I125" i="33"/>
  <c r="I46" i="33"/>
  <c r="I122" i="33"/>
  <c r="I97" i="33"/>
  <c r="I91" i="33"/>
  <c r="I71" i="33"/>
  <c r="I44" i="33"/>
  <c r="I49" i="33"/>
  <c r="I6" i="33"/>
  <c r="I18" i="33"/>
  <c r="I158" i="33"/>
  <c r="I142" i="33"/>
  <c r="I137" i="33"/>
  <c r="I127" i="33"/>
  <c r="I82" i="33"/>
  <c r="I66" i="33"/>
  <c r="I53" i="33"/>
  <c r="I38" i="33"/>
  <c r="I131" i="33"/>
  <c r="I101" i="33"/>
  <c r="I95" i="33"/>
  <c r="I24" i="33"/>
  <c r="I67" i="33"/>
  <c r="I55" i="33"/>
  <c r="I226" i="33"/>
  <c r="I106" i="33"/>
  <c r="I102" i="33"/>
  <c r="I36" i="33"/>
  <c r="I34" i="33"/>
  <c r="I79" i="33"/>
  <c r="I60" i="33"/>
  <c r="I227" i="33"/>
  <c r="I204" i="33"/>
  <c r="I191" i="33"/>
  <c r="I113" i="33"/>
  <c r="I139" i="33"/>
  <c r="I111" i="33"/>
  <c r="I32" i="33"/>
  <c r="I108" i="33"/>
  <c r="I133" i="33"/>
  <c r="I30" i="33"/>
  <c r="I112" i="33"/>
  <c r="I105" i="33"/>
  <c r="I99" i="33"/>
  <c r="I89" i="33"/>
  <c r="I84" i="33"/>
  <c r="I51" i="33"/>
  <c r="I176" i="33"/>
  <c r="I104" i="33"/>
  <c r="I107" i="33"/>
  <c r="I75" i="33"/>
  <c r="I28" i="33"/>
  <c r="I26" i="33"/>
  <c r="I9" i="33"/>
  <c r="I50" i="33"/>
  <c r="I144" i="33"/>
  <c r="I154" i="33"/>
  <c r="I103" i="33"/>
  <c r="I11" i="33"/>
  <c r="I16" i="33"/>
  <c r="I96" i="33"/>
  <c r="I56" i="33"/>
  <c r="I116" i="33"/>
  <c r="I13" i="33"/>
  <c r="I10" i="33"/>
  <c r="I187" i="33"/>
  <c r="I117" i="33"/>
  <c r="I63" i="33"/>
  <c r="I12" i="33"/>
  <c r="I7" i="33"/>
  <c r="I313" i="33"/>
  <c r="I298" i="33"/>
  <c r="I92" i="33"/>
  <c r="I129" i="33"/>
  <c r="I61" i="33"/>
  <c r="I48" i="33"/>
  <c r="I54" i="33"/>
  <c r="I15" i="33"/>
  <c r="I250" i="33"/>
  <c r="I120" i="33"/>
  <c r="I148" i="33"/>
  <c r="I42" i="33"/>
  <c r="I59" i="33"/>
  <c r="I8" i="33"/>
  <c r="I40" i="33"/>
  <c r="I14" i="33"/>
  <c r="I22" i="33"/>
  <c r="I124" i="33"/>
  <c r="I93" i="33"/>
  <c r="I17" i="33"/>
  <c r="I86" i="33"/>
  <c r="I121" i="33"/>
  <c r="I83" i="33"/>
  <c r="I57" i="33"/>
  <c r="I52" i="33"/>
  <c r="I239" i="33"/>
  <c r="I37" i="33"/>
  <c r="I118" i="33"/>
  <c r="I72" i="33"/>
  <c r="I45" i="33"/>
  <c r="I150" i="33"/>
  <c r="I263" i="33"/>
  <c r="I31" i="33"/>
  <c r="I35" i="33"/>
  <c r="I159" i="33"/>
  <c r="I87" i="33"/>
  <c r="I220" i="33"/>
  <c r="I304" i="33"/>
  <c r="I255" i="33"/>
  <c r="I284" i="33"/>
  <c r="I197" i="33"/>
  <c r="I259" i="33"/>
  <c r="I288" i="33"/>
  <c r="I189" i="33"/>
  <c r="I286" i="33"/>
  <c r="I25" i="33"/>
  <c r="I174" i="33"/>
  <c r="I200" i="33"/>
  <c r="I29" i="33"/>
  <c r="I80" i="33"/>
  <c r="I214" i="33"/>
  <c r="I185" i="33"/>
  <c r="I65" i="33"/>
  <c r="I193" i="33"/>
  <c r="I27" i="33"/>
  <c r="I114" i="33"/>
  <c r="I68" i="33"/>
  <c r="I81" i="33"/>
  <c r="I152" i="33"/>
  <c r="I209" i="33"/>
  <c r="I213" i="33"/>
  <c r="I247" i="33"/>
  <c r="I300" i="33"/>
  <c r="I33" i="33"/>
  <c r="I21" i="33"/>
  <c r="I119" i="33"/>
  <c r="I184" i="33"/>
  <c r="I166" i="33"/>
  <c r="I192" i="33"/>
  <c r="I77" i="33"/>
  <c r="I132" i="33"/>
  <c r="I271" i="33"/>
  <c r="I282" i="33"/>
  <c r="I155" i="33"/>
  <c r="I156" i="33"/>
  <c r="I73" i="33"/>
  <c r="I19" i="33"/>
  <c r="I43" i="33"/>
  <c r="I172" i="33"/>
  <c r="I201" i="33"/>
  <c r="I296" i="33"/>
  <c r="I292" i="33"/>
  <c r="I196" i="33"/>
  <c r="I236" i="33"/>
  <c r="I267" i="33"/>
  <c r="I41" i="33"/>
  <c r="I58" i="33"/>
  <c r="I231" i="33"/>
  <c r="I290" i="33"/>
  <c r="I177" i="33"/>
  <c r="I170" i="33"/>
  <c r="I312" i="33"/>
  <c r="I221" i="33"/>
  <c r="I76" i="33"/>
  <c r="I110" i="33"/>
  <c r="I88" i="33"/>
  <c r="I23" i="33"/>
  <c r="I39" i="33"/>
  <c r="I244" i="33"/>
  <c r="I217" i="33"/>
  <c r="I64" i="33"/>
  <c r="I69" i="33"/>
  <c r="I47" i="33"/>
  <c r="I160" i="33"/>
  <c r="I275" i="33"/>
  <c r="I164" i="33"/>
  <c r="I205" i="33"/>
  <c r="I251" i="33"/>
  <c r="I168" i="33"/>
  <c r="I188" i="33"/>
  <c r="I280" i="33"/>
  <c r="I130" i="33"/>
  <c r="I310" i="33"/>
  <c r="I294" i="33"/>
  <c r="I302" i="33"/>
  <c r="K17" i="33"/>
  <c r="K51" i="33"/>
  <c r="K55" i="33"/>
  <c r="K57" i="33"/>
  <c r="K147" i="33"/>
  <c r="K109" i="33"/>
  <c r="K61" i="33"/>
  <c r="K71" i="33"/>
  <c r="K115" i="33"/>
  <c r="K129" i="33"/>
  <c r="K117" i="33"/>
  <c r="K125" i="33"/>
  <c r="K139" i="33"/>
  <c r="K142" i="33"/>
  <c r="K144" i="33"/>
  <c r="K195" i="33"/>
  <c r="K176" i="33"/>
  <c r="K230" i="33"/>
  <c r="K131" i="33"/>
  <c r="K133" i="33"/>
  <c r="K187" i="33"/>
  <c r="K136" i="33"/>
  <c r="K154" i="33"/>
  <c r="K203" i="33"/>
  <c r="K226" i="33"/>
  <c r="K234" i="33"/>
  <c r="K237" i="33"/>
  <c r="K242" i="33"/>
  <c r="K269" i="33"/>
  <c r="K270" i="33"/>
  <c r="K245" i="33"/>
  <c r="K253" i="33"/>
  <c r="K261" i="33"/>
  <c r="K262" i="33"/>
  <c r="K277" i="33"/>
  <c r="K278" i="33"/>
  <c r="K250" i="33"/>
  <c r="K297" i="33"/>
  <c r="K249" i="33"/>
  <c r="K268" i="33"/>
  <c r="K308" i="33"/>
  <c r="K233" i="33"/>
  <c r="K165" i="33"/>
  <c r="K134" i="33"/>
  <c r="K211" i="33"/>
  <c r="K222" i="33"/>
  <c r="K305" i="33"/>
  <c r="K248" i="33"/>
  <c r="K219" i="33"/>
  <c r="K264" i="33"/>
  <c r="K241" i="33"/>
  <c r="K228" i="33"/>
  <c r="K295" i="33"/>
  <c r="K289" i="33"/>
  <c r="K279" i="33"/>
  <c r="K227" i="33"/>
  <c r="K313" i="33"/>
  <c r="K167" i="33"/>
  <c r="K158" i="33"/>
  <c r="K140" i="33"/>
  <c r="K225" i="33"/>
  <c r="K207" i="33"/>
  <c r="K298" i="33"/>
  <c r="K307" i="33"/>
  <c r="K138" i="33"/>
  <c r="K238" i="33"/>
  <c r="K198" i="33"/>
  <c r="K182" i="33"/>
  <c r="K273" i="33"/>
  <c r="K309" i="33"/>
  <c r="K215" i="33"/>
  <c r="K293" i="33"/>
  <c r="K283" i="33"/>
  <c r="K266" i="33"/>
  <c r="K210" i="33"/>
  <c r="K299" i="33"/>
  <c r="K265" i="33"/>
  <c r="K246" i="33"/>
  <c r="K183" i="33"/>
  <c r="K274" i="33"/>
  <c r="K257" i="33"/>
  <c r="K287" i="33"/>
  <c r="K281" i="33"/>
  <c r="K243" i="33"/>
  <c r="K204" i="33"/>
  <c r="K229" i="33"/>
  <c r="K186" i="33"/>
  <c r="K194" i="33"/>
  <c r="K232" i="33"/>
  <c r="K235" i="33"/>
  <c r="K303" i="33"/>
  <c r="K260" i="33"/>
  <c r="K306" i="33"/>
  <c r="K301" i="33"/>
  <c r="K169" i="33"/>
  <c r="K190" i="33"/>
  <c r="K206" i="33"/>
  <c r="K224" i="33"/>
  <c r="K254" i="33"/>
  <c r="K291" i="33"/>
  <c r="K285" i="33"/>
  <c r="K272" i="33"/>
  <c r="K240" i="33"/>
  <c r="K171" i="33"/>
  <c r="K223" i="33"/>
  <c r="K128" i="33"/>
  <c r="K216" i="33"/>
  <c r="K179" i="33"/>
  <c r="K102" i="33"/>
  <c r="K122" i="33"/>
  <c r="K111" i="33"/>
  <c r="K82" i="33"/>
  <c r="K66" i="33"/>
  <c r="K63" i="33"/>
  <c r="K97" i="33"/>
  <c r="K85" i="33"/>
  <c r="K44" i="33"/>
  <c r="K34" i="33"/>
  <c r="K14" i="33"/>
  <c r="K199" i="33"/>
  <c r="K180" i="33"/>
  <c r="K98" i="33"/>
  <c r="K124" i="33"/>
  <c r="K175" i="33"/>
  <c r="K149" i="33"/>
  <c r="K148" i="33"/>
  <c r="K96" i="33"/>
  <c r="K93" i="33"/>
  <c r="K83" i="33"/>
  <c r="K30" i="33"/>
  <c r="K276" i="33"/>
  <c r="K256" i="33"/>
  <c r="K94" i="33"/>
  <c r="K161" i="33"/>
  <c r="K137" i="33"/>
  <c r="K127" i="33"/>
  <c r="K74" i="33"/>
  <c r="K86" i="33"/>
  <c r="K91" i="33"/>
  <c r="K42" i="33"/>
  <c r="K12" i="33"/>
  <c r="K252" i="33"/>
  <c r="K191" i="33"/>
  <c r="K178" i="33"/>
  <c r="K157" i="33"/>
  <c r="K143" i="33"/>
  <c r="K116" i="33"/>
  <c r="K112" i="33"/>
  <c r="K105" i="33"/>
  <c r="K89" i="33"/>
  <c r="K60" i="33"/>
  <c r="K50" i="33"/>
  <c r="K40" i="33"/>
  <c r="K258" i="33"/>
  <c r="K208" i="33"/>
  <c r="K173" i="33"/>
  <c r="K153" i="33"/>
  <c r="K218" i="33"/>
  <c r="K113" i="33"/>
  <c r="K145" i="33"/>
  <c r="K100" i="33"/>
  <c r="K123" i="33"/>
  <c r="K121" i="33"/>
  <c r="K107" i="33"/>
  <c r="K79" i="33"/>
  <c r="K103" i="33"/>
  <c r="K49" i="33"/>
  <c r="K212" i="33"/>
  <c r="K108" i="33"/>
  <c r="K48" i="33"/>
  <c r="K26" i="33"/>
  <c r="K146" i="33"/>
  <c r="K78" i="33"/>
  <c r="K11" i="33"/>
  <c r="K22" i="33"/>
  <c r="K202" i="33"/>
  <c r="K106" i="33"/>
  <c r="K56" i="33"/>
  <c r="K67" i="33"/>
  <c r="K70" i="33"/>
  <c r="K59" i="33"/>
  <c r="K13" i="33"/>
  <c r="K52" i="33"/>
  <c r="K18" i="33"/>
  <c r="K16" i="33"/>
  <c r="K163" i="33"/>
  <c r="K135" i="33"/>
  <c r="K92" i="33"/>
  <c r="K53" i="33"/>
  <c r="K54" i="33"/>
  <c r="K38" i="33"/>
  <c r="K126" i="33"/>
  <c r="K104" i="33"/>
  <c r="K75" i="33"/>
  <c r="K9" i="33"/>
  <c r="K6" i="33"/>
  <c r="K151" i="33"/>
  <c r="K162" i="33"/>
  <c r="K141" i="33"/>
  <c r="K101" i="33"/>
  <c r="K62" i="33"/>
  <c r="K7" i="33"/>
  <c r="K311" i="33"/>
  <c r="K120" i="33"/>
  <c r="K90" i="33"/>
  <c r="K99" i="33"/>
  <c r="K8" i="33"/>
  <c r="K28" i="33"/>
  <c r="K24" i="33"/>
  <c r="K15" i="33"/>
  <c r="K181" i="33"/>
  <c r="K95" i="33"/>
  <c r="K84" i="33"/>
  <c r="K46" i="33"/>
  <c r="K36" i="33"/>
  <c r="K32" i="33"/>
  <c r="K20" i="33"/>
  <c r="K10" i="33"/>
  <c r="K64" i="33"/>
  <c r="K209" i="33"/>
  <c r="K213" i="33"/>
  <c r="K259" i="33"/>
  <c r="K33" i="33"/>
  <c r="K185" i="33"/>
  <c r="K21" i="33"/>
  <c r="K239" i="33"/>
  <c r="K118" i="33"/>
  <c r="K65" i="33"/>
  <c r="K244" i="33"/>
  <c r="K193" i="33"/>
  <c r="K19" i="33"/>
  <c r="K72" i="33"/>
  <c r="K166" i="33"/>
  <c r="K114" i="33"/>
  <c r="K43" i="33"/>
  <c r="K81" i="33"/>
  <c r="K58" i="33"/>
  <c r="K290" i="33"/>
  <c r="K172" i="33"/>
  <c r="K296" i="33"/>
  <c r="K292" i="33"/>
  <c r="K130" i="33"/>
  <c r="K267" i="33"/>
  <c r="K280" i="33"/>
  <c r="K119" i="33"/>
  <c r="K263" i="33"/>
  <c r="K76" i="33"/>
  <c r="K156" i="33"/>
  <c r="K88" i="33"/>
  <c r="K23" i="33"/>
  <c r="K39" i="33"/>
  <c r="K73" i="33"/>
  <c r="K41" i="33"/>
  <c r="K80" i="33"/>
  <c r="K159" i="33"/>
  <c r="K77" i="33"/>
  <c r="K47" i="33"/>
  <c r="K160" i="33"/>
  <c r="K150" i="33"/>
  <c r="K164" i="33"/>
  <c r="K201" i="33"/>
  <c r="K168" i="33"/>
  <c r="K188" i="33"/>
  <c r="K110" i="33"/>
  <c r="K205" i="33"/>
  <c r="K247" i="33"/>
  <c r="K170" i="33"/>
  <c r="K31" i="33"/>
  <c r="K37" i="33"/>
  <c r="K200" i="33"/>
  <c r="K35" i="33"/>
  <c r="K45" i="33"/>
  <c r="K69" i="33"/>
  <c r="K220" i="33"/>
  <c r="K271" i="33"/>
  <c r="K304" i="33"/>
  <c r="K310" i="33"/>
  <c r="K284" i="33"/>
  <c r="K288" i="33"/>
  <c r="K286" i="33"/>
  <c r="K294" i="33"/>
  <c r="K217" i="33"/>
  <c r="K275" i="33"/>
  <c r="K312" i="33"/>
  <c r="K251" i="33"/>
  <c r="K300" i="33"/>
  <c r="K221" i="33"/>
  <c r="K255" i="33"/>
  <c r="K25" i="33"/>
  <c r="K174" i="33"/>
  <c r="K29" i="33"/>
  <c r="K27" i="33"/>
  <c r="K184" i="33"/>
  <c r="K192" i="33"/>
  <c r="K68" i="33"/>
  <c r="K214" i="33"/>
  <c r="K87" i="33"/>
  <c r="K132" i="33"/>
  <c r="K231" i="33"/>
  <c r="K177" i="33"/>
  <c r="K197" i="33"/>
  <c r="K302" i="33"/>
  <c r="K282" i="33"/>
  <c r="K189" i="33"/>
  <c r="K155" i="33"/>
  <c r="K196" i="33"/>
  <c r="K236" i="33"/>
  <c r="K152" i="33"/>
  <c r="H16" i="33"/>
  <c r="H18" i="33"/>
  <c r="H54" i="33"/>
  <c r="H42" i="33"/>
  <c r="H46" i="33"/>
  <c r="H90" i="33"/>
  <c r="H96" i="33"/>
  <c r="H104" i="33"/>
  <c r="H124" i="33"/>
  <c r="H62" i="33"/>
  <c r="H86" i="33"/>
  <c r="H92" i="33"/>
  <c r="H100" i="33"/>
  <c r="H146" i="33"/>
  <c r="H175" i="33"/>
  <c r="H181" i="33"/>
  <c r="H224" i="33"/>
  <c r="H306" i="33"/>
  <c r="H311" i="33"/>
  <c r="H303" i="33"/>
  <c r="H273" i="33"/>
  <c r="H305" i="33"/>
  <c r="H248" i="33"/>
  <c r="H264" i="33"/>
  <c r="H246" i="33"/>
  <c r="H235" i="33"/>
  <c r="H252" i="33"/>
  <c r="H295" i="33"/>
  <c r="H289" i="33"/>
  <c r="H279" i="33"/>
  <c r="H262" i="33"/>
  <c r="H254" i="33"/>
  <c r="H138" i="33"/>
  <c r="H195" i="33"/>
  <c r="H169" i="33"/>
  <c r="H158" i="33"/>
  <c r="H216" i="33"/>
  <c r="H237" i="33"/>
  <c r="H203" i="33"/>
  <c r="H198" i="33"/>
  <c r="H182" i="33"/>
  <c r="H250" i="33"/>
  <c r="H211" i="33"/>
  <c r="H183" i="33"/>
  <c r="H108" i="33"/>
  <c r="H144" i="33"/>
  <c r="H274" i="33"/>
  <c r="H266" i="33"/>
  <c r="H276" i="33"/>
  <c r="H253" i="33"/>
  <c r="H218" i="33"/>
  <c r="H207" i="33"/>
  <c r="H202" i="33"/>
  <c r="H242" i="33"/>
  <c r="H178" i="33"/>
  <c r="H143" i="33"/>
  <c r="H265" i="33"/>
  <c r="H210" i="33"/>
  <c r="H277" i="33"/>
  <c r="H293" i="33"/>
  <c r="H283" i="33"/>
  <c r="H278" i="33"/>
  <c r="H269" i="33"/>
  <c r="H165" i="33"/>
  <c r="H153" i="33"/>
  <c r="H191" i="33"/>
  <c r="H186" i="33"/>
  <c r="H225" i="33"/>
  <c r="H194" i="33"/>
  <c r="H260" i="33"/>
  <c r="H261" i="33"/>
  <c r="H256" i="33"/>
  <c r="H227" i="33"/>
  <c r="H204" i="33"/>
  <c r="H171" i="33"/>
  <c r="H270" i="33"/>
  <c r="H249" i="33"/>
  <c r="H268" i="33"/>
  <c r="H232" i="33"/>
  <c r="H298" i="33"/>
  <c r="H307" i="33"/>
  <c r="H301" i="33"/>
  <c r="H167" i="33"/>
  <c r="H230" i="33"/>
  <c r="H206" i="33"/>
  <c r="H245" i="33"/>
  <c r="H212" i="33"/>
  <c r="H98" i="33"/>
  <c r="H226" i="33"/>
  <c r="H94" i="33"/>
  <c r="H219" i="33"/>
  <c r="H308" i="33"/>
  <c r="H291" i="33"/>
  <c r="H285" i="33"/>
  <c r="H272" i="33"/>
  <c r="H257" i="33"/>
  <c r="H240" i="33"/>
  <c r="H233" i="33"/>
  <c r="H258" i="33"/>
  <c r="H243" i="33"/>
  <c r="H299" i="33"/>
  <c r="H173" i="33"/>
  <c r="H215" i="33"/>
  <c r="H180" i="33"/>
  <c r="H297" i="33"/>
  <c r="H241" i="33"/>
  <c r="H208" i="33"/>
  <c r="H163" i="33"/>
  <c r="H151" i="33"/>
  <c r="H287" i="33"/>
  <c r="H309" i="33"/>
  <c r="H134" i="33"/>
  <c r="H187" i="33"/>
  <c r="H149" i="33"/>
  <c r="H113" i="33"/>
  <c r="H48" i="33"/>
  <c r="H127" i="33"/>
  <c r="H117" i="33"/>
  <c r="H74" i="33"/>
  <c r="H85" i="33"/>
  <c r="H12" i="33"/>
  <c r="H26" i="33"/>
  <c r="H15" i="33"/>
  <c r="H190" i="33"/>
  <c r="H229" i="33"/>
  <c r="H161" i="33"/>
  <c r="H106" i="33"/>
  <c r="H145" i="33"/>
  <c r="H102" i="33"/>
  <c r="H40" i="33"/>
  <c r="H121" i="33"/>
  <c r="H147" i="33"/>
  <c r="H115" i="33"/>
  <c r="H79" i="33"/>
  <c r="H84" i="33"/>
  <c r="H60" i="33"/>
  <c r="H9" i="33"/>
  <c r="H38" i="33"/>
  <c r="H179" i="33"/>
  <c r="H157" i="33"/>
  <c r="H141" i="33"/>
  <c r="H148" i="33"/>
  <c r="H123" i="33"/>
  <c r="H116" i="33"/>
  <c r="H53" i="33"/>
  <c r="H105" i="33"/>
  <c r="H95" i="33"/>
  <c r="H89" i="33"/>
  <c r="H67" i="33"/>
  <c r="H109" i="33"/>
  <c r="H55" i="33"/>
  <c r="H61" i="33"/>
  <c r="H120" i="33"/>
  <c r="H122" i="33"/>
  <c r="H112" i="33"/>
  <c r="H125" i="33"/>
  <c r="H13" i="33"/>
  <c r="H59" i="33"/>
  <c r="H7" i="33"/>
  <c r="H228" i="33"/>
  <c r="H140" i="33"/>
  <c r="H234" i="33"/>
  <c r="H199" i="33"/>
  <c r="H135" i="33"/>
  <c r="H82" i="33"/>
  <c r="H66" i="33"/>
  <c r="H139" i="33"/>
  <c r="H56" i="33"/>
  <c r="H52" i="33"/>
  <c r="H99" i="33"/>
  <c r="H93" i="33"/>
  <c r="H78" i="33"/>
  <c r="H50" i="33"/>
  <c r="H70" i="33"/>
  <c r="H51" i="33"/>
  <c r="H75" i="33"/>
  <c r="H129" i="33"/>
  <c r="H91" i="33"/>
  <c r="H83" i="33"/>
  <c r="H57" i="33"/>
  <c r="H32" i="33"/>
  <c r="H24" i="33"/>
  <c r="H17" i="33"/>
  <c r="H128" i="33"/>
  <c r="H103" i="33"/>
  <c r="H36" i="33"/>
  <c r="H20" i="33"/>
  <c r="H10" i="33"/>
  <c r="H238" i="33"/>
  <c r="H44" i="33"/>
  <c r="H101" i="33"/>
  <c r="H71" i="33"/>
  <c r="H63" i="33"/>
  <c r="H281" i="33"/>
  <c r="H176" i="33"/>
  <c r="H126" i="33"/>
  <c r="H133" i="33"/>
  <c r="H131" i="33"/>
  <c r="H49" i="33"/>
  <c r="H222" i="33"/>
  <c r="H162" i="33"/>
  <c r="H142" i="33"/>
  <c r="H107" i="33"/>
  <c r="H97" i="33"/>
  <c r="H8" i="33"/>
  <c r="H34" i="33"/>
  <c r="H30" i="33"/>
  <c r="H22" i="33"/>
  <c r="H14" i="33"/>
  <c r="H313" i="33"/>
  <c r="H223" i="33"/>
  <c r="H137" i="33"/>
  <c r="H111" i="33"/>
  <c r="H154" i="33"/>
  <c r="H136" i="33"/>
  <c r="H11" i="33"/>
  <c r="H28" i="33"/>
  <c r="H6" i="33"/>
  <c r="H31" i="33"/>
  <c r="H119" i="33"/>
  <c r="H200" i="33"/>
  <c r="H35" i="33"/>
  <c r="H80" i="33"/>
  <c r="H159" i="33"/>
  <c r="H87" i="33"/>
  <c r="H220" i="33"/>
  <c r="H58" i="33"/>
  <c r="H160" i="33"/>
  <c r="H290" i="33"/>
  <c r="H275" i="33"/>
  <c r="H296" i="33"/>
  <c r="H197" i="33"/>
  <c r="H189" i="33"/>
  <c r="H68" i="33"/>
  <c r="H213" i="33"/>
  <c r="H37" i="33"/>
  <c r="H217" i="33"/>
  <c r="H45" i="33"/>
  <c r="H251" i="33"/>
  <c r="H185" i="33"/>
  <c r="H88" i="33"/>
  <c r="H65" i="33"/>
  <c r="H193" i="33"/>
  <c r="H27" i="33"/>
  <c r="H184" i="33"/>
  <c r="H192" i="33"/>
  <c r="H81" i="33"/>
  <c r="H209" i="33"/>
  <c r="H280" i="33"/>
  <c r="H25" i="33"/>
  <c r="H174" i="33"/>
  <c r="H29" i="33"/>
  <c r="H255" i="33"/>
  <c r="H310" i="33"/>
  <c r="H156" i="33"/>
  <c r="H244" i="33"/>
  <c r="H73" i="33"/>
  <c r="H19" i="33"/>
  <c r="H64" i="33"/>
  <c r="H43" i="33"/>
  <c r="H152" i="33"/>
  <c r="H304" i="33"/>
  <c r="H172" i="33"/>
  <c r="H201" i="33"/>
  <c r="H312" i="33"/>
  <c r="H284" i="33"/>
  <c r="H288" i="33"/>
  <c r="H300" i="33"/>
  <c r="H286" i="33"/>
  <c r="H196" i="33"/>
  <c r="H294" i="33"/>
  <c r="H259" i="33"/>
  <c r="H33" i="33"/>
  <c r="H21" i="33"/>
  <c r="H166" i="33"/>
  <c r="H77" i="33"/>
  <c r="H231" i="33"/>
  <c r="H150" i="33"/>
  <c r="H177" i="33"/>
  <c r="H247" i="33"/>
  <c r="H267" i="33"/>
  <c r="H263" i="33"/>
  <c r="H221" i="33"/>
  <c r="H76" i="33"/>
  <c r="H110" i="33"/>
  <c r="H23" i="33"/>
  <c r="H39" i="33"/>
  <c r="H72" i="33"/>
  <c r="H214" i="33"/>
  <c r="H69" i="33"/>
  <c r="H132" i="33"/>
  <c r="H47" i="33"/>
  <c r="H164" i="33"/>
  <c r="H205" i="33"/>
  <c r="H302" i="33"/>
  <c r="H282" i="33"/>
  <c r="H168" i="33"/>
  <c r="H188" i="33"/>
  <c r="H155" i="33"/>
  <c r="H236" i="33"/>
  <c r="H239" i="33"/>
  <c r="H118" i="33"/>
  <c r="H41" i="33"/>
  <c r="H271" i="33"/>
  <c r="H130" i="33"/>
  <c r="H170" i="33"/>
  <c r="H292" i="33"/>
  <c r="H114" i="33"/>
  <c r="F51" i="33"/>
  <c r="F15" i="33"/>
  <c r="F17" i="33"/>
  <c r="F61" i="33"/>
  <c r="F97" i="33"/>
  <c r="F105" i="33"/>
  <c r="F55" i="33"/>
  <c r="F84" i="33"/>
  <c r="F89" i="33"/>
  <c r="F133" i="33"/>
  <c r="F95" i="33"/>
  <c r="F103" i="33"/>
  <c r="F125" i="33"/>
  <c r="F93" i="33"/>
  <c r="F101" i="33"/>
  <c r="F147" i="33"/>
  <c r="F91" i="33"/>
  <c r="F99" i="33"/>
  <c r="F109" i="33"/>
  <c r="F111" i="33"/>
  <c r="F121" i="33"/>
  <c r="F127" i="33"/>
  <c r="F85" i="33"/>
  <c r="F129" i="33"/>
  <c r="F131" i="33"/>
  <c r="F176" i="33"/>
  <c r="F178" i="33"/>
  <c r="F226" i="33"/>
  <c r="F234" i="33"/>
  <c r="F242" i="33"/>
  <c r="F139" i="33"/>
  <c r="F224" i="33"/>
  <c r="F161" i="33"/>
  <c r="F258" i="33"/>
  <c r="F301" i="33"/>
  <c r="F262" i="33"/>
  <c r="F279" i="33"/>
  <c r="F281" i="33"/>
  <c r="F283" i="33"/>
  <c r="F285" i="33"/>
  <c r="F287" i="33"/>
  <c r="F293" i="33"/>
  <c r="F295" i="33"/>
  <c r="F278" i="33"/>
  <c r="F289" i="33"/>
  <c r="F291" i="33"/>
  <c r="F303" i="33"/>
  <c r="F311" i="33"/>
  <c r="F250" i="33"/>
  <c r="F270" i="33"/>
  <c r="F265" i="33"/>
  <c r="F254" i="33"/>
  <c r="F261" i="33"/>
  <c r="F227" i="33"/>
  <c r="F272" i="33"/>
  <c r="F240" i="33"/>
  <c r="F171" i="33"/>
  <c r="F191" i="33"/>
  <c r="F180" i="33"/>
  <c r="F128" i="33"/>
  <c r="F135" i="33"/>
  <c r="F157" i="33"/>
  <c r="F252" i="33"/>
  <c r="F230" i="33"/>
  <c r="F208" i="33"/>
  <c r="F165" i="33"/>
  <c r="F151" i="33"/>
  <c r="F187" i="33"/>
  <c r="F222" i="33"/>
  <c r="F297" i="33"/>
  <c r="F298" i="33"/>
  <c r="F248" i="33"/>
  <c r="F264" i="33"/>
  <c r="F276" i="33"/>
  <c r="F167" i="33"/>
  <c r="F218" i="33"/>
  <c r="F117" i="33"/>
  <c r="F202" i="33"/>
  <c r="F223" i="33"/>
  <c r="F199" i="33"/>
  <c r="F249" i="33"/>
  <c r="F210" i="33"/>
  <c r="F212" i="33"/>
  <c r="F309" i="33"/>
  <c r="F266" i="33"/>
  <c r="F238" i="33"/>
  <c r="F219" i="33"/>
  <c r="F299" i="33"/>
  <c r="F305" i="33"/>
  <c r="F235" i="33"/>
  <c r="F241" i="33"/>
  <c r="F228" i="33"/>
  <c r="F256" i="33"/>
  <c r="F274" i="33"/>
  <c r="F306" i="33"/>
  <c r="F195" i="33"/>
  <c r="F173" i="33"/>
  <c r="F153" i="33"/>
  <c r="F134" i="33"/>
  <c r="F307" i="33"/>
  <c r="F313" i="33"/>
  <c r="F273" i="33"/>
  <c r="F246" i="33"/>
  <c r="F268" i="33"/>
  <c r="F253" i="33"/>
  <c r="F138" i="33"/>
  <c r="F204" i="33"/>
  <c r="F216" i="33"/>
  <c r="F225" i="33"/>
  <c r="F158" i="33"/>
  <c r="F203" i="33"/>
  <c r="F229" i="33"/>
  <c r="F211" i="33"/>
  <c r="F183" i="33"/>
  <c r="F232" i="33"/>
  <c r="F277" i="33"/>
  <c r="F308" i="33"/>
  <c r="F269" i="33"/>
  <c r="F169" i="33"/>
  <c r="F260" i="33"/>
  <c r="F257" i="33"/>
  <c r="F207" i="33"/>
  <c r="F181" i="33"/>
  <c r="F106" i="33"/>
  <c r="F142" i="33"/>
  <c r="F90" i="33"/>
  <c r="F79" i="33"/>
  <c r="F67" i="33"/>
  <c r="F78" i="33"/>
  <c r="F70" i="33"/>
  <c r="F60" i="33"/>
  <c r="F9" i="33"/>
  <c r="F46" i="33"/>
  <c r="F32" i="33"/>
  <c r="F16" i="33"/>
  <c r="F163" i="33"/>
  <c r="F245" i="33"/>
  <c r="F120" i="33"/>
  <c r="F113" i="33"/>
  <c r="F112" i="33"/>
  <c r="F108" i="33"/>
  <c r="F92" i="33"/>
  <c r="F59" i="33"/>
  <c r="F13" i="33"/>
  <c r="F8" i="33"/>
  <c r="F7" i="33"/>
  <c r="F52" i="33"/>
  <c r="F28" i="33"/>
  <c r="F233" i="33"/>
  <c r="F243" i="33"/>
  <c r="F190" i="33"/>
  <c r="F206" i="33"/>
  <c r="F237" i="33"/>
  <c r="F98" i="33"/>
  <c r="F143" i="33"/>
  <c r="F175" i="33"/>
  <c r="F149" i="33"/>
  <c r="F57" i="33"/>
  <c r="F75" i="33"/>
  <c r="F56" i="33"/>
  <c r="F115" i="33"/>
  <c r="F96" i="33"/>
  <c r="F140" i="33"/>
  <c r="F94" i="33"/>
  <c r="F194" i="33"/>
  <c r="F145" i="33"/>
  <c r="F141" i="33"/>
  <c r="F123" i="33"/>
  <c r="F53" i="33"/>
  <c r="F86" i="33"/>
  <c r="F63" i="33"/>
  <c r="F42" i="33"/>
  <c r="F12" i="33"/>
  <c r="F11" i="33"/>
  <c r="F186" i="33"/>
  <c r="F182" i="33"/>
  <c r="F162" i="33"/>
  <c r="F154" i="33"/>
  <c r="F126" i="33"/>
  <c r="F136" i="33"/>
  <c r="F116" i="33"/>
  <c r="F124" i="33"/>
  <c r="F71" i="33"/>
  <c r="F83" i="33"/>
  <c r="F62" i="33"/>
  <c r="F215" i="33"/>
  <c r="F66" i="33"/>
  <c r="F50" i="33"/>
  <c r="F44" i="33"/>
  <c r="F36" i="33"/>
  <c r="F20" i="33"/>
  <c r="F10" i="33"/>
  <c r="F122" i="33"/>
  <c r="F100" i="33"/>
  <c r="F74" i="33"/>
  <c r="F30" i="33"/>
  <c r="F26" i="33"/>
  <c r="F179" i="33"/>
  <c r="F107" i="33"/>
  <c r="F102" i="33"/>
  <c r="F49" i="33"/>
  <c r="F40" i="33"/>
  <c r="F34" i="33"/>
  <c r="F22" i="33"/>
  <c r="F14" i="33"/>
  <c r="F54" i="33"/>
  <c r="F18" i="33"/>
  <c r="F148" i="33"/>
  <c r="F82" i="33"/>
  <c r="F38" i="33"/>
  <c r="F104" i="33"/>
  <c r="F48" i="33"/>
  <c r="F6" i="33"/>
  <c r="F198" i="33"/>
  <c r="F144" i="33"/>
  <c r="F146" i="33"/>
  <c r="F137" i="33"/>
  <c r="F24" i="33"/>
  <c r="F156" i="33"/>
  <c r="F23" i="33"/>
  <c r="F39" i="33"/>
  <c r="F41" i="33"/>
  <c r="F214" i="33"/>
  <c r="F47" i="33"/>
  <c r="F152" i="33"/>
  <c r="F304" i="33"/>
  <c r="F164" i="33"/>
  <c r="F284" i="33"/>
  <c r="F288" i="33"/>
  <c r="F168" i="33"/>
  <c r="F282" i="33"/>
  <c r="F76" i="33"/>
  <c r="F73" i="33"/>
  <c r="F77" i="33"/>
  <c r="F160" i="33"/>
  <c r="F150" i="33"/>
  <c r="F201" i="33"/>
  <c r="F247" i="33"/>
  <c r="F267" i="33"/>
  <c r="F263" i="33"/>
  <c r="F188" i="33"/>
  <c r="F294" i="33"/>
  <c r="F31" i="33"/>
  <c r="F37" i="33"/>
  <c r="F35" i="33"/>
  <c r="F45" i="33"/>
  <c r="F132" i="33"/>
  <c r="F220" i="33"/>
  <c r="F110" i="33"/>
  <c r="F119" i="33"/>
  <c r="F200" i="33"/>
  <c r="F72" i="33"/>
  <c r="F69" i="33"/>
  <c r="F231" i="33"/>
  <c r="F271" i="33"/>
  <c r="F205" i="33"/>
  <c r="F88" i="33"/>
  <c r="F25" i="33"/>
  <c r="F174" i="33"/>
  <c r="F29" i="33"/>
  <c r="F27" i="33"/>
  <c r="F80" i="33"/>
  <c r="F159" i="33"/>
  <c r="F87" i="33"/>
  <c r="F58" i="33"/>
  <c r="F177" i="33"/>
  <c r="F296" i="33"/>
  <c r="F302" i="33"/>
  <c r="F292" i="33"/>
  <c r="F239" i="33"/>
  <c r="F118" i="33"/>
  <c r="F244" i="33"/>
  <c r="F217" i="33"/>
  <c r="F184" i="33"/>
  <c r="F192" i="33"/>
  <c r="F68" i="33"/>
  <c r="F290" i="33"/>
  <c r="F275" i="33"/>
  <c r="F197" i="33"/>
  <c r="F251" i="33"/>
  <c r="F130" i="33"/>
  <c r="F189" i="33"/>
  <c r="F155" i="33"/>
  <c r="F33" i="33"/>
  <c r="F21" i="33"/>
  <c r="F19" i="33"/>
  <c r="F166" i="33"/>
  <c r="F64" i="33"/>
  <c r="F43" i="33"/>
  <c r="F310" i="33"/>
  <c r="F172" i="33"/>
  <c r="F280" i="33"/>
  <c r="F300" i="33"/>
  <c r="F236" i="33"/>
  <c r="F185" i="33"/>
  <c r="F65" i="33"/>
  <c r="F193" i="33"/>
  <c r="F114" i="33"/>
  <c r="F81" i="33"/>
  <c r="F255" i="33"/>
  <c r="F209" i="33"/>
  <c r="F312" i="33"/>
  <c r="F213" i="33"/>
  <c r="F259" i="33"/>
  <c r="F221" i="33"/>
  <c r="F170" i="33"/>
  <c r="F196" i="33"/>
  <c r="F286" i="33"/>
  <c r="B62" i="40"/>
  <c r="B63" i="40"/>
  <c r="B50" i="40" s="1"/>
  <c r="P5" i="13" s="1"/>
  <c r="I5" i="33"/>
  <c r="K5" i="33"/>
  <c r="H5" i="33"/>
  <c r="G5" i="33"/>
  <c r="J5" i="33"/>
  <c r="H4" i="12"/>
  <c r="J143" i="33" l="1"/>
  <c r="J125" i="33"/>
  <c r="J105" i="33"/>
  <c r="J194" i="33"/>
  <c r="J117" i="33"/>
  <c r="J97" i="33"/>
  <c r="J157" i="33"/>
  <c r="J78" i="33"/>
  <c r="J109" i="33"/>
  <c r="J186" i="33"/>
  <c r="J176" i="33"/>
  <c r="J133" i="33"/>
  <c r="L188" i="33"/>
  <c r="M188" i="33" s="1"/>
  <c r="E194" i="9" s="1"/>
  <c r="L290" i="33"/>
  <c r="M290" i="33" s="1"/>
  <c r="E296" i="9" s="1"/>
  <c r="L196" i="33"/>
  <c r="M196" i="33" s="1"/>
  <c r="E202" i="9" s="1"/>
  <c r="L184" i="33"/>
  <c r="M184" i="33" s="1"/>
  <c r="E190" i="9" s="1"/>
  <c r="L205" i="33"/>
  <c r="M205" i="33" s="1"/>
  <c r="E211" i="9" s="1"/>
  <c r="L174" i="33"/>
  <c r="M174" i="33" s="1"/>
  <c r="E180" i="9" s="1"/>
  <c r="L231" i="33"/>
  <c r="M231" i="33" s="1"/>
  <c r="E237" i="9" s="1"/>
  <c r="L35" i="33"/>
  <c r="M35" i="33" s="1"/>
  <c r="E41" i="9" s="1"/>
  <c r="L288" i="33"/>
  <c r="M288" i="33" s="1"/>
  <c r="E294" i="9" s="1"/>
  <c r="L275" i="33"/>
  <c r="M275" i="33" s="1"/>
  <c r="E281" i="9" s="1"/>
  <c r="L286" i="33"/>
  <c r="M286" i="33" s="1"/>
  <c r="E292" i="9" s="1"/>
  <c r="L65" i="33"/>
  <c r="M65" i="33" s="1"/>
  <c r="E71" i="9" s="1"/>
  <c r="L44" i="33"/>
  <c r="M44" i="33" s="1"/>
  <c r="E50" i="9" s="1"/>
  <c r="L9" i="33"/>
  <c r="M9" i="33" s="1"/>
  <c r="E15" i="9" s="1"/>
  <c r="L48" i="33"/>
  <c r="M48" i="33" s="1"/>
  <c r="E54" i="9" s="1"/>
  <c r="L7" i="33"/>
  <c r="M7" i="33" s="1"/>
  <c r="E13" i="9" s="1"/>
  <c r="L70" i="33"/>
  <c r="M70" i="33" s="1"/>
  <c r="E76" i="9" s="1"/>
  <c r="L136" i="33"/>
  <c r="M136" i="33" s="1"/>
  <c r="E142" i="9" s="1"/>
  <c r="L90" i="33"/>
  <c r="M90" i="33" s="1"/>
  <c r="E96" i="9" s="1"/>
  <c r="L96" i="33"/>
  <c r="M96" i="33" s="1"/>
  <c r="E102" i="9" s="1"/>
  <c r="L92" i="33"/>
  <c r="M92" i="33" s="1"/>
  <c r="E98" i="9" s="1"/>
  <c r="L179" i="33"/>
  <c r="M179" i="33" s="1"/>
  <c r="E185" i="9" s="1"/>
  <c r="L202" i="33"/>
  <c r="M202" i="33" s="1"/>
  <c r="E208" i="9" s="1"/>
  <c r="L295" i="33"/>
  <c r="M295" i="33" s="1"/>
  <c r="E301" i="9" s="1"/>
  <c r="L134" i="33"/>
  <c r="M134" i="33" s="1"/>
  <c r="E140" i="9" s="1"/>
  <c r="L163" i="33"/>
  <c r="M163" i="33" s="1"/>
  <c r="E169" i="9" s="1"/>
  <c r="L254" i="33"/>
  <c r="M254" i="33" s="1"/>
  <c r="E260" i="9" s="1"/>
  <c r="L128" i="33"/>
  <c r="M128" i="33" s="1"/>
  <c r="E134" i="9" s="1"/>
  <c r="L262" i="33"/>
  <c r="M262" i="33" s="1"/>
  <c r="E268" i="9" s="1"/>
  <c r="L178" i="33"/>
  <c r="M178" i="33" s="1"/>
  <c r="E184" i="9" s="1"/>
  <c r="L181" i="33"/>
  <c r="M181" i="33" s="1"/>
  <c r="E187" i="9" s="1"/>
  <c r="L283" i="33"/>
  <c r="M283" i="33" s="1"/>
  <c r="E289" i="9" s="1"/>
  <c r="L253" i="33"/>
  <c r="M253" i="33" s="1"/>
  <c r="E259" i="9" s="1"/>
  <c r="L248" i="33"/>
  <c r="M248" i="33" s="1"/>
  <c r="E254" i="9" s="1"/>
  <c r="L203" i="33"/>
  <c r="M203" i="33" s="1"/>
  <c r="E209" i="9" s="1"/>
  <c r="L199" i="33"/>
  <c r="M199" i="33" s="1"/>
  <c r="E205" i="9" s="1"/>
  <c r="L91" i="33"/>
  <c r="M91" i="33" s="1"/>
  <c r="E97" i="9" s="1"/>
  <c r="L115" i="33"/>
  <c r="M115" i="33" s="1"/>
  <c r="E121" i="9" s="1"/>
  <c r="L71" i="33"/>
  <c r="M71" i="33" s="1"/>
  <c r="E77" i="9" s="1"/>
  <c r="L280" i="33"/>
  <c r="M280" i="33" s="1"/>
  <c r="E286" i="9" s="1"/>
  <c r="L58" i="33"/>
  <c r="M58" i="33" s="1"/>
  <c r="E64" i="9" s="1"/>
  <c r="L155" i="33"/>
  <c r="M155" i="33" s="1"/>
  <c r="E161" i="9" s="1"/>
  <c r="L244" i="33"/>
  <c r="M244" i="33" s="1"/>
  <c r="E250" i="9" s="1"/>
  <c r="L152" i="33"/>
  <c r="M152" i="33" s="1"/>
  <c r="E158" i="9" s="1"/>
  <c r="L25" i="33"/>
  <c r="M25" i="33" s="1"/>
  <c r="E31" i="9" s="1"/>
  <c r="L69" i="33"/>
  <c r="M69" i="33" s="1"/>
  <c r="E75" i="9" s="1"/>
  <c r="L37" i="33"/>
  <c r="M37" i="33" s="1"/>
  <c r="E43" i="9" s="1"/>
  <c r="L201" i="33"/>
  <c r="M201" i="33" s="1"/>
  <c r="E207" i="9" s="1"/>
  <c r="L47" i="33"/>
  <c r="M47" i="33" s="1"/>
  <c r="E53" i="9" s="1"/>
  <c r="L177" i="33"/>
  <c r="M177" i="33" s="1"/>
  <c r="E183" i="9" s="1"/>
  <c r="L185" i="33"/>
  <c r="M185" i="33" s="1"/>
  <c r="E191" i="9" s="1"/>
  <c r="L11" i="33"/>
  <c r="M11" i="33" s="1"/>
  <c r="E17" i="9" s="1"/>
  <c r="L82" i="33"/>
  <c r="M82" i="33" s="1"/>
  <c r="E88" i="9" s="1"/>
  <c r="L53" i="33"/>
  <c r="M53" i="33" s="1"/>
  <c r="E59" i="9" s="1"/>
  <c r="L12" i="33"/>
  <c r="M12" i="33" s="1"/>
  <c r="E18" i="9" s="1"/>
  <c r="L66" i="33"/>
  <c r="M66" i="33" s="1"/>
  <c r="E72" i="9" s="1"/>
  <c r="L102" i="33"/>
  <c r="M102" i="33" s="1"/>
  <c r="E108" i="9" s="1"/>
  <c r="L112" i="33"/>
  <c r="M112" i="33" s="1"/>
  <c r="E118" i="9" s="1"/>
  <c r="L56" i="33"/>
  <c r="M56" i="33" s="1"/>
  <c r="E62" i="9" s="1"/>
  <c r="L121" i="33"/>
  <c r="M121" i="33" s="1"/>
  <c r="E127" i="9" s="1"/>
  <c r="L278" i="33"/>
  <c r="M278" i="33" s="1"/>
  <c r="E284" i="9" s="1"/>
  <c r="L238" i="33"/>
  <c r="M238" i="33" s="1"/>
  <c r="E244" i="9" s="1"/>
  <c r="L235" i="33"/>
  <c r="M235" i="33" s="1"/>
  <c r="E241" i="9" s="1"/>
  <c r="L165" i="33"/>
  <c r="M165" i="33" s="1"/>
  <c r="E171" i="9" s="1"/>
  <c r="L242" i="33"/>
  <c r="M242" i="33" s="1"/>
  <c r="E248" i="9" s="1"/>
  <c r="L287" i="33"/>
  <c r="M287" i="33" s="1"/>
  <c r="E293" i="9" s="1"/>
  <c r="L158" i="33"/>
  <c r="M158" i="33" s="1"/>
  <c r="E164" i="9" s="1"/>
  <c r="L289" i="33"/>
  <c r="M289" i="33" s="1"/>
  <c r="E295" i="9" s="1"/>
  <c r="L274" i="33"/>
  <c r="M274" i="33" s="1"/>
  <c r="E280" i="9" s="1"/>
  <c r="L171" i="33"/>
  <c r="M171" i="33" s="1"/>
  <c r="E177" i="9" s="1"/>
  <c r="L277" i="33"/>
  <c r="M277" i="33" s="1"/>
  <c r="E283" i="9" s="1"/>
  <c r="L237" i="33"/>
  <c r="M237" i="33" s="1"/>
  <c r="E243" i="9" s="1"/>
  <c r="L147" i="33"/>
  <c r="M147" i="33" s="1"/>
  <c r="E153" i="9" s="1"/>
  <c r="L187" i="33"/>
  <c r="M187" i="33" s="1"/>
  <c r="E193" i="9" s="1"/>
  <c r="L183" i="33"/>
  <c r="M183" i="33" s="1"/>
  <c r="E189" i="9" s="1"/>
  <c r="L108" i="33"/>
  <c r="M108" i="33" s="1"/>
  <c r="E114" i="9" s="1"/>
  <c r="L89" i="33"/>
  <c r="M89" i="33" s="1"/>
  <c r="E95" i="9" s="1"/>
  <c r="L54" i="33"/>
  <c r="M54" i="33" s="1"/>
  <c r="E60" i="9" s="1"/>
  <c r="L251" i="33"/>
  <c r="M251" i="33" s="1"/>
  <c r="E257" i="9" s="1"/>
  <c r="L43" i="33"/>
  <c r="M43" i="33" s="1"/>
  <c r="E49" i="9" s="1"/>
  <c r="L189" i="33"/>
  <c r="M189" i="33" s="1"/>
  <c r="E195" i="9" s="1"/>
  <c r="L118" i="33"/>
  <c r="M118" i="33" s="1"/>
  <c r="E124" i="9" s="1"/>
  <c r="L132" i="33"/>
  <c r="M132" i="33" s="1"/>
  <c r="E138" i="9" s="1"/>
  <c r="L110" i="33"/>
  <c r="M110" i="33" s="1"/>
  <c r="E116" i="9" s="1"/>
  <c r="L200" i="33"/>
  <c r="M200" i="33" s="1"/>
  <c r="E206" i="9" s="1"/>
  <c r="L31" i="33"/>
  <c r="M31" i="33" s="1"/>
  <c r="E37" i="9" s="1"/>
  <c r="L170" i="33"/>
  <c r="M170" i="33" s="1"/>
  <c r="E176" i="9" s="1"/>
  <c r="L214" i="33"/>
  <c r="M214" i="33" s="1"/>
  <c r="E220" i="9" s="1"/>
  <c r="L160" i="33"/>
  <c r="M160" i="33" s="1"/>
  <c r="E166" i="9" s="1"/>
  <c r="L16" i="33"/>
  <c r="M16" i="33" s="1"/>
  <c r="E22" i="9" s="1"/>
  <c r="L85" i="33"/>
  <c r="M85" i="33" s="1"/>
  <c r="E91" i="9" s="1"/>
  <c r="L127" i="33"/>
  <c r="M127" i="33" s="1"/>
  <c r="E133" i="9" s="1"/>
  <c r="L15" i="33"/>
  <c r="M15" i="33" s="1"/>
  <c r="E21" i="9" s="1"/>
  <c r="L100" i="33"/>
  <c r="M100" i="33" s="1"/>
  <c r="E106" i="9" s="1"/>
  <c r="L149" i="33"/>
  <c r="M149" i="33" s="1"/>
  <c r="E155" i="9" s="1"/>
  <c r="L146" i="33"/>
  <c r="M146" i="33" s="1"/>
  <c r="E152" i="9" s="1"/>
  <c r="L120" i="33"/>
  <c r="M120" i="33" s="1"/>
  <c r="E126" i="9" s="1"/>
  <c r="L75" i="33"/>
  <c r="M75" i="33" s="1"/>
  <c r="E81" i="9" s="1"/>
  <c r="L113" i="33"/>
  <c r="M113" i="33" s="1"/>
  <c r="E119" i="9" s="1"/>
  <c r="L10" i="33"/>
  <c r="M10" i="33" s="1"/>
  <c r="E16" i="9" s="1"/>
  <c r="L301" i="33"/>
  <c r="M301" i="33" s="1"/>
  <c r="E307" i="9" s="1"/>
  <c r="L219" i="33"/>
  <c r="M219" i="33" s="1"/>
  <c r="E225" i="9" s="1"/>
  <c r="L281" i="33"/>
  <c r="M281" i="33" s="1"/>
  <c r="E287" i="9" s="1"/>
  <c r="L291" i="33"/>
  <c r="M291" i="33" s="1"/>
  <c r="E297" i="9" s="1"/>
  <c r="L311" i="33"/>
  <c r="M311" i="33" s="1"/>
  <c r="E317" i="9" s="1"/>
  <c r="L173" i="33"/>
  <c r="M173" i="33" s="1"/>
  <c r="E179" i="9" s="1"/>
  <c r="L250" i="33"/>
  <c r="M250" i="33" s="1"/>
  <c r="E256" i="9" s="1"/>
  <c r="L305" i="33"/>
  <c r="M305" i="33" s="1"/>
  <c r="E311" i="9" s="1"/>
  <c r="L230" i="33"/>
  <c r="M230" i="33" s="1"/>
  <c r="E236" i="9" s="1"/>
  <c r="L273" i="33"/>
  <c r="M273" i="33" s="1"/>
  <c r="E279" i="9" s="1"/>
  <c r="L298" i="33"/>
  <c r="M298" i="33" s="1"/>
  <c r="E304" i="9" s="1"/>
  <c r="L206" i="33"/>
  <c r="M206" i="33" s="1"/>
  <c r="E212" i="9" s="1"/>
  <c r="L148" i="33"/>
  <c r="M148" i="33" s="1"/>
  <c r="E154" i="9" s="1"/>
  <c r="L175" i="33"/>
  <c r="M175" i="33" s="1"/>
  <c r="E181" i="9" s="1"/>
  <c r="L101" i="33"/>
  <c r="M101" i="33" s="1"/>
  <c r="E107" i="9" s="1"/>
  <c r="L63" i="33"/>
  <c r="M63" i="33" s="1"/>
  <c r="E69" i="9" s="1"/>
  <c r="L55" i="33"/>
  <c r="M55" i="33" s="1"/>
  <c r="E61" i="9" s="1"/>
  <c r="L300" i="33"/>
  <c r="M300" i="33" s="1"/>
  <c r="E306" i="9" s="1"/>
  <c r="L166" i="33"/>
  <c r="M166" i="33" s="1"/>
  <c r="E172" i="9" s="1"/>
  <c r="L130" i="33"/>
  <c r="M130" i="33" s="1"/>
  <c r="E136" i="9" s="1"/>
  <c r="L239" i="33"/>
  <c r="M239" i="33" s="1"/>
  <c r="E245" i="9" s="1"/>
  <c r="L87" i="33"/>
  <c r="M87" i="33" s="1"/>
  <c r="E93" i="9" s="1"/>
  <c r="L259" i="33"/>
  <c r="M259" i="33" s="1"/>
  <c r="E265" i="9" s="1"/>
  <c r="L284" i="33"/>
  <c r="M284" i="33" s="1"/>
  <c r="E290" i="9" s="1"/>
  <c r="L77" i="33"/>
  <c r="M77" i="33" s="1"/>
  <c r="E83" i="9" s="1"/>
  <c r="L168" i="33"/>
  <c r="M168" i="33" s="1"/>
  <c r="E174" i="9" s="1"/>
  <c r="L64" i="33"/>
  <c r="M64" i="33" s="1"/>
  <c r="E70" i="9" s="1"/>
  <c r="L255" i="33"/>
  <c r="M255" i="33" s="1"/>
  <c r="E261" i="9" s="1"/>
  <c r="L17" i="33"/>
  <c r="M17" i="33" s="1"/>
  <c r="E23" i="9" s="1"/>
  <c r="L161" i="33"/>
  <c r="M161" i="33" s="1"/>
  <c r="E167" i="9" s="1"/>
  <c r="L107" i="33"/>
  <c r="M107" i="33" s="1"/>
  <c r="E113" i="9" s="1"/>
  <c r="L14" i="33"/>
  <c r="M14" i="33" s="1"/>
  <c r="E20" i="9" s="1"/>
  <c r="L122" i="33"/>
  <c r="M122" i="33" s="1"/>
  <c r="E128" i="9" s="1"/>
  <c r="L129" i="33"/>
  <c r="M129" i="33" s="1"/>
  <c r="E135" i="9" s="1"/>
  <c r="L106" i="33"/>
  <c r="M106" i="33" s="1"/>
  <c r="E112" i="9" s="1"/>
  <c r="L131" i="33"/>
  <c r="M131" i="33" s="1"/>
  <c r="E137" i="9" s="1"/>
  <c r="L224" i="33"/>
  <c r="M224" i="33" s="1"/>
  <c r="E230" i="9" s="1"/>
  <c r="L34" i="33"/>
  <c r="M34" i="33" s="1"/>
  <c r="E40" i="9" s="1"/>
  <c r="L22" i="33"/>
  <c r="M22" i="33" s="1"/>
  <c r="E28" i="9" s="1"/>
  <c r="L204" i="33"/>
  <c r="M204" i="33" s="1"/>
  <c r="E210" i="9" s="1"/>
  <c r="L249" i="33"/>
  <c r="M249" i="33" s="1"/>
  <c r="E255" i="9" s="1"/>
  <c r="L228" i="33"/>
  <c r="M228" i="33" s="1"/>
  <c r="E234" i="9" s="1"/>
  <c r="L303" i="33"/>
  <c r="M303" i="33" s="1"/>
  <c r="E309" i="9" s="1"/>
  <c r="L234" i="33"/>
  <c r="M234" i="33" s="1"/>
  <c r="E240" i="9" s="1"/>
  <c r="L313" i="33"/>
  <c r="M313" i="33" s="1"/>
  <c r="E319" i="9" s="1"/>
  <c r="L261" i="33"/>
  <c r="M261" i="33" s="1"/>
  <c r="E267" i="9" s="1"/>
  <c r="L157" i="33"/>
  <c r="M157" i="33" s="1"/>
  <c r="E163" i="9" s="1"/>
  <c r="L269" i="33"/>
  <c r="M269" i="33" s="1"/>
  <c r="E275" i="9" s="1"/>
  <c r="L297" i="33"/>
  <c r="M297" i="33" s="1"/>
  <c r="E303" i="9" s="1"/>
  <c r="L232" i="33"/>
  <c r="M232" i="33" s="1"/>
  <c r="E238" i="9" s="1"/>
  <c r="L191" i="33"/>
  <c r="M191" i="33" s="1"/>
  <c r="E197" i="9" s="1"/>
  <c r="L139" i="33"/>
  <c r="M139" i="33" s="1"/>
  <c r="E145" i="9" s="1"/>
  <c r="L137" i="33"/>
  <c r="M137" i="33" s="1"/>
  <c r="E143" i="9" s="1"/>
  <c r="L93" i="33"/>
  <c r="M93" i="33" s="1"/>
  <c r="E99" i="9" s="1"/>
  <c r="L124" i="33"/>
  <c r="M124" i="33" s="1"/>
  <c r="E130" i="9" s="1"/>
  <c r="L51" i="33"/>
  <c r="M51" i="33" s="1"/>
  <c r="E57" i="9" s="1"/>
  <c r="L292" i="33"/>
  <c r="M292" i="33" s="1"/>
  <c r="E298" i="9" s="1"/>
  <c r="L19" i="33"/>
  <c r="M19" i="33" s="1"/>
  <c r="E25" i="9" s="1"/>
  <c r="L197" i="33"/>
  <c r="M197" i="33" s="1"/>
  <c r="E203" i="9" s="1"/>
  <c r="L88" i="33"/>
  <c r="M88" i="33" s="1"/>
  <c r="E94" i="9" s="1"/>
  <c r="L159" i="33"/>
  <c r="M159" i="33" s="1"/>
  <c r="E165" i="9" s="1"/>
  <c r="L236" i="33"/>
  <c r="M236" i="33" s="1"/>
  <c r="E242" i="9" s="1"/>
  <c r="L312" i="33"/>
  <c r="M312" i="33" s="1"/>
  <c r="E318" i="9" s="1"/>
  <c r="L72" i="33"/>
  <c r="M72" i="33" s="1"/>
  <c r="E78" i="9" s="1"/>
  <c r="L221" i="33"/>
  <c r="M221" i="33" s="1"/>
  <c r="E227" i="9" s="1"/>
  <c r="L41" i="33"/>
  <c r="M41" i="33" s="1"/>
  <c r="E47" i="9" s="1"/>
  <c r="L81" i="33"/>
  <c r="M81" i="33" s="1"/>
  <c r="E87" i="9" s="1"/>
  <c r="L60" i="33"/>
  <c r="M60" i="33" s="1"/>
  <c r="E66" i="9" s="1"/>
  <c r="L264" i="33"/>
  <c r="M264" i="33" s="1"/>
  <c r="E270" i="9" s="1"/>
  <c r="L186" i="33"/>
  <c r="M186" i="33" s="1"/>
  <c r="E192" i="9" s="1"/>
  <c r="L49" i="33"/>
  <c r="M49" i="33" s="1"/>
  <c r="E55" i="9" s="1"/>
  <c r="L126" i="33"/>
  <c r="M126" i="33" s="1"/>
  <c r="E132" i="9" s="1"/>
  <c r="L212" i="33"/>
  <c r="M212" i="33" s="1"/>
  <c r="E218" i="9" s="1"/>
  <c r="L8" i="33"/>
  <c r="M8" i="33" s="1"/>
  <c r="E14" i="9" s="1"/>
  <c r="L194" i="33"/>
  <c r="M194" i="33" s="1"/>
  <c r="E200" i="9" s="1"/>
  <c r="L153" i="33"/>
  <c r="M153" i="33" s="1"/>
  <c r="E159" i="9" s="1"/>
  <c r="L40" i="33"/>
  <c r="M40" i="33" s="1"/>
  <c r="E46" i="9" s="1"/>
  <c r="L38" i="33"/>
  <c r="M38" i="33" s="1"/>
  <c r="E44" i="9" s="1"/>
  <c r="L258" i="33"/>
  <c r="M258" i="33" s="1"/>
  <c r="E264" i="9" s="1"/>
  <c r="L308" i="33"/>
  <c r="M308" i="33" s="1"/>
  <c r="E314" i="9" s="1"/>
  <c r="L270" i="33"/>
  <c r="M270" i="33" s="1"/>
  <c r="E276" i="9" s="1"/>
  <c r="L210" i="33"/>
  <c r="M210" i="33" s="1"/>
  <c r="E216" i="9" s="1"/>
  <c r="L246" i="33"/>
  <c r="M246" i="33" s="1"/>
  <c r="E252" i="9" s="1"/>
  <c r="L245" i="33"/>
  <c r="M245" i="33" s="1"/>
  <c r="E251" i="9" s="1"/>
  <c r="L266" i="33"/>
  <c r="M266" i="33" s="1"/>
  <c r="E272" i="9" s="1"/>
  <c r="L94" i="33"/>
  <c r="M94" i="33" s="1"/>
  <c r="E100" i="9" s="1"/>
  <c r="L223" i="33"/>
  <c r="M223" i="33" s="1"/>
  <c r="E229" i="9" s="1"/>
  <c r="L140" i="33"/>
  <c r="M140" i="33" s="1"/>
  <c r="E146" i="9" s="1"/>
  <c r="L276" i="33"/>
  <c r="M276" i="33" s="1"/>
  <c r="E282" i="9" s="1"/>
  <c r="L180" i="33"/>
  <c r="M180" i="33" s="1"/>
  <c r="E186" i="9" s="1"/>
  <c r="L141" i="33"/>
  <c r="M141" i="33" s="1"/>
  <c r="E147" i="9" s="1"/>
  <c r="L195" i="33"/>
  <c r="M195" i="33" s="1"/>
  <c r="E201" i="9" s="1"/>
  <c r="L103" i="33"/>
  <c r="M103" i="33" s="1"/>
  <c r="E109" i="9" s="1"/>
  <c r="L105" i="33"/>
  <c r="M105" i="33" s="1"/>
  <c r="E111" i="9" s="1"/>
  <c r="L296" i="33"/>
  <c r="M296" i="33" s="1"/>
  <c r="E302" i="9" s="1"/>
  <c r="L21" i="33"/>
  <c r="M21" i="33" s="1"/>
  <c r="E27" i="9" s="1"/>
  <c r="L271" i="33"/>
  <c r="M271" i="33" s="1"/>
  <c r="E277" i="9" s="1"/>
  <c r="L294" i="33"/>
  <c r="M294" i="33" s="1"/>
  <c r="E300" i="9" s="1"/>
  <c r="L80" i="33"/>
  <c r="M80" i="33" s="1"/>
  <c r="E86" i="9" s="1"/>
  <c r="L263" i="33"/>
  <c r="M263" i="33" s="1"/>
  <c r="E269" i="9" s="1"/>
  <c r="L304" i="33"/>
  <c r="M304" i="33" s="1"/>
  <c r="E310" i="9" s="1"/>
  <c r="L73" i="33"/>
  <c r="M73" i="33" s="1"/>
  <c r="E79" i="9" s="1"/>
  <c r="L213" i="33"/>
  <c r="M213" i="33" s="1"/>
  <c r="E219" i="9" s="1"/>
  <c r="L39" i="33"/>
  <c r="M39" i="33" s="1"/>
  <c r="E45" i="9" s="1"/>
  <c r="L114" i="33"/>
  <c r="M114" i="33" s="1"/>
  <c r="E120" i="9" s="1"/>
  <c r="L111" i="33"/>
  <c r="M111" i="33" s="1"/>
  <c r="E117" i="9" s="1"/>
  <c r="L20" i="33"/>
  <c r="M20" i="33" s="1"/>
  <c r="E26" i="9" s="1"/>
  <c r="L176" i="33"/>
  <c r="M176" i="33" s="1"/>
  <c r="E182" i="9" s="1"/>
  <c r="L26" i="33"/>
  <c r="M26" i="33" s="1"/>
  <c r="E32" i="9" s="1"/>
  <c r="L167" i="33"/>
  <c r="M167" i="33" s="1"/>
  <c r="E173" i="9" s="1"/>
  <c r="L169" i="33"/>
  <c r="M169" i="33" s="1"/>
  <c r="E175" i="9" s="1"/>
  <c r="L42" i="33"/>
  <c r="M42" i="33" s="1"/>
  <c r="E48" i="9" s="1"/>
  <c r="L61" i="33"/>
  <c r="M61" i="33" s="1"/>
  <c r="E67" i="9" s="1"/>
  <c r="L216" i="33"/>
  <c r="M216" i="33" s="1"/>
  <c r="E222" i="9" s="1"/>
  <c r="L74" i="33"/>
  <c r="M74" i="33" s="1"/>
  <c r="E80" i="9" s="1"/>
  <c r="L52" i="33"/>
  <c r="M52" i="33" s="1"/>
  <c r="E58" i="9" s="1"/>
  <c r="L138" i="33"/>
  <c r="M138" i="33" s="1"/>
  <c r="E144" i="9" s="1"/>
  <c r="L272" i="33"/>
  <c r="M272" i="33" s="1"/>
  <c r="E278" i="9" s="1"/>
  <c r="L243" i="33"/>
  <c r="M243" i="33" s="1"/>
  <c r="E249" i="9" s="1"/>
  <c r="L309" i="33"/>
  <c r="M309" i="33" s="1"/>
  <c r="E315" i="9" s="1"/>
  <c r="L299" i="33"/>
  <c r="M299" i="33" s="1"/>
  <c r="E305" i="9" s="1"/>
  <c r="L226" i="33"/>
  <c r="M226" i="33" s="1"/>
  <c r="E232" i="9" s="1"/>
  <c r="L218" i="33"/>
  <c r="M218" i="33" s="1"/>
  <c r="E224" i="9" s="1"/>
  <c r="L98" i="33"/>
  <c r="M98" i="33" s="1"/>
  <c r="E104" i="9" s="1"/>
  <c r="L233" i="33"/>
  <c r="M233" i="33" s="1"/>
  <c r="E239" i="9" s="1"/>
  <c r="L151" i="33"/>
  <c r="M151" i="33" s="1"/>
  <c r="E157" i="9" s="1"/>
  <c r="L260" i="33"/>
  <c r="M260" i="33" s="1"/>
  <c r="E266" i="9" s="1"/>
  <c r="L215" i="33"/>
  <c r="M215" i="33" s="1"/>
  <c r="E221" i="9" s="1"/>
  <c r="L133" i="33"/>
  <c r="M133" i="33" s="1"/>
  <c r="E139" i="9" s="1"/>
  <c r="L142" i="33"/>
  <c r="M142" i="33" s="1"/>
  <c r="E148" i="9" s="1"/>
  <c r="L95" i="33"/>
  <c r="M95" i="33" s="1"/>
  <c r="E101" i="9" s="1"/>
  <c r="L97" i="33"/>
  <c r="M97" i="33" s="1"/>
  <c r="E103" i="9" s="1"/>
  <c r="L172" i="33"/>
  <c r="M172" i="33" s="1"/>
  <c r="E178" i="9" s="1"/>
  <c r="L33" i="33"/>
  <c r="M33" i="33" s="1"/>
  <c r="E39" i="9" s="1"/>
  <c r="L68" i="33"/>
  <c r="M68" i="33" s="1"/>
  <c r="E74" i="9" s="1"/>
  <c r="L282" i="33"/>
  <c r="M282" i="33" s="1"/>
  <c r="E288" i="9" s="1"/>
  <c r="L27" i="33"/>
  <c r="M27" i="33" s="1"/>
  <c r="E33" i="9" s="1"/>
  <c r="L267" i="33"/>
  <c r="M267" i="33" s="1"/>
  <c r="E273" i="9" s="1"/>
  <c r="L220" i="33"/>
  <c r="M220" i="33" s="1"/>
  <c r="E226" i="9" s="1"/>
  <c r="L156" i="33"/>
  <c r="M156" i="33" s="1"/>
  <c r="E162" i="9" s="1"/>
  <c r="L209" i="33"/>
  <c r="M209" i="33" s="1"/>
  <c r="E215" i="9" s="1"/>
  <c r="L23" i="33"/>
  <c r="M23" i="33" s="1"/>
  <c r="E29" i="9" s="1"/>
  <c r="L217" i="33"/>
  <c r="M217" i="33" s="1"/>
  <c r="E223" i="9" s="1"/>
  <c r="L6" i="33"/>
  <c r="M6" i="33" s="1"/>
  <c r="E12" i="9" s="1"/>
  <c r="L28" i="33"/>
  <c r="M28" i="33" s="1"/>
  <c r="E34" i="9" s="1"/>
  <c r="L18" i="33"/>
  <c r="M18" i="33" s="1"/>
  <c r="E24" i="9" s="1"/>
  <c r="L30" i="33"/>
  <c r="M30" i="33" s="1"/>
  <c r="E36" i="9" s="1"/>
  <c r="L293" i="33"/>
  <c r="M293" i="33" s="1"/>
  <c r="E299" i="9" s="1"/>
  <c r="L46" i="33"/>
  <c r="M46" i="33" s="1"/>
  <c r="E52" i="9" s="1"/>
  <c r="L59" i="33"/>
  <c r="M59" i="33" s="1"/>
  <c r="E65" i="9" s="1"/>
  <c r="L62" i="33"/>
  <c r="M62" i="33" s="1"/>
  <c r="E68" i="9" s="1"/>
  <c r="L13" i="33"/>
  <c r="M13" i="33" s="1"/>
  <c r="E19" i="9" s="1"/>
  <c r="L117" i="33"/>
  <c r="M117" i="33" s="1"/>
  <c r="E123" i="9" s="1"/>
  <c r="L104" i="33"/>
  <c r="M104" i="33" s="1"/>
  <c r="E110" i="9" s="1"/>
  <c r="L257" i="33"/>
  <c r="M257" i="33" s="1"/>
  <c r="E263" i="9" s="1"/>
  <c r="L125" i="33"/>
  <c r="M125" i="33" s="1"/>
  <c r="E131" i="9" s="1"/>
  <c r="L135" i="33"/>
  <c r="M135" i="33" s="1"/>
  <c r="E141" i="9" s="1"/>
  <c r="L306" i="33"/>
  <c r="M306" i="33" s="1"/>
  <c r="E312" i="9" s="1"/>
  <c r="L225" i="33"/>
  <c r="M225" i="33" s="1"/>
  <c r="E231" i="9" s="1"/>
  <c r="L208" i="33"/>
  <c r="M208" i="33" s="1"/>
  <c r="E214" i="9" s="1"/>
  <c r="L241" i="33"/>
  <c r="M241" i="33" s="1"/>
  <c r="E247" i="9" s="1"/>
  <c r="L182" i="33"/>
  <c r="M182" i="33" s="1"/>
  <c r="E188" i="9" s="1"/>
  <c r="L240" i="33"/>
  <c r="M240" i="33" s="1"/>
  <c r="E246" i="9" s="1"/>
  <c r="L229" i="33"/>
  <c r="M229" i="33" s="1"/>
  <c r="E235" i="9" s="1"/>
  <c r="L256" i="33"/>
  <c r="M256" i="33" s="1"/>
  <c r="E262" i="9" s="1"/>
  <c r="L154" i="33"/>
  <c r="M154" i="33" s="1"/>
  <c r="E160" i="9" s="1"/>
  <c r="L222" i="33"/>
  <c r="M222" i="33" s="1"/>
  <c r="E228" i="9" s="1"/>
  <c r="L144" i="33"/>
  <c r="M144" i="33" s="1"/>
  <c r="E150" i="9" s="1"/>
  <c r="L83" i="33"/>
  <c r="M83" i="33" s="1"/>
  <c r="E89" i="9" s="1"/>
  <c r="L123" i="33"/>
  <c r="M123" i="33" s="1"/>
  <c r="E129" i="9" s="1"/>
  <c r="L310" i="33"/>
  <c r="M310" i="33" s="1"/>
  <c r="E316" i="9" s="1"/>
  <c r="L247" i="33"/>
  <c r="M247" i="33" s="1"/>
  <c r="E253" i="9" s="1"/>
  <c r="L192" i="33"/>
  <c r="M192" i="33" s="1"/>
  <c r="E198" i="9" s="1"/>
  <c r="L302" i="33"/>
  <c r="M302" i="33" s="1"/>
  <c r="E308" i="9" s="1"/>
  <c r="L29" i="33"/>
  <c r="M29" i="33" s="1"/>
  <c r="E35" i="9" s="1"/>
  <c r="L150" i="33"/>
  <c r="M150" i="33" s="1"/>
  <c r="E156" i="9" s="1"/>
  <c r="L45" i="33"/>
  <c r="M45" i="33" s="1"/>
  <c r="E51" i="9" s="1"/>
  <c r="L76" i="33"/>
  <c r="M76" i="33" s="1"/>
  <c r="E82" i="9" s="1"/>
  <c r="L164" i="33"/>
  <c r="M164" i="33" s="1"/>
  <c r="E170" i="9" s="1"/>
  <c r="L119" i="33"/>
  <c r="M119" i="33" s="1"/>
  <c r="E125" i="9" s="1"/>
  <c r="L193" i="33"/>
  <c r="M193" i="33" s="1"/>
  <c r="E199" i="9" s="1"/>
  <c r="L36" i="33"/>
  <c r="M36" i="33" s="1"/>
  <c r="E42" i="9" s="1"/>
  <c r="L32" i="33"/>
  <c r="M32" i="33" s="1"/>
  <c r="E38" i="9" s="1"/>
  <c r="L24" i="33"/>
  <c r="M24" i="33" s="1"/>
  <c r="E30" i="9" s="1"/>
  <c r="L50" i="33"/>
  <c r="M50" i="33" s="1"/>
  <c r="E56" i="9" s="1"/>
  <c r="L57" i="33"/>
  <c r="M57" i="33" s="1"/>
  <c r="E63" i="9" s="1"/>
  <c r="L78" i="33"/>
  <c r="M78" i="33" s="1"/>
  <c r="E84" i="9" s="1"/>
  <c r="L86" i="33"/>
  <c r="M86" i="33" s="1"/>
  <c r="E92" i="9" s="1"/>
  <c r="L79" i="33"/>
  <c r="M79" i="33" s="1"/>
  <c r="E85" i="9" s="1"/>
  <c r="L84" i="33"/>
  <c r="M84" i="33" s="1"/>
  <c r="E90" i="9" s="1"/>
  <c r="L143" i="33"/>
  <c r="M143" i="33" s="1"/>
  <c r="E149" i="9" s="1"/>
  <c r="L162" i="33"/>
  <c r="M162" i="33" s="1"/>
  <c r="E168" i="9" s="1"/>
  <c r="L279" i="33"/>
  <c r="M279" i="33" s="1"/>
  <c r="E285" i="9" s="1"/>
  <c r="L116" i="33"/>
  <c r="M116" i="33" s="1"/>
  <c r="E122" i="9" s="1"/>
  <c r="L190" i="33"/>
  <c r="M190" i="33" s="1"/>
  <c r="E196" i="9" s="1"/>
  <c r="L207" i="33"/>
  <c r="M207" i="33" s="1"/>
  <c r="E213" i="9" s="1"/>
  <c r="L265" i="33"/>
  <c r="M265" i="33" s="1"/>
  <c r="E271" i="9" s="1"/>
  <c r="L227" i="33"/>
  <c r="M227" i="33" s="1"/>
  <c r="E233" i="9" s="1"/>
  <c r="L252" i="33"/>
  <c r="M252" i="33" s="1"/>
  <c r="E258" i="9" s="1"/>
  <c r="L198" i="33"/>
  <c r="M198" i="33" s="1"/>
  <c r="E204" i="9" s="1"/>
  <c r="L307" i="33"/>
  <c r="M307" i="33" s="1"/>
  <c r="E313" i="9" s="1"/>
  <c r="L285" i="33"/>
  <c r="M285" i="33" s="1"/>
  <c r="E291" i="9" s="1"/>
  <c r="L268" i="33"/>
  <c r="M268" i="33" s="1"/>
  <c r="E274" i="9" s="1"/>
  <c r="L145" i="33"/>
  <c r="M145" i="33" s="1"/>
  <c r="E151" i="9" s="1"/>
  <c r="L211" i="33"/>
  <c r="M211" i="33" s="1"/>
  <c r="E217" i="9" s="1"/>
  <c r="L99" i="33"/>
  <c r="M99" i="33" s="1"/>
  <c r="E105" i="9" s="1"/>
  <c r="L67" i="33"/>
  <c r="M67" i="33" s="1"/>
  <c r="E73" i="9" s="1"/>
  <c r="L109" i="33"/>
  <c r="M109" i="33" s="1"/>
  <c r="E115" i="9" s="1"/>
  <c r="L5" i="33"/>
  <c r="M5" i="33" l="1"/>
  <c r="H5" i="11" l="1"/>
  <c r="I5" i="11" s="1"/>
  <c r="F18" i="48"/>
  <c r="E11" i="9"/>
  <c r="M314" i="33"/>
  <c r="C6" i="9" s="1"/>
  <c r="C7" i="9" s="1"/>
  <c r="L16" i="11" l="1"/>
  <c r="M16" i="11" s="1"/>
  <c r="H16" i="11"/>
  <c r="I16" i="11" s="1"/>
  <c r="L44" i="11"/>
  <c r="M44" i="11" s="1"/>
  <c r="H44" i="11"/>
  <c r="I44" i="11" s="1"/>
  <c r="L15" i="11"/>
  <c r="M15" i="11" s="1"/>
  <c r="H15" i="11"/>
  <c r="I15" i="11" s="1"/>
  <c r="L49" i="11"/>
  <c r="M49" i="11" s="1"/>
  <c r="H49" i="11"/>
  <c r="I49" i="11" s="1"/>
  <c r="L59" i="11"/>
  <c r="M59" i="11" s="1"/>
  <c r="H59" i="11"/>
  <c r="I59" i="11" s="1"/>
  <c r="L13" i="11"/>
  <c r="M13" i="11" s="1"/>
  <c r="H13" i="11"/>
  <c r="I13" i="11" s="1"/>
  <c r="L65" i="11"/>
  <c r="M65" i="11" s="1"/>
  <c r="H65" i="11"/>
  <c r="I65" i="11" s="1"/>
  <c r="L47" i="11"/>
  <c r="M47" i="11" s="1"/>
  <c r="H47" i="11"/>
  <c r="I47" i="11" s="1"/>
  <c r="L68" i="11"/>
  <c r="M68" i="11" s="1"/>
  <c r="H68" i="11"/>
  <c r="I68" i="11" s="1"/>
  <c r="L19" i="11"/>
  <c r="M19" i="11" s="1"/>
  <c r="H19" i="11"/>
  <c r="I19" i="11" s="1"/>
  <c r="L22" i="11"/>
  <c r="M22" i="11" s="1"/>
  <c r="H22" i="11"/>
  <c r="I22" i="11" s="1"/>
  <c r="L62" i="11"/>
  <c r="M62" i="11" s="1"/>
  <c r="H62" i="11"/>
  <c r="I62" i="11" s="1"/>
  <c r="L20" i="11"/>
  <c r="M20" i="11" s="1"/>
  <c r="H20" i="11"/>
  <c r="I20" i="11" s="1"/>
  <c r="L17" i="11"/>
  <c r="M17" i="11" s="1"/>
  <c r="H17" i="11"/>
  <c r="I17" i="11" s="1"/>
  <c r="L10" i="11"/>
  <c r="M10" i="11" s="1"/>
  <c r="H10" i="11"/>
  <c r="I10" i="11" s="1"/>
  <c r="L6" i="11"/>
  <c r="M6" i="11" s="1"/>
  <c r="H6" i="11"/>
  <c r="I6" i="11" s="1"/>
  <c r="L18" i="11"/>
  <c r="M18" i="11" s="1"/>
  <c r="H18" i="11"/>
  <c r="I18" i="11" s="1"/>
  <c r="L45" i="11"/>
  <c r="M45" i="11" s="1"/>
  <c r="H45" i="11"/>
  <c r="I45" i="11" s="1"/>
  <c r="L39" i="11"/>
  <c r="M39" i="11" s="1"/>
  <c r="H39" i="11"/>
  <c r="I39" i="11" s="1"/>
  <c r="L76" i="11"/>
  <c r="M76" i="11" s="1"/>
  <c r="H76" i="11"/>
  <c r="I76" i="11" s="1"/>
  <c r="L61" i="11"/>
  <c r="M61" i="11" s="1"/>
  <c r="H61" i="11"/>
  <c r="I61" i="11" s="1"/>
  <c r="L28" i="11"/>
  <c r="M28" i="11" s="1"/>
  <c r="H28" i="11"/>
  <c r="I28" i="11" s="1"/>
  <c r="L41" i="11"/>
  <c r="M41" i="11" s="1"/>
  <c r="H41" i="11"/>
  <c r="I41" i="11" s="1"/>
  <c r="L21" i="11"/>
  <c r="M21" i="11" s="1"/>
  <c r="H21" i="11"/>
  <c r="I21" i="11" s="1"/>
  <c r="L67" i="11"/>
  <c r="M67" i="11" s="1"/>
  <c r="H67" i="11"/>
  <c r="I67" i="11" s="1"/>
  <c r="L24" i="11"/>
  <c r="M24" i="11" s="1"/>
  <c r="H24" i="11"/>
  <c r="I24" i="11" s="1"/>
  <c r="L51" i="11"/>
  <c r="M51" i="11" s="1"/>
  <c r="H51" i="11"/>
  <c r="I51" i="11" s="1"/>
  <c r="L8" i="11"/>
  <c r="M8" i="11" s="1"/>
  <c r="H8" i="11"/>
  <c r="I8" i="11" s="1"/>
  <c r="L37" i="11"/>
  <c r="M37" i="11" s="1"/>
  <c r="H37" i="11"/>
  <c r="I37" i="11" s="1"/>
  <c r="L58" i="11"/>
  <c r="M58" i="11" s="1"/>
  <c r="H58" i="11"/>
  <c r="I58" i="11" s="1"/>
  <c r="L30" i="11"/>
  <c r="M30" i="11" s="1"/>
  <c r="H30" i="11"/>
  <c r="I30" i="11" s="1"/>
  <c r="L27" i="11"/>
  <c r="M27" i="11" s="1"/>
  <c r="H27" i="11"/>
  <c r="I27" i="11" s="1"/>
  <c r="L46" i="11"/>
  <c r="M46" i="11" s="1"/>
  <c r="H46" i="11"/>
  <c r="I46" i="11" s="1"/>
  <c r="L52" i="11"/>
  <c r="M52" i="11" s="1"/>
  <c r="H52" i="11"/>
  <c r="I52" i="11" s="1"/>
  <c r="L31" i="11"/>
  <c r="M31" i="11" s="1"/>
  <c r="H31" i="11"/>
  <c r="I31" i="11" s="1"/>
  <c r="L43" i="11"/>
  <c r="M43" i="11" s="1"/>
  <c r="H43" i="11"/>
  <c r="I43" i="11" s="1"/>
  <c r="L73" i="11"/>
  <c r="M73" i="11" s="1"/>
  <c r="H73" i="11"/>
  <c r="I73" i="11" s="1"/>
  <c r="L57" i="11"/>
  <c r="M57" i="11" s="1"/>
  <c r="H57" i="11"/>
  <c r="I57" i="11" s="1"/>
  <c r="L23" i="11"/>
  <c r="M23" i="11" s="1"/>
  <c r="H23" i="11"/>
  <c r="I23" i="11" s="1"/>
  <c r="L25" i="11"/>
  <c r="M25" i="11" s="1"/>
  <c r="H25" i="11"/>
  <c r="I25" i="11" s="1"/>
  <c r="L33" i="11"/>
  <c r="M33" i="11" s="1"/>
  <c r="H33" i="11"/>
  <c r="I33" i="11" s="1"/>
  <c r="L35" i="11"/>
  <c r="M35" i="11" s="1"/>
  <c r="H35" i="11"/>
  <c r="I35" i="11" s="1"/>
  <c r="L32" i="11"/>
  <c r="M32" i="11" s="1"/>
  <c r="H32" i="11"/>
  <c r="I32" i="11" s="1"/>
  <c r="L70" i="11"/>
  <c r="M70" i="11" s="1"/>
  <c r="H70" i="11"/>
  <c r="I70" i="11" s="1"/>
  <c r="L55" i="11"/>
  <c r="M55" i="11" s="1"/>
  <c r="H55" i="11"/>
  <c r="I55" i="11" s="1"/>
  <c r="L12" i="11"/>
  <c r="M12" i="11" s="1"/>
  <c r="H12" i="11"/>
  <c r="I12" i="11" s="1"/>
  <c r="L74" i="11"/>
  <c r="M74" i="11" s="1"/>
  <c r="H74" i="11"/>
  <c r="I74" i="11" s="1"/>
  <c r="L53" i="11"/>
  <c r="M53" i="11" s="1"/>
  <c r="H53" i="11"/>
  <c r="I53" i="11" s="1"/>
  <c r="L9" i="11"/>
  <c r="M9" i="11" s="1"/>
  <c r="H9" i="11"/>
  <c r="I9" i="11" s="1"/>
  <c r="L11" i="11"/>
  <c r="M11" i="11" s="1"/>
  <c r="H11" i="11"/>
  <c r="I11" i="11" s="1"/>
  <c r="L36" i="11"/>
  <c r="M36" i="11" s="1"/>
  <c r="H36" i="11"/>
  <c r="I36" i="11" s="1"/>
  <c r="L63" i="11"/>
  <c r="M63" i="11" s="1"/>
  <c r="H63" i="11"/>
  <c r="I63" i="11" s="1"/>
  <c r="L50" i="11"/>
  <c r="M50" i="11" s="1"/>
  <c r="H50" i="11"/>
  <c r="I50" i="11" s="1"/>
  <c r="L72" i="11"/>
  <c r="M72" i="11" s="1"/>
  <c r="H72" i="11"/>
  <c r="I72" i="11" s="1"/>
  <c r="L26" i="11"/>
  <c r="M26" i="11" s="1"/>
  <c r="H26" i="11"/>
  <c r="I26" i="11" s="1"/>
  <c r="L66" i="11"/>
  <c r="M66" i="11" s="1"/>
  <c r="H66" i="11"/>
  <c r="I66" i="11" s="1"/>
  <c r="L75" i="11"/>
  <c r="M75" i="11" s="1"/>
  <c r="H75" i="11"/>
  <c r="I75" i="11" s="1"/>
  <c r="L64" i="11"/>
  <c r="M64" i="11" s="1"/>
  <c r="H64" i="11"/>
  <c r="I64" i="11" s="1"/>
  <c r="L56" i="11"/>
  <c r="M56" i="11" s="1"/>
  <c r="H56" i="11"/>
  <c r="I56" i="11" s="1"/>
  <c r="L38" i="11"/>
  <c r="M38" i="11" s="1"/>
  <c r="H38" i="11"/>
  <c r="I38" i="11" s="1"/>
  <c r="L71" i="11"/>
  <c r="M71" i="11" s="1"/>
  <c r="H71" i="11"/>
  <c r="I71" i="11" s="1"/>
  <c r="L34" i="11"/>
  <c r="M34" i="11" s="1"/>
  <c r="H34" i="11"/>
  <c r="I34" i="11" s="1"/>
  <c r="L42" i="11"/>
  <c r="M42" i="11" s="1"/>
  <c r="H42" i="11"/>
  <c r="I42" i="11" s="1"/>
  <c r="L60" i="11"/>
  <c r="M60" i="11" s="1"/>
  <c r="H60" i="11"/>
  <c r="I60" i="11" s="1"/>
  <c r="L48" i="11"/>
  <c r="M48" i="11" s="1"/>
  <c r="H48" i="11"/>
  <c r="I48" i="11" s="1"/>
  <c r="L40" i="11"/>
  <c r="M40" i="11" s="1"/>
  <c r="H40" i="11"/>
  <c r="I40" i="11" s="1"/>
  <c r="L69" i="11"/>
  <c r="M69" i="11" s="1"/>
  <c r="H69" i="11"/>
  <c r="I69" i="11" s="1"/>
  <c r="L14" i="11"/>
  <c r="M14" i="11" s="1"/>
  <c r="H14" i="11"/>
  <c r="I14" i="11" s="1"/>
  <c r="L54" i="11"/>
  <c r="M54" i="11" s="1"/>
  <c r="H54" i="11"/>
  <c r="I54" i="11" s="1"/>
  <c r="L7" i="11"/>
  <c r="M7" i="11" s="1"/>
  <c r="H7" i="11"/>
  <c r="I7" i="11" s="1"/>
  <c r="L29" i="11"/>
  <c r="M29" i="11" s="1"/>
  <c r="H29" i="11"/>
  <c r="I29" i="11" s="1"/>
  <c r="E320" i="9"/>
  <c r="F10" i="48"/>
  <c r="C325" i="34" l="1"/>
  <c r="F15" i="34" s="1"/>
  <c r="E315" i="25"/>
  <c r="L5" i="11"/>
  <c r="M315" i="49"/>
  <c r="N5" i="49" s="1"/>
  <c r="N244" i="49" s="1"/>
  <c r="O244" i="49" s="1"/>
  <c r="D4" i="9"/>
  <c r="G42" i="40"/>
  <c r="C314" i="11"/>
  <c r="E26" i="37" l="1"/>
  <c r="F26" i="37" s="1"/>
  <c r="I26" i="37" s="1"/>
  <c r="G37" i="34" s="1"/>
  <c r="H37" i="34" s="1"/>
  <c r="E30" i="37"/>
  <c r="F30" i="37" s="1"/>
  <c r="I30" i="37" s="1"/>
  <c r="G41" i="34" s="1"/>
  <c r="H41" i="34" s="1"/>
  <c r="E34" i="37"/>
  <c r="F34" i="37" s="1"/>
  <c r="I34" i="37" s="1"/>
  <c r="G45" i="34" s="1"/>
  <c r="H45" i="34" s="1"/>
  <c r="E51" i="37"/>
  <c r="F51" i="37" s="1"/>
  <c r="I51" i="37" s="1"/>
  <c r="G62" i="34" s="1"/>
  <c r="H62" i="34" s="1"/>
  <c r="E60" i="37"/>
  <c r="F60" i="37" s="1"/>
  <c r="I60" i="37" s="1"/>
  <c r="G71" i="34" s="1"/>
  <c r="H71" i="34" s="1"/>
  <c r="E73" i="37"/>
  <c r="F73" i="37" s="1"/>
  <c r="I73" i="37" s="1"/>
  <c r="G84" i="34" s="1"/>
  <c r="H84" i="34" s="1"/>
  <c r="E92" i="37"/>
  <c r="F92" i="37" s="1"/>
  <c r="I92" i="37" s="1"/>
  <c r="G103" i="34" s="1"/>
  <c r="H103" i="34" s="1"/>
  <c r="E20" i="37"/>
  <c r="F20" i="37" s="1"/>
  <c r="I20" i="37" s="1"/>
  <c r="G31" i="34" s="1"/>
  <c r="H31" i="34" s="1"/>
  <c r="E35" i="37"/>
  <c r="F35" i="37" s="1"/>
  <c r="I35" i="37" s="1"/>
  <c r="G46" i="34" s="1"/>
  <c r="H46" i="34" s="1"/>
  <c r="E42" i="37"/>
  <c r="F42" i="37" s="1"/>
  <c r="I42" i="37" s="1"/>
  <c r="G53" i="34" s="1"/>
  <c r="H53" i="34" s="1"/>
  <c r="E46" i="37"/>
  <c r="F46" i="37" s="1"/>
  <c r="I46" i="37" s="1"/>
  <c r="G57" i="34" s="1"/>
  <c r="H57" i="34" s="1"/>
  <c r="E50" i="37"/>
  <c r="F50" i="37" s="1"/>
  <c r="I50" i="37" s="1"/>
  <c r="G61" i="34" s="1"/>
  <c r="H61" i="34" s="1"/>
  <c r="E57" i="37"/>
  <c r="F57" i="37" s="1"/>
  <c r="I57" i="37" s="1"/>
  <c r="G68" i="34" s="1"/>
  <c r="H68" i="34" s="1"/>
  <c r="E76" i="37"/>
  <c r="F76" i="37" s="1"/>
  <c r="I76" i="37" s="1"/>
  <c r="G87" i="34" s="1"/>
  <c r="H87" i="34" s="1"/>
  <c r="E89" i="37"/>
  <c r="F89" i="37" s="1"/>
  <c r="I89" i="37" s="1"/>
  <c r="G100" i="34" s="1"/>
  <c r="H100" i="34" s="1"/>
  <c r="E10" i="37"/>
  <c r="F10" i="37" s="1"/>
  <c r="I10" i="37" s="1"/>
  <c r="G21" i="34" s="1"/>
  <c r="H21" i="34" s="1"/>
  <c r="E14" i="37"/>
  <c r="F14" i="37" s="1"/>
  <c r="I14" i="37" s="1"/>
  <c r="G25" i="34" s="1"/>
  <c r="H25" i="34" s="1"/>
  <c r="E18" i="37"/>
  <c r="F18" i="37" s="1"/>
  <c r="I18" i="37" s="1"/>
  <c r="G29" i="34" s="1"/>
  <c r="H29" i="34" s="1"/>
  <c r="E22" i="37"/>
  <c r="F22" i="37" s="1"/>
  <c r="I22" i="37" s="1"/>
  <c r="G33" i="34" s="1"/>
  <c r="H33" i="34" s="1"/>
  <c r="E28" i="37"/>
  <c r="F28" i="37" s="1"/>
  <c r="I28" i="37" s="1"/>
  <c r="G39" i="34" s="1"/>
  <c r="H39" i="34" s="1"/>
  <c r="E38" i="37"/>
  <c r="F38" i="37" s="1"/>
  <c r="I38" i="37" s="1"/>
  <c r="G49" i="34" s="1"/>
  <c r="H49" i="34" s="1"/>
  <c r="E44" i="37"/>
  <c r="F44" i="37" s="1"/>
  <c r="I44" i="37" s="1"/>
  <c r="G55" i="34" s="1"/>
  <c r="H55" i="34" s="1"/>
  <c r="E54" i="37"/>
  <c r="F54" i="37" s="1"/>
  <c r="I54" i="37" s="1"/>
  <c r="G65" i="34" s="1"/>
  <c r="H65" i="34" s="1"/>
  <c r="E62" i="37"/>
  <c r="F62" i="37" s="1"/>
  <c r="I62" i="37" s="1"/>
  <c r="G73" i="34" s="1"/>
  <c r="H73" i="34" s="1"/>
  <c r="E66" i="37"/>
  <c r="F66" i="37" s="1"/>
  <c r="I66" i="37" s="1"/>
  <c r="G77" i="34" s="1"/>
  <c r="H77" i="34" s="1"/>
  <c r="E105" i="37"/>
  <c r="F105" i="37" s="1"/>
  <c r="I105" i="37" s="1"/>
  <c r="G116" i="34" s="1"/>
  <c r="H116" i="34" s="1"/>
  <c r="E126" i="37"/>
  <c r="F126" i="37" s="1"/>
  <c r="I126" i="37" s="1"/>
  <c r="G137" i="34" s="1"/>
  <c r="H137" i="34" s="1"/>
  <c r="E137" i="37"/>
  <c r="F137" i="37" s="1"/>
  <c r="I137" i="37" s="1"/>
  <c r="G148" i="34" s="1"/>
  <c r="H148" i="34" s="1"/>
  <c r="E170" i="37"/>
  <c r="F170" i="37" s="1"/>
  <c r="I170" i="37" s="1"/>
  <c r="G181" i="34" s="1"/>
  <c r="H181" i="34" s="1"/>
  <c r="E172" i="37"/>
  <c r="F172" i="37" s="1"/>
  <c r="I172" i="37" s="1"/>
  <c r="G183" i="34" s="1"/>
  <c r="H183" i="34" s="1"/>
  <c r="E176" i="37"/>
  <c r="F176" i="37" s="1"/>
  <c r="I176" i="37" s="1"/>
  <c r="G187" i="34" s="1"/>
  <c r="H187" i="34" s="1"/>
  <c r="E68" i="37"/>
  <c r="F68" i="37" s="1"/>
  <c r="I68" i="37" s="1"/>
  <c r="G79" i="34" s="1"/>
  <c r="H79" i="34" s="1"/>
  <c r="E78" i="37"/>
  <c r="F78" i="37" s="1"/>
  <c r="I78" i="37" s="1"/>
  <c r="G89" i="34" s="1"/>
  <c r="H89" i="34" s="1"/>
  <c r="E82" i="37"/>
  <c r="F82" i="37" s="1"/>
  <c r="I82" i="37" s="1"/>
  <c r="G93" i="34" s="1"/>
  <c r="H93" i="34" s="1"/>
  <c r="E58" i="37"/>
  <c r="F58" i="37" s="1"/>
  <c r="I58" i="37" s="1"/>
  <c r="G69" i="34" s="1"/>
  <c r="H69" i="34" s="1"/>
  <c r="E70" i="37"/>
  <c r="F70" i="37" s="1"/>
  <c r="I70" i="37" s="1"/>
  <c r="G81" i="34" s="1"/>
  <c r="H81" i="34" s="1"/>
  <c r="E84" i="37"/>
  <c r="F84" i="37" s="1"/>
  <c r="I84" i="37" s="1"/>
  <c r="G95" i="34" s="1"/>
  <c r="H95" i="34" s="1"/>
  <c r="E9" i="37"/>
  <c r="F9" i="37" s="1"/>
  <c r="I9" i="37" s="1"/>
  <c r="G20" i="34" s="1"/>
  <c r="H20" i="34" s="1"/>
  <c r="E74" i="37"/>
  <c r="F74" i="37" s="1"/>
  <c r="I74" i="37" s="1"/>
  <c r="G85" i="34" s="1"/>
  <c r="H85" i="34" s="1"/>
  <c r="E86" i="37"/>
  <c r="F86" i="37" s="1"/>
  <c r="I86" i="37" s="1"/>
  <c r="G97" i="34" s="1"/>
  <c r="H97" i="34" s="1"/>
  <c r="E100" i="37"/>
  <c r="F100" i="37" s="1"/>
  <c r="I100" i="37" s="1"/>
  <c r="G111" i="34" s="1"/>
  <c r="H111" i="34" s="1"/>
  <c r="E102" i="37"/>
  <c r="F102" i="37" s="1"/>
  <c r="I102" i="37" s="1"/>
  <c r="G113" i="34" s="1"/>
  <c r="H113" i="34" s="1"/>
  <c r="E134" i="37"/>
  <c r="F134" i="37" s="1"/>
  <c r="I134" i="37" s="1"/>
  <c r="G145" i="34" s="1"/>
  <c r="H145" i="34" s="1"/>
  <c r="E153" i="37"/>
  <c r="F153" i="37" s="1"/>
  <c r="I153" i="37" s="1"/>
  <c r="G164" i="34" s="1"/>
  <c r="H164" i="34" s="1"/>
  <c r="E161" i="37"/>
  <c r="F161" i="37" s="1"/>
  <c r="I161" i="37" s="1"/>
  <c r="G172" i="34" s="1"/>
  <c r="H172" i="34" s="1"/>
  <c r="E169" i="37"/>
  <c r="F169" i="37" s="1"/>
  <c r="I169" i="37" s="1"/>
  <c r="G180" i="34" s="1"/>
  <c r="H180" i="34" s="1"/>
  <c r="E188" i="37"/>
  <c r="F188" i="37" s="1"/>
  <c r="I188" i="37" s="1"/>
  <c r="G199" i="34" s="1"/>
  <c r="H199" i="34" s="1"/>
  <c r="E220" i="37"/>
  <c r="F220" i="37" s="1"/>
  <c r="I220" i="37" s="1"/>
  <c r="G231" i="34" s="1"/>
  <c r="H231" i="34" s="1"/>
  <c r="E252" i="37"/>
  <c r="F252" i="37" s="1"/>
  <c r="I252" i="37" s="1"/>
  <c r="G263" i="34" s="1"/>
  <c r="H263" i="34" s="1"/>
  <c r="E279" i="37"/>
  <c r="F279" i="37" s="1"/>
  <c r="I279" i="37" s="1"/>
  <c r="G290" i="34" s="1"/>
  <c r="H290" i="34" s="1"/>
  <c r="E287" i="37"/>
  <c r="F287" i="37" s="1"/>
  <c r="I287" i="37" s="1"/>
  <c r="G298" i="34" s="1"/>
  <c r="H298" i="34" s="1"/>
  <c r="E289" i="37"/>
  <c r="F289" i="37" s="1"/>
  <c r="I289" i="37" s="1"/>
  <c r="G300" i="34" s="1"/>
  <c r="H300" i="34" s="1"/>
  <c r="E307" i="37"/>
  <c r="F307" i="37" s="1"/>
  <c r="I307" i="37" s="1"/>
  <c r="G318" i="34" s="1"/>
  <c r="H318" i="34" s="1"/>
  <c r="E309" i="37"/>
  <c r="F309" i="37" s="1"/>
  <c r="I309" i="37" s="1"/>
  <c r="G320" i="34" s="1"/>
  <c r="H320" i="34" s="1"/>
  <c r="E19" i="37"/>
  <c r="F19" i="37" s="1"/>
  <c r="I19" i="37" s="1"/>
  <c r="G30" i="34" s="1"/>
  <c r="H30" i="34" s="1"/>
  <c r="E67" i="37"/>
  <c r="F67" i="37" s="1"/>
  <c r="I67" i="37" s="1"/>
  <c r="G78" i="34" s="1"/>
  <c r="H78" i="34" s="1"/>
  <c r="E90" i="37"/>
  <c r="F90" i="37" s="1"/>
  <c r="I90" i="37" s="1"/>
  <c r="G101" i="34" s="1"/>
  <c r="H101" i="34" s="1"/>
  <c r="E108" i="37"/>
  <c r="F108" i="37" s="1"/>
  <c r="I108" i="37" s="1"/>
  <c r="G119" i="34" s="1"/>
  <c r="H119" i="34" s="1"/>
  <c r="E121" i="37"/>
  <c r="F121" i="37" s="1"/>
  <c r="I121" i="37" s="1"/>
  <c r="G132" i="34" s="1"/>
  <c r="H132" i="34" s="1"/>
  <c r="E129" i="37"/>
  <c r="F129" i="37" s="1"/>
  <c r="I129" i="37" s="1"/>
  <c r="G140" i="34" s="1"/>
  <c r="H140" i="34" s="1"/>
  <c r="E25" i="37"/>
  <c r="F25" i="37" s="1"/>
  <c r="I25" i="37" s="1"/>
  <c r="G36" i="34" s="1"/>
  <c r="H36" i="34" s="1"/>
  <c r="E41" i="37"/>
  <c r="F41" i="37" s="1"/>
  <c r="I41" i="37" s="1"/>
  <c r="G52" i="34" s="1"/>
  <c r="H52" i="34" s="1"/>
  <c r="E83" i="37"/>
  <c r="F83" i="37" s="1"/>
  <c r="I83" i="37" s="1"/>
  <c r="G94" i="34" s="1"/>
  <c r="H94" i="34" s="1"/>
  <c r="E6" i="37"/>
  <c r="F6" i="37" s="1"/>
  <c r="I6" i="37" s="1"/>
  <c r="G17" i="34" s="1"/>
  <c r="H17" i="34" s="1"/>
  <c r="E12" i="37"/>
  <c r="F12" i="37" s="1"/>
  <c r="I12" i="37" s="1"/>
  <c r="G23" i="34" s="1"/>
  <c r="H23" i="34" s="1"/>
  <c r="E36" i="37"/>
  <c r="F36" i="37" s="1"/>
  <c r="I36" i="37" s="1"/>
  <c r="G47" i="34" s="1"/>
  <c r="H47" i="34" s="1"/>
  <c r="E52" i="37"/>
  <c r="F52" i="37" s="1"/>
  <c r="I52" i="37" s="1"/>
  <c r="G63" i="34" s="1"/>
  <c r="H63" i="34" s="1"/>
  <c r="E116" i="37"/>
  <c r="F116" i="37" s="1"/>
  <c r="I116" i="37" s="1"/>
  <c r="G127" i="34" s="1"/>
  <c r="H127" i="34" s="1"/>
  <c r="E118" i="37"/>
  <c r="F118" i="37" s="1"/>
  <c r="I118" i="37" s="1"/>
  <c r="G129" i="34" s="1"/>
  <c r="H129" i="34" s="1"/>
  <c r="E124" i="37"/>
  <c r="F124" i="37" s="1"/>
  <c r="I124" i="37" s="1"/>
  <c r="G135" i="34" s="1"/>
  <c r="H135" i="34" s="1"/>
  <c r="E146" i="37"/>
  <c r="F146" i="37" s="1"/>
  <c r="I146" i="37" s="1"/>
  <c r="G157" i="34" s="1"/>
  <c r="H157" i="34" s="1"/>
  <c r="E150" i="37"/>
  <c r="F150" i="37" s="1"/>
  <c r="I150" i="37" s="1"/>
  <c r="G161" i="34" s="1"/>
  <c r="H161" i="34" s="1"/>
  <c r="E158" i="37"/>
  <c r="F158" i="37" s="1"/>
  <c r="I158" i="37" s="1"/>
  <c r="G169" i="34" s="1"/>
  <c r="H169" i="34" s="1"/>
  <c r="E174" i="37"/>
  <c r="F174" i="37" s="1"/>
  <c r="I174" i="37" s="1"/>
  <c r="G185" i="34" s="1"/>
  <c r="H185" i="34" s="1"/>
  <c r="E204" i="37"/>
  <c r="F204" i="37" s="1"/>
  <c r="I204" i="37" s="1"/>
  <c r="G215" i="34" s="1"/>
  <c r="H215" i="34" s="1"/>
  <c r="E236" i="37"/>
  <c r="F236" i="37" s="1"/>
  <c r="I236" i="37" s="1"/>
  <c r="G247" i="34" s="1"/>
  <c r="H247" i="34" s="1"/>
  <c r="E263" i="37"/>
  <c r="F263" i="37" s="1"/>
  <c r="I263" i="37" s="1"/>
  <c r="G274" i="34" s="1"/>
  <c r="H274" i="34" s="1"/>
  <c r="E290" i="37"/>
  <c r="F290" i="37" s="1"/>
  <c r="I290" i="37" s="1"/>
  <c r="G301" i="34" s="1"/>
  <c r="H301" i="34" s="1"/>
  <c r="E94" i="37"/>
  <c r="F94" i="37" s="1"/>
  <c r="I94" i="37" s="1"/>
  <c r="G105" i="34" s="1"/>
  <c r="H105" i="34" s="1"/>
  <c r="E98" i="37"/>
  <c r="F98" i="37" s="1"/>
  <c r="I98" i="37" s="1"/>
  <c r="G109" i="34" s="1"/>
  <c r="H109" i="34" s="1"/>
  <c r="E156" i="37"/>
  <c r="F156" i="37" s="1"/>
  <c r="I156" i="37" s="1"/>
  <c r="G167" i="34" s="1"/>
  <c r="H167" i="34" s="1"/>
  <c r="E267" i="37"/>
  <c r="F267" i="37" s="1"/>
  <c r="I267" i="37" s="1"/>
  <c r="G278" i="34" s="1"/>
  <c r="H278" i="34" s="1"/>
  <c r="E298" i="37"/>
  <c r="F298" i="37" s="1"/>
  <c r="I298" i="37" s="1"/>
  <c r="G309" i="34" s="1"/>
  <c r="H309" i="34" s="1"/>
  <c r="E130" i="37"/>
  <c r="F130" i="37" s="1"/>
  <c r="I130" i="37" s="1"/>
  <c r="G141" i="34" s="1"/>
  <c r="H141" i="34" s="1"/>
  <c r="E132" i="37"/>
  <c r="F132" i="37" s="1"/>
  <c r="I132" i="37" s="1"/>
  <c r="G143" i="34" s="1"/>
  <c r="H143" i="34" s="1"/>
  <c r="E138" i="37"/>
  <c r="F138" i="37" s="1"/>
  <c r="I138" i="37" s="1"/>
  <c r="G149" i="34" s="1"/>
  <c r="H149" i="34" s="1"/>
  <c r="E140" i="37"/>
  <c r="F140" i="37" s="1"/>
  <c r="I140" i="37" s="1"/>
  <c r="G151" i="34" s="1"/>
  <c r="H151" i="34" s="1"/>
  <c r="E148" i="37"/>
  <c r="F148" i="37" s="1"/>
  <c r="I148" i="37" s="1"/>
  <c r="G159" i="34" s="1"/>
  <c r="H159" i="34" s="1"/>
  <c r="E171" i="37"/>
  <c r="F171" i="37" s="1"/>
  <c r="I171" i="37" s="1"/>
  <c r="G182" i="34" s="1"/>
  <c r="H182" i="34" s="1"/>
  <c r="E306" i="37"/>
  <c r="F306" i="37" s="1"/>
  <c r="I306" i="37" s="1"/>
  <c r="G317" i="34" s="1"/>
  <c r="H317" i="34" s="1"/>
  <c r="E115" i="37"/>
  <c r="F115" i="37" s="1"/>
  <c r="I115" i="37" s="1"/>
  <c r="G126" i="34" s="1"/>
  <c r="H126" i="34" s="1"/>
  <c r="E142" i="37"/>
  <c r="F142" i="37" s="1"/>
  <c r="I142" i="37" s="1"/>
  <c r="G153" i="34" s="1"/>
  <c r="H153" i="34" s="1"/>
  <c r="E196" i="37"/>
  <c r="F196" i="37" s="1"/>
  <c r="I196" i="37" s="1"/>
  <c r="G207" i="34" s="1"/>
  <c r="H207" i="34" s="1"/>
  <c r="E208" i="37"/>
  <c r="F208" i="37" s="1"/>
  <c r="I208" i="37" s="1"/>
  <c r="G219" i="34" s="1"/>
  <c r="H219" i="34" s="1"/>
  <c r="E255" i="37"/>
  <c r="F255" i="37" s="1"/>
  <c r="I255" i="37" s="1"/>
  <c r="G266" i="34" s="1"/>
  <c r="H266" i="34" s="1"/>
  <c r="E257" i="37"/>
  <c r="F257" i="37" s="1"/>
  <c r="I257" i="37" s="1"/>
  <c r="G268" i="34" s="1"/>
  <c r="H268" i="34" s="1"/>
  <c r="E259" i="37"/>
  <c r="F259" i="37" s="1"/>
  <c r="I259" i="37" s="1"/>
  <c r="G270" i="34" s="1"/>
  <c r="H270" i="34" s="1"/>
  <c r="E283" i="37"/>
  <c r="F283" i="37" s="1"/>
  <c r="I283" i="37" s="1"/>
  <c r="G294" i="34" s="1"/>
  <c r="H294" i="34" s="1"/>
  <c r="E285" i="37"/>
  <c r="F285" i="37" s="1"/>
  <c r="I285" i="37" s="1"/>
  <c r="G296" i="34" s="1"/>
  <c r="H296" i="34" s="1"/>
  <c r="E291" i="37"/>
  <c r="F291" i="37" s="1"/>
  <c r="I291" i="37" s="1"/>
  <c r="G302" i="34" s="1"/>
  <c r="H302" i="34" s="1"/>
  <c r="E293" i="37"/>
  <c r="F293" i="37" s="1"/>
  <c r="I293" i="37" s="1"/>
  <c r="G304" i="34" s="1"/>
  <c r="H304" i="34" s="1"/>
  <c r="E99" i="37"/>
  <c r="F99" i="37" s="1"/>
  <c r="I99" i="37" s="1"/>
  <c r="G110" i="34" s="1"/>
  <c r="H110" i="34" s="1"/>
  <c r="E180" i="37"/>
  <c r="F180" i="37" s="1"/>
  <c r="I180" i="37" s="1"/>
  <c r="G191" i="34" s="1"/>
  <c r="H191" i="34" s="1"/>
  <c r="E192" i="37"/>
  <c r="F192" i="37" s="1"/>
  <c r="I192" i="37" s="1"/>
  <c r="G203" i="34" s="1"/>
  <c r="H203" i="34" s="1"/>
  <c r="E200" i="37"/>
  <c r="F200" i="37" s="1"/>
  <c r="I200" i="37" s="1"/>
  <c r="G211" i="34" s="1"/>
  <c r="H211" i="34" s="1"/>
  <c r="E212" i="37"/>
  <c r="F212" i="37" s="1"/>
  <c r="I212" i="37" s="1"/>
  <c r="G223" i="34" s="1"/>
  <c r="H223" i="34" s="1"/>
  <c r="E224" i="37"/>
  <c r="F224" i="37" s="1"/>
  <c r="I224" i="37" s="1"/>
  <c r="G235" i="34" s="1"/>
  <c r="H235" i="34" s="1"/>
  <c r="E295" i="37"/>
  <c r="F295" i="37" s="1"/>
  <c r="I295" i="37" s="1"/>
  <c r="G306" i="34" s="1"/>
  <c r="H306" i="34" s="1"/>
  <c r="E297" i="37"/>
  <c r="F297" i="37" s="1"/>
  <c r="I297" i="37" s="1"/>
  <c r="G308" i="34" s="1"/>
  <c r="H308" i="34" s="1"/>
  <c r="E184" i="37"/>
  <c r="F184" i="37" s="1"/>
  <c r="I184" i="37" s="1"/>
  <c r="G195" i="34" s="1"/>
  <c r="H195" i="34" s="1"/>
  <c r="E216" i="37"/>
  <c r="F216" i="37" s="1"/>
  <c r="I216" i="37" s="1"/>
  <c r="G227" i="34" s="1"/>
  <c r="H227" i="34" s="1"/>
  <c r="E228" i="37"/>
  <c r="F228" i="37" s="1"/>
  <c r="I228" i="37" s="1"/>
  <c r="G239" i="34" s="1"/>
  <c r="H239" i="34" s="1"/>
  <c r="E240" i="37"/>
  <c r="F240" i="37" s="1"/>
  <c r="I240" i="37" s="1"/>
  <c r="G251" i="34" s="1"/>
  <c r="H251" i="34" s="1"/>
  <c r="E299" i="37"/>
  <c r="F299" i="37" s="1"/>
  <c r="I299" i="37" s="1"/>
  <c r="G310" i="34" s="1"/>
  <c r="H310" i="34" s="1"/>
  <c r="E301" i="37"/>
  <c r="F301" i="37" s="1"/>
  <c r="I301" i="37" s="1"/>
  <c r="G312" i="34" s="1"/>
  <c r="H312" i="34" s="1"/>
  <c r="E164" i="37"/>
  <c r="F164" i="37" s="1"/>
  <c r="I164" i="37" s="1"/>
  <c r="G175" i="34" s="1"/>
  <c r="H175" i="34" s="1"/>
  <c r="E166" i="37"/>
  <c r="F166" i="37" s="1"/>
  <c r="I166" i="37" s="1"/>
  <c r="G177" i="34" s="1"/>
  <c r="H177" i="34" s="1"/>
  <c r="E232" i="37"/>
  <c r="F232" i="37" s="1"/>
  <c r="I232" i="37" s="1"/>
  <c r="G243" i="34" s="1"/>
  <c r="H243" i="34" s="1"/>
  <c r="E244" i="37"/>
  <c r="F244" i="37" s="1"/>
  <c r="I244" i="37" s="1"/>
  <c r="G255" i="34" s="1"/>
  <c r="H255" i="34" s="1"/>
  <c r="E275" i="37"/>
  <c r="F275" i="37" s="1"/>
  <c r="I275" i="37" s="1"/>
  <c r="G286" i="34" s="1"/>
  <c r="H286" i="34" s="1"/>
  <c r="E303" i="37"/>
  <c r="F303" i="37" s="1"/>
  <c r="I303" i="37" s="1"/>
  <c r="G314" i="34" s="1"/>
  <c r="H314" i="34" s="1"/>
  <c r="E305" i="37"/>
  <c r="F305" i="37" s="1"/>
  <c r="I305" i="37" s="1"/>
  <c r="G316" i="34" s="1"/>
  <c r="H316" i="34" s="1"/>
  <c r="E106" i="37"/>
  <c r="F106" i="37" s="1"/>
  <c r="I106" i="37" s="1"/>
  <c r="G117" i="34" s="1"/>
  <c r="H117" i="34" s="1"/>
  <c r="E110" i="37"/>
  <c r="F110" i="37" s="1"/>
  <c r="I110" i="37" s="1"/>
  <c r="G121" i="34" s="1"/>
  <c r="H121" i="34" s="1"/>
  <c r="E114" i="37"/>
  <c r="F114" i="37" s="1"/>
  <c r="I114" i="37" s="1"/>
  <c r="G125" i="34" s="1"/>
  <c r="H125" i="34" s="1"/>
  <c r="E145" i="37"/>
  <c r="F145" i="37" s="1"/>
  <c r="I145" i="37" s="1"/>
  <c r="G156" i="34" s="1"/>
  <c r="H156" i="34" s="1"/>
  <c r="E248" i="37"/>
  <c r="F248" i="37" s="1"/>
  <c r="I248" i="37" s="1"/>
  <c r="G259" i="34" s="1"/>
  <c r="H259" i="34" s="1"/>
  <c r="E271" i="37"/>
  <c r="F271" i="37" s="1"/>
  <c r="I271" i="37" s="1"/>
  <c r="G282" i="34" s="1"/>
  <c r="H282" i="34" s="1"/>
  <c r="E284" i="37"/>
  <c r="F284" i="37" s="1"/>
  <c r="I284" i="37" s="1"/>
  <c r="G295" i="34" s="1"/>
  <c r="H295" i="34" s="1"/>
  <c r="E311" i="37"/>
  <c r="F311" i="37" s="1"/>
  <c r="I311" i="37" s="1"/>
  <c r="G322" i="34" s="1"/>
  <c r="H322" i="34" s="1"/>
  <c r="E313" i="37"/>
  <c r="F313" i="37" s="1"/>
  <c r="I313" i="37" s="1"/>
  <c r="G324" i="34" s="1"/>
  <c r="H324" i="34" s="1"/>
  <c r="E286" i="37"/>
  <c r="F286" i="37" s="1"/>
  <c r="I286" i="37" s="1"/>
  <c r="G297" i="34" s="1"/>
  <c r="H297" i="34" s="1"/>
  <c r="E203" i="37"/>
  <c r="F203" i="37" s="1"/>
  <c r="I203" i="37" s="1"/>
  <c r="G214" i="34" s="1"/>
  <c r="H214" i="34" s="1"/>
  <c r="E282" i="37"/>
  <c r="F282" i="37" s="1"/>
  <c r="I282" i="37" s="1"/>
  <c r="G293" i="34" s="1"/>
  <c r="H293" i="34" s="1"/>
  <c r="E197" i="37"/>
  <c r="F197" i="37" s="1"/>
  <c r="I197" i="37" s="1"/>
  <c r="G208" i="34" s="1"/>
  <c r="H208" i="34" s="1"/>
  <c r="E230" i="37"/>
  <c r="F230" i="37" s="1"/>
  <c r="I230" i="37" s="1"/>
  <c r="G241" i="34" s="1"/>
  <c r="H241" i="34" s="1"/>
  <c r="E264" i="37"/>
  <c r="F264" i="37" s="1"/>
  <c r="I264" i="37" s="1"/>
  <c r="G275" i="34" s="1"/>
  <c r="H275" i="34" s="1"/>
  <c r="E95" i="37"/>
  <c r="F95" i="37" s="1"/>
  <c r="I95" i="37" s="1"/>
  <c r="G106" i="34" s="1"/>
  <c r="H106" i="34" s="1"/>
  <c r="E194" i="37"/>
  <c r="F194" i="37" s="1"/>
  <c r="I194" i="37" s="1"/>
  <c r="G205" i="34" s="1"/>
  <c r="H205" i="34" s="1"/>
  <c r="E249" i="37"/>
  <c r="F249" i="37" s="1"/>
  <c r="I249" i="37" s="1"/>
  <c r="G260" i="34" s="1"/>
  <c r="H260" i="34" s="1"/>
  <c r="E247" i="37"/>
  <c r="F247" i="37" s="1"/>
  <c r="I247" i="37" s="1"/>
  <c r="G258" i="34" s="1"/>
  <c r="H258" i="34" s="1"/>
  <c r="E217" i="37"/>
  <c r="F217" i="37" s="1"/>
  <c r="I217" i="37" s="1"/>
  <c r="G228" i="34" s="1"/>
  <c r="H228" i="34" s="1"/>
  <c r="E276" i="37"/>
  <c r="F276" i="37" s="1"/>
  <c r="I276" i="37" s="1"/>
  <c r="G287" i="34" s="1"/>
  <c r="H287" i="34" s="1"/>
  <c r="E195" i="37"/>
  <c r="F195" i="37" s="1"/>
  <c r="I195" i="37" s="1"/>
  <c r="G206" i="34" s="1"/>
  <c r="H206" i="34" s="1"/>
  <c r="E69" i="37"/>
  <c r="F69" i="37" s="1"/>
  <c r="I69" i="37" s="1"/>
  <c r="G80" i="34" s="1"/>
  <c r="H80" i="34" s="1"/>
  <c r="E136" i="37"/>
  <c r="F136" i="37" s="1"/>
  <c r="I136" i="37" s="1"/>
  <c r="G147" i="34" s="1"/>
  <c r="H147" i="34" s="1"/>
  <c r="E15" i="37"/>
  <c r="F15" i="37" s="1"/>
  <c r="I15" i="37" s="1"/>
  <c r="G26" i="34" s="1"/>
  <c r="H26" i="34" s="1"/>
  <c r="E277" i="37"/>
  <c r="F277" i="37" s="1"/>
  <c r="I277" i="37" s="1"/>
  <c r="G288" i="34" s="1"/>
  <c r="H288" i="34" s="1"/>
  <c r="E222" i="37"/>
  <c r="F222" i="37" s="1"/>
  <c r="I222" i="37" s="1"/>
  <c r="G233" i="34" s="1"/>
  <c r="H233" i="34" s="1"/>
  <c r="E159" i="37"/>
  <c r="F159" i="37" s="1"/>
  <c r="I159" i="37" s="1"/>
  <c r="G170" i="34" s="1"/>
  <c r="H170" i="34" s="1"/>
  <c r="E61" i="37"/>
  <c r="F61" i="37" s="1"/>
  <c r="I61" i="37" s="1"/>
  <c r="G72" i="34" s="1"/>
  <c r="H72" i="34" s="1"/>
  <c r="E17" i="37"/>
  <c r="F17" i="37" s="1"/>
  <c r="I17" i="37" s="1"/>
  <c r="G28" i="34" s="1"/>
  <c r="H28" i="34" s="1"/>
  <c r="E80" i="37"/>
  <c r="F80" i="37" s="1"/>
  <c r="I80" i="37" s="1"/>
  <c r="G91" i="34" s="1"/>
  <c r="H91" i="34" s="1"/>
  <c r="E120" i="37"/>
  <c r="F120" i="37" s="1"/>
  <c r="I120" i="37" s="1"/>
  <c r="G131" i="34" s="1"/>
  <c r="H131" i="34" s="1"/>
  <c r="E48" i="37"/>
  <c r="F48" i="37" s="1"/>
  <c r="I48" i="37" s="1"/>
  <c r="G59" i="34" s="1"/>
  <c r="H59" i="34" s="1"/>
  <c r="E88" i="37"/>
  <c r="F88" i="37" s="1"/>
  <c r="I88" i="37" s="1"/>
  <c r="G99" i="34" s="1"/>
  <c r="H99" i="34" s="1"/>
  <c r="E43" i="37"/>
  <c r="F43" i="37" s="1"/>
  <c r="I43" i="37" s="1"/>
  <c r="G54" i="34" s="1"/>
  <c r="H54" i="34" s="1"/>
  <c r="E280" i="37"/>
  <c r="F280" i="37" s="1"/>
  <c r="I280" i="37" s="1"/>
  <c r="G291" i="34" s="1"/>
  <c r="H291" i="34" s="1"/>
  <c r="E201" i="37"/>
  <c r="F201" i="37" s="1"/>
  <c r="I201" i="37" s="1"/>
  <c r="G212" i="34" s="1"/>
  <c r="H212" i="34" s="1"/>
  <c r="E218" i="37"/>
  <c r="F218" i="37" s="1"/>
  <c r="I218" i="37" s="1"/>
  <c r="G229" i="34" s="1"/>
  <c r="H229" i="34" s="1"/>
  <c r="E226" i="37"/>
  <c r="F226" i="37" s="1"/>
  <c r="I226" i="37" s="1"/>
  <c r="G237" i="34" s="1"/>
  <c r="H237" i="34" s="1"/>
  <c r="E281" i="37"/>
  <c r="F281" i="37" s="1"/>
  <c r="I281" i="37" s="1"/>
  <c r="G292" i="34" s="1"/>
  <c r="H292" i="34" s="1"/>
  <c r="E245" i="37"/>
  <c r="F245" i="37" s="1"/>
  <c r="I245" i="37" s="1"/>
  <c r="G256" i="34" s="1"/>
  <c r="H256" i="34" s="1"/>
  <c r="E265" i="37"/>
  <c r="F265" i="37" s="1"/>
  <c r="I265" i="37" s="1"/>
  <c r="G276" i="34" s="1"/>
  <c r="H276" i="34" s="1"/>
  <c r="E189" i="37"/>
  <c r="F189" i="37" s="1"/>
  <c r="I189" i="37" s="1"/>
  <c r="G200" i="34" s="1"/>
  <c r="H200" i="34" s="1"/>
  <c r="E274" i="37"/>
  <c r="F274" i="37" s="1"/>
  <c r="I274" i="37" s="1"/>
  <c r="G285" i="34" s="1"/>
  <c r="H285" i="34" s="1"/>
  <c r="E193" i="37"/>
  <c r="F193" i="37" s="1"/>
  <c r="I193" i="37" s="1"/>
  <c r="G204" i="34" s="1"/>
  <c r="H204" i="34" s="1"/>
  <c r="E8" i="37"/>
  <c r="F8" i="37" s="1"/>
  <c r="I8" i="37" s="1"/>
  <c r="G19" i="34" s="1"/>
  <c r="H19" i="34" s="1"/>
  <c r="E55" i="37"/>
  <c r="F55" i="37" s="1"/>
  <c r="I55" i="37" s="1"/>
  <c r="G66" i="34" s="1"/>
  <c r="H66" i="34" s="1"/>
  <c r="E119" i="37"/>
  <c r="F119" i="37" s="1"/>
  <c r="I119" i="37" s="1"/>
  <c r="G130" i="34" s="1"/>
  <c r="H130" i="34" s="1"/>
  <c r="E211" i="37"/>
  <c r="F211" i="37" s="1"/>
  <c r="I211" i="37" s="1"/>
  <c r="G222" i="34" s="1"/>
  <c r="H222" i="34" s="1"/>
  <c r="E151" i="37"/>
  <c r="F151" i="37" s="1"/>
  <c r="I151" i="37" s="1"/>
  <c r="G162" i="34" s="1"/>
  <c r="H162" i="34" s="1"/>
  <c r="E53" i="37"/>
  <c r="F53" i="37" s="1"/>
  <c r="I53" i="37" s="1"/>
  <c r="G64" i="34" s="1"/>
  <c r="H64" i="34" s="1"/>
  <c r="E11" i="37"/>
  <c r="F11" i="37" s="1"/>
  <c r="I11" i="37" s="1"/>
  <c r="G22" i="34" s="1"/>
  <c r="H22" i="34" s="1"/>
  <c r="E64" i="37"/>
  <c r="F64" i="37" s="1"/>
  <c r="I64" i="37" s="1"/>
  <c r="G75" i="34" s="1"/>
  <c r="H75" i="34" s="1"/>
  <c r="E81" i="37"/>
  <c r="F81" i="37" s="1"/>
  <c r="I81" i="37" s="1"/>
  <c r="G92" i="34" s="1"/>
  <c r="H92" i="34" s="1"/>
  <c r="E21" i="37"/>
  <c r="F21" i="37" s="1"/>
  <c r="I21" i="37" s="1"/>
  <c r="G32" i="34" s="1"/>
  <c r="H32" i="34" s="1"/>
  <c r="E269" i="37"/>
  <c r="F269" i="37" s="1"/>
  <c r="I269" i="37" s="1"/>
  <c r="G280" i="34" s="1"/>
  <c r="H280" i="34" s="1"/>
  <c r="E191" i="37"/>
  <c r="F191" i="37" s="1"/>
  <c r="I191" i="37" s="1"/>
  <c r="G202" i="34" s="1"/>
  <c r="H202" i="34" s="1"/>
  <c r="E273" i="37"/>
  <c r="F273" i="37" s="1"/>
  <c r="I273" i="37" s="1"/>
  <c r="G284" i="34" s="1"/>
  <c r="H284" i="34" s="1"/>
  <c r="E186" i="37"/>
  <c r="F186" i="37" s="1"/>
  <c r="I186" i="37" s="1"/>
  <c r="G197" i="34" s="1"/>
  <c r="H197" i="34" s="1"/>
  <c r="E214" i="37"/>
  <c r="F214" i="37" s="1"/>
  <c r="I214" i="37" s="1"/>
  <c r="G225" i="34" s="1"/>
  <c r="H225" i="34" s="1"/>
  <c r="E157" i="37"/>
  <c r="F157" i="37" s="1"/>
  <c r="I157" i="37" s="1"/>
  <c r="G168" i="34" s="1"/>
  <c r="H168" i="34" s="1"/>
  <c r="E163" i="37"/>
  <c r="F163" i="37" s="1"/>
  <c r="I163" i="37" s="1"/>
  <c r="G174" i="34" s="1"/>
  <c r="H174" i="34" s="1"/>
  <c r="E304" i="37"/>
  <c r="F304" i="37" s="1"/>
  <c r="I304" i="37" s="1"/>
  <c r="G315" i="34" s="1"/>
  <c r="H315" i="34" s="1"/>
  <c r="E237" i="37"/>
  <c r="F237" i="37" s="1"/>
  <c r="I237" i="37" s="1"/>
  <c r="G248" i="34" s="1"/>
  <c r="H248" i="34" s="1"/>
  <c r="E187" i="37"/>
  <c r="F187" i="37" s="1"/>
  <c r="I187" i="37" s="1"/>
  <c r="G198" i="34" s="1"/>
  <c r="H198" i="34" s="1"/>
  <c r="E168" i="37"/>
  <c r="F168" i="37" s="1"/>
  <c r="I168" i="37" s="1"/>
  <c r="G179" i="34" s="1"/>
  <c r="H179" i="34" s="1"/>
  <c r="E101" i="37"/>
  <c r="F101" i="37" s="1"/>
  <c r="I101" i="37" s="1"/>
  <c r="G112" i="34" s="1"/>
  <c r="H112" i="34" s="1"/>
  <c r="E39" i="37"/>
  <c r="F39" i="37" s="1"/>
  <c r="I39" i="37" s="1"/>
  <c r="G50" i="34" s="1"/>
  <c r="H50" i="34" s="1"/>
  <c r="E260" i="37"/>
  <c r="F260" i="37" s="1"/>
  <c r="I260" i="37" s="1"/>
  <c r="G271" i="34" s="1"/>
  <c r="H271" i="34" s="1"/>
  <c r="E209" i="37"/>
  <c r="F209" i="37" s="1"/>
  <c r="I209" i="37" s="1"/>
  <c r="G220" i="34" s="1"/>
  <c r="H220" i="34" s="1"/>
  <c r="E49" i="37"/>
  <c r="F49" i="37" s="1"/>
  <c r="I49" i="37" s="1"/>
  <c r="G60" i="34" s="1"/>
  <c r="H60" i="34" s="1"/>
  <c r="E7" i="37"/>
  <c r="F7" i="37" s="1"/>
  <c r="I7" i="37" s="1"/>
  <c r="G18" i="34" s="1"/>
  <c r="H18" i="34" s="1"/>
  <c r="E109" i="37"/>
  <c r="F109" i="37" s="1"/>
  <c r="I109" i="37" s="1"/>
  <c r="G120" i="34" s="1"/>
  <c r="H120" i="34" s="1"/>
  <c r="E91" i="37"/>
  <c r="F91" i="37" s="1"/>
  <c r="I91" i="37" s="1"/>
  <c r="G102" i="34" s="1"/>
  <c r="H102" i="34" s="1"/>
  <c r="E31" i="37"/>
  <c r="F31" i="37" s="1"/>
  <c r="I31" i="37" s="1"/>
  <c r="G42" i="34" s="1"/>
  <c r="H42" i="34" s="1"/>
  <c r="E75" i="37"/>
  <c r="F75" i="37" s="1"/>
  <c r="I75" i="37" s="1"/>
  <c r="G86" i="34" s="1"/>
  <c r="H86" i="34" s="1"/>
  <c r="E250" i="37"/>
  <c r="F250" i="37" s="1"/>
  <c r="I250" i="37" s="1"/>
  <c r="G261" i="34" s="1"/>
  <c r="H261" i="34" s="1"/>
  <c r="E183" i="37"/>
  <c r="F183" i="37" s="1"/>
  <c r="I183" i="37" s="1"/>
  <c r="G194" i="34" s="1"/>
  <c r="H194" i="34" s="1"/>
  <c r="E147" i="37"/>
  <c r="F147" i="37" s="1"/>
  <c r="I147" i="37" s="1"/>
  <c r="G158" i="34" s="1"/>
  <c r="H158" i="34" s="1"/>
  <c r="E149" i="37"/>
  <c r="F149" i="37" s="1"/>
  <c r="I149" i="37" s="1"/>
  <c r="G160" i="34" s="1"/>
  <c r="H160" i="34" s="1"/>
  <c r="E202" i="37"/>
  <c r="F202" i="37" s="1"/>
  <c r="I202" i="37" s="1"/>
  <c r="G213" i="34" s="1"/>
  <c r="H213" i="34" s="1"/>
  <c r="E268" i="37"/>
  <c r="F268" i="37" s="1"/>
  <c r="I268" i="37" s="1"/>
  <c r="G279" i="34" s="1"/>
  <c r="H279" i="34" s="1"/>
  <c r="E144" i="37"/>
  <c r="F144" i="37" s="1"/>
  <c r="I144" i="37" s="1"/>
  <c r="G155" i="34" s="1"/>
  <c r="H155" i="34" s="1"/>
  <c r="E272" i="37"/>
  <c r="F272" i="37" s="1"/>
  <c r="I272" i="37" s="1"/>
  <c r="G283" i="34" s="1"/>
  <c r="H283" i="34" s="1"/>
  <c r="E113" i="37"/>
  <c r="F113" i="37" s="1"/>
  <c r="I113" i="37" s="1"/>
  <c r="G124" i="34" s="1"/>
  <c r="H124" i="34" s="1"/>
  <c r="E302" i="37"/>
  <c r="F302" i="37" s="1"/>
  <c r="I302" i="37" s="1"/>
  <c r="G313" i="34" s="1"/>
  <c r="H313" i="34" s="1"/>
  <c r="E235" i="37"/>
  <c r="F235" i="37" s="1"/>
  <c r="I235" i="37" s="1"/>
  <c r="G246" i="34" s="1"/>
  <c r="H246" i="34" s="1"/>
  <c r="E239" i="37"/>
  <c r="F239" i="37" s="1"/>
  <c r="I239" i="37" s="1"/>
  <c r="G250" i="34" s="1"/>
  <c r="H250" i="34" s="1"/>
  <c r="E185" i="37"/>
  <c r="F185" i="37" s="1"/>
  <c r="I185" i="37" s="1"/>
  <c r="G196" i="34" s="1"/>
  <c r="H196" i="34" s="1"/>
  <c r="E261" i="37"/>
  <c r="F261" i="37" s="1"/>
  <c r="I261" i="37" s="1"/>
  <c r="G272" i="34" s="1"/>
  <c r="H272" i="34" s="1"/>
  <c r="E162" i="37"/>
  <c r="F162" i="37" s="1"/>
  <c r="I162" i="37" s="1"/>
  <c r="G173" i="34" s="1"/>
  <c r="H173" i="34" s="1"/>
  <c r="E258" i="37"/>
  <c r="F258" i="37" s="1"/>
  <c r="I258" i="37" s="1"/>
  <c r="G269" i="34" s="1"/>
  <c r="H269" i="34" s="1"/>
  <c r="E190" i="37"/>
  <c r="F190" i="37" s="1"/>
  <c r="I190" i="37" s="1"/>
  <c r="G201" i="34" s="1"/>
  <c r="H201" i="34" s="1"/>
  <c r="E127" i="37"/>
  <c r="F127" i="37" s="1"/>
  <c r="I127" i="37" s="1"/>
  <c r="G138" i="34" s="1"/>
  <c r="H138" i="34" s="1"/>
  <c r="E45" i="37"/>
  <c r="F45" i="37" s="1"/>
  <c r="I45" i="37" s="1"/>
  <c r="G56" i="34" s="1"/>
  <c r="H56" i="34" s="1"/>
  <c r="E13" i="37"/>
  <c r="F13" i="37" s="1"/>
  <c r="I13" i="37" s="1"/>
  <c r="G24" i="34" s="1"/>
  <c r="H24" i="34" s="1"/>
  <c r="E40" i="37"/>
  <c r="F40" i="37" s="1"/>
  <c r="I40" i="37" s="1"/>
  <c r="G51" i="34" s="1"/>
  <c r="H51" i="34" s="1"/>
  <c r="E178" i="37"/>
  <c r="F178" i="37" s="1"/>
  <c r="I178" i="37" s="1"/>
  <c r="G189" i="34" s="1"/>
  <c r="H189" i="34" s="1"/>
  <c r="E107" i="37"/>
  <c r="F107" i="37" s="1"/>
  <c r="I107" i="37" s="1"/>
  <c r="G118" i="34" s="1"/>
  <c r="H118" i="34" s="1"/>
  <c r="E87" i="37"/>
  <c r="F87" i="37" s="1"/>
  <c r="I87" i="37" s="1"/>
  <c r="G98" i="34" s="1"/>
  <c r="H98" i="34" s="1"/>
  <c r="E71" i="37"/>
  <c r="F71" i="37" s="1"/>
  <c r="I71" i="37" s="1"/>
  <c r="G82" i="34" s="1"/>
  <c r="H82" i="34" s="1"/>
  <c r="E223" i="37"/>
  <c r="F223" i="37" s="1"/>
  <c r="I223" i="37" s="1"/>
  <c r="G234" i="34" s="1"/>
  <c r="H234" i="34" s="1"/>
  <c r="E181" i="37"/>
  <c r="F181" i="37" s="1"/>
  <c r="I181" i="37" s="1"/>
  <c r="G192" i="34" s="1"/>
  <c r="H192" i="34" s="1"/>
  <c r="E246" i="37"/>
  <c r="F246" i="37" s="1"/>
  <c r="I246" i="37" s="1"/>
  <c r="G257" i="34" s="1"/>
  <c r="H257" i="34" s="1"/>
  <c r="E139" i="37"/>
  <c r="F139" i="37" s="1"/>
  <c r="I139" i="37" s="1"/>
  <c r="G150" i="34" s="1"/>
  <c r="H150" i="34" s="1"/>
  <c r="E262" i="37"/>
  <c r="F262" i="37" s="1"/>
  <c r="I262" i="37" s="1"/>
  <c r="G273" i="34" s="1"/>
  <c r="H273" i="34" s="1"/>
  <c r="E133" i="37"/>
  <c r="F133" i="37" s="1"/>
  <c r="I133" i="37" s="1"/>
  <c r="G144" i="34" s="1"/>
  <c r="H144" i="34" s="1"/>
  <c r="E182" i="37"/>
  <c r="F182" i="37" s="1"/>
  <c r="I182" i="37" s="1"/>
  <c r="G193" i="34" s="1"/>
  <c r="H193" i="34" s="1"/>
  <c r="E266" i="37"/>
  <c r="F266" i="37" s="1"/>
  <c r="I266" i="37" s="1"/>
  <c r="G277" i="34" s="1"/>
  <c r="H277" i="34" s="1"/>
  <c r="E270" i="37"/>
  <c r="F270" i="37" s="1"/>
  <c r="I270" i="37" s="1"/>
  <c r="G281" i="34" s="1"/>
  <c r="H281" i="34" s="1"/>
  <c r="E233" i="37"/>
  <c r="F233" i="37" s="1"/>
  <c r="I233" i="37" s="1"/>
  <c r="G244" i="34" s="1"/>
  <c r="H244" i="34" s="1"/>
  <c r="E231" i="37"/>
  <c r="F231" i="37" s="1"/>
  <c r="I231" i="37" s="1"/>
  <c r="G242" i="34" s="1"/>
  <c r="H242" i="34" s="1"/>
  <c r="E96" i="37"/>
  <c r="F96" i="37" s="1"/>
  <c r="I96" i="37" s="1"/>
  <c r="G107" i="34" s="1"/>
  <c r="H107" i="34" s="1"/>
  <c r="E312" i="37"/>
  <c r="F312" i="37" s="1"/>
  <c r="I312" i="37" s="1"/>
  <c r="G323" i="34" s="1"/>
  <c r="H323" i="34" s="1"/>
  <c r="E238" i="37"/>
  <c r="F238" i="37" s="1"/>
  <c r="I238" i="37" s="1"/>
  <c r="G249" i="34" s="1"/>
  <c r="H249" i="34" s="1"/>
  <c r="E160" i="37"/>
  <c r="F160" i="37" s="1"/>
  <c r="I160" i="37" s="1"/>
  <c r="G171" i="34" s="1"/>
  <c r="H171" i="34" s="1"/>
  <c r="E85" i="37"/>
  <c r="F85" i="37" s="1"/>
  <c r="I85" i="37" s="1"/>
  <c r="G96" i="34" s="1"/>
  <c r="H96" i="34" s="1"/>
  <c r="E256" i="37"/>
  <c r="F256" i="37" s="1"/>
  <c r="I256" i="37" s="1"/>
  <c r="G267" i="34" s="1"/>
  <c r="H267" i="34" s="1"/>
  <c r="E179" i="37"/>
  <c r="F179" i="37" s="1"/>
  <c r="I179" i="37" s="1"/>
  <c r="G190" i="34" s="1"/>
  <c r="H190" i="34" s="1"/>
  <c r="E125" i="37"/>
  <c r="F125" i="37" s="1"/>
  <c r="I125" i="37" s="1"/>
  <c r="G136" i="34" s="1"/>
  <c r="H136" i="34" s="1"/>
  <c r="E37" i="37"/>
  <c r="F37" i="37" s="1"/>
  <c r="I37" i="37" s="1"/>
  <c r="G48" i="34" s="1"/>
  <c r="H48" i="34" s="1"/>
  <c r="E24" i="37"/>
  <c r="F24" i="37" s="1"/>
  <c r="I24" i="37" s="1"/>
  <c r="G35" i="34" s="1"/>
  <c r="H35" i="34" s="1"/>
  <c r="E103" i="37"/>
  <c r="F103" i="37" s="1"/>
  <c r="I103" i="37" s="1"/>
  <c r="G114" i="34" s="1"/>
  <c r="H114" i="34" s="1"/>
  <c r="E72" i="37"/>
  <c r="F72" i="37" s="1"/>
  <c r="I72" i="37" s="1"/>
  <c r="G83" i="34" s="1"/>
  <c r="H83" i="34" s="1"/>
  <c r="E56" i="37"/>
  <c r="F56" i="37" s="1"/>
  <c r="I56" i="37" s="1"/>
  <c r="G67" i="34" s="1"/>
  <c r="H67" i="34" s="1"/>
  <c r="E215" i="37"/>
  <c r="F215" i="37" s="1"/>
  <c r="I215" i="37" s="1"/>
  <c r="G226" i="34" s="1"/>
  <c r="H226" i="34" s="1"/>
  <c r="E234" i="37"/>
  <c r="F234" i="37" s="1"/>
  <c r="I234" i="37" s="1"/>
  <c r="G245" i="34" s="1"/>
  <c r="H245" i="34" s="1"/>
  <c r="E131" i="37"/>
  <c r="F131" i="37" s="1"/>
  <c r="I131" i="37" s="1"/>
  <c r="G142" i="34" s="1"/>
  <c r="H142" i="34" s="1"/>
  <c r="E155" i="37"/>
  <c r="F155" i="37" s="1"/>
  <c r="I155" i="37" s="1"/>
  <c r="G166" i="34" s="1"/>
  <c r="H166" i="34" s="1"/>
  <c r="E111" i="37"/>
  <c r="F111" i="37" s="1"/>
  <c r="I111" i="37" s="1"/>
  <c r="G122" i="34" s="1"/>
  <c r="H122" i="34" s="1"/>
  <c r="E229" i="37"/>
  <c r="F229" i="37" s="1"/>
  <c r="I229" i="37" s="1"/>
  <c r="G240" i="34" s="1"/>
  <c r="H240" i="34" s="1"/>
  <c r="E310" i="37"/>
  <c r="F310" i="37" s="1"/>
  <c r="I310" i="37" s="1"/>
  <c r="G321" i="34" s="1"/>
  <c r="H321" i="34" s="1"/>
  <c r="E227" i="37"/>
  <c r="F227" i="37" s="1"/>
  <c r="I227" i="37" s="1"/>
  <c r="G238" i="34" s="1"/>
  <c r="H238" i="34" s="1"/>
  <c r="E154" i="37"/>
  <c r="F154" i="37" s="1"/>
  <c r="I154" i="37" s="1"/>
  <c r="G165" i="34" s="1"/>
  <c r="H165" i="34" s="1"/>
  <c r="E104" i="37"/>
  <c r="F104" i="37" s="1"/>
  <c r="I104" i="37" s="1"/>
  <c r="G115" i="34" s="1"/>
  <c r="H115" i="34" s="1"/>
  <c r="E27" i="37"/>
  <c r="F27" i="37" s="1"/>
  <c r="I27" i="37" s="1"/>
  <c r="G38" i="34" s="1"/>
  <c r="H38" i="34" s="1"/>
  <c r="E300" i="37"/>
  <c r="F300" i="37" s="1"/>
  <c r="I300" i="37" s="1"/>
  <c r="G311" i="34" s="1"/>
  <c r="H311" i="34" s="1"/>
  <c r="E254" i="37"/>
  <c r="F254" i="37" s="1"/>
  <c r="I254" i="37" s="1"/>
  <c r="G265" i="34" s="1"/>
  <c r="H265" i="34" s="1"/>
  <c r="E177" i="37"/>
  <c r="F177" i="37" s="1"/>
  <c r="I177" i="37" s="1"/>
  <c r="G188" i="34" s="1"/>
  <c r="H188" i="34" s="1"/>
  <c r="E123" i="37"/>
  <c r="F123" i="37" s="1"/>
  <c r="I123" i="37" s="1"/>
  <c r="G134" i="34" s="1"/>
  <c r="H134" i="34" s="1"/>
  <c r="E33" i="37"/>
  <c r="F33" i="37" s="1"/>
  <c r="I33" i="37" s="1"/>
  <c r="G44" i="34" s="1"/>
  <c r="H44" i="34" s="1"/>
  <c r="E141" i="37"/>
  <c r="F141" i="37" s="1"/>
  <c r="I141" i="37" s="1"/>
  <c r="G152" i="34" s="1"/>
  <c r="H152" i="34" s="1"/>
  <c r="E16" i="37"/>
  <c r="F16" i="37" s="1"/>
  <c r="I16" i="37" s="1"/>
  <c r="G27" i="34" s="1"/>
  <c r="H27" i="34" s="1"/>
  <c r="E65" i="37"/>
  <c r="F65" i="37" s="1"/>
  <c r="I65" i="37" s="1"/>
  <c r="G76" i="34" s="1"/>
  <c r="H76" i="34" s="1"/>
  <c r="E47" i="37"/>
  <c r="F47" i="37" s="1"/>
  <c r="I47" i="37" s="1"/>
  <c r="G58" i="34" s="1"/>
  <c r="H58" i="34" s="1"/>
  <c r="E296" i="37"/>
  <c r="F296" i="37" s="1"/>
  <c r="I296" i="37" s="1"/>
  <c r="G307" i="34" s="1"/>
  <c r="H307" i="34" s="1"/>
  <c r="E213" i="37"/>
  <c r="F213" i="37" s="1"/>
  <c r="I213" i="37" s="1"/>
  <c r="G224" i="34" s="1"/>
  <c r="H224" i="34" s="1"/>
  <c r="E143" i="37"/>
  <c r="F143" i="37" s="1"/>
  <c r="I143" i="37" s="1"/>
  <c r="G154" i="34" s="1"/>
  <c r="H154" i="34" s="1"/>
  <c r="E292" i="37"/>
  <c r="F292" i="37" s="1"/>
  <c r="I292" i="37" s="1"/>
  <c r="G303" i="34" s="1"/>
  <c r="H303" i="34" s="1"/>
  <c r="E207" i="37"/>
  <c r="F207" i="37" s="1"/>
  <c r="I207" i="37" s="1"/>
  <c r="G218" i="34" s="1"/>
  <c r="H218" i="34" s="1"/>
  <c r="E210" i="37"/>
  <c r="F210" i="37" s="1"/>
  <c r="I210" i="37" s="1"/>
  <c r="G221" i="34" s="1"/>
  <c r="H221" i="34" s="1"/>
  <c r="E97" i="37"/>
  <c r="F97" i="37" s="1"/>
  <c r="I97" i="37" s="1"/>
  <c r="G108" i="34" s="1"/>
  <c r="H108" i="34" s="1"/>
  <c r="E253" i="37"/>
  <c r="F253" i="37" s="1"/>
  <c r="I253" i="37" s="1"/>
  <c r="G264" i="34" s="1"/>
  <c r="H264" i="34" s="1"/>
  <c r="E167" i="37"/>
  <c r="F167" i="37" s="1"/>
  <c r="I167" i="37" s="1"/>
  <c r="G178" i="34" s="1"/>
  <c r="H178" i="34" s="1"/>
  <c r="E221" i="37"/>
  <c r="F221" i="37" s="1"/>
  <c r="I221" i="37" s="1"/>
  <c r="G232" i="34" s="1"/>
  <c r="H232" i="34" s="1"/>
  <c r="E225" i="37"/>
  <c r="F225" i="37" s="1"/>
  <c r="I225" i="37" s="1"/>
  <c r="G236" i="34" s="1"/>
  <c r="H236" i="34" s="1"/>
  <c r="E152" i="37"/>
  <c r="F152" i="37" s="1"/>
  <c r="I152" i="37" s="1"/>
  <c r="G163" i="34" s="1"/>
  <c r="H163" i="34" s="1"/>
  <c r="E77" i="37"/>
  <c r="F77" i="37" s="1"/>
  <c r="I77" i="37" s="1"/>
  <c r="G88" i="34" s="1"/>
  <c r="H88" i="34" s="1"/>
  <c r="E23" i="37"/>
  <c r="F23" i="37" s="1"/>
  <c r="I23" i="37" s="1"/>
  <c r="G34" i="34" s="1"/>
  <c r="H34" i="34" s="1"/>
  <c r="E243" i="37"/>
  <c r="F243" i="37" s="1"/>
  <c r="I243" i="37" s="1"/>
  <c r="G254" i="34" s="1"/>
  <c r="H254" i="34" s="1"/>
  <c r="E175" i="37"/>
  <c r="F175" i="37" s="1"/>
  <c r="I175" i="37" s="1"/>
  <c r="G186" i="34" s="1"/>
  <c r="H186" i="34" s="1"/>
  <c r="E29" i="37"/>
  <c r="F29" i="37" s="1"/>
  <c r="I29" i="37" s="1"/>
  <c r="G40" i="34" s="1"/>
  <c r="H40" i="34" s="1"/>
  <c r="E128" i="37"/>
  <c r="F128" i="37" s="1"/>
  <c r="I128" i="37" s="1"/>
  <c r="G139" i="34" s="1"/>
  <c r="H139" i="34" s="1"/>
  <c r="E59" i="37"/>
  <c r="F59" i="37" s="1"/>
  <c r="I59" i="37" s="1"/>
  <c r="G70" i="34" s="1"/>
  <c r="H70" i="34" s="1"/>
  <c r="E294" i="37"/>
  <c r="F294" i="37" s="1"/>
  <c r="I294" i="37" s="1"/>
  <c r="G305" i="34" s="1"/>
  <c r="H305" i="34" s="1"/>
  <c r="E205" i="37"/>
  <c r="F205" i="37" s="1"/>
  <c r="I205" i="37" s="1"/>
  <c r="G216" i="34" s="1"/>
  <c r="H216" i="34" s="1"/>
  <c r="E112" i="37"/>
  <c r="F112" i="37" s="1"/>
  <c r="I112" i="37" s="1"/>
  <c r="G123" i="34" s="1"/>
  <c r="H123" i="34" s="1"/>
  <c r="E288" i="37"/>
  <c r="F288" i="37" s="1"/>
  <c r="I288" i="37" s="1"/>
  <c r="G299" i="34" s="1"/>
  <c r="H299" i="34" s="1"/>
  <c r="E199" i="37"/>
  <c r="F199" i="37" s="1"/>
  <c r="I199" i="37" s="1"/>
  <c r="G210" i="34" s="1"/>
  <c r="H210" i="34" s="1"/>
  <c r="E242" i="37"/>
  <c r="F242" i="37" s="1"/>
  <c r="I242" i="37" s="1"/>
  <c r="G253" i="34" s="1"/>
  <c r="H253" i="34" s="1"/>
  <c r="E198" i="37"/>
  <c r="F198" i="37" s="1"/>
  <c r="I198" i="37" s="1"/>
  <c r="G209" i="34" s="1"/>
  <c r="H209" i="34" s="1"/>
  <c r="E93" i="37"/>
  <c r="F93" i="37" s="1"/>
  <c r="I93" i="37" s="1"/>
  <c r="G104" i="34" s="1"/>
  <c r="H104" i="34" s="1"/>
  <c r="E308" i="37"/>
  <c r="F308" i="37" s="1"/>
  <c r="I308" i="37" s="1"/>
  <c r="G319" i="34" s="1"/>
  <c r="H319" i="34" s="1"/>
  <c r="E251" i="37"/>
  <c r="F251" i="37" s="1"/>
  <c r="I251" i="37" s="1"/>
  <c r="G262" i="34" s="1"/>
  <c r="H262" i="34" s="1"/>
  <c r="E165" i="37"/>
  <c r="F165" i="37" s="1"/>
  <c r="I165" i="37" s="1"/>
  <c r="G176" i="34" s="1"/>
  <c r="H176" i="34" s="1"/>
  <c r="E278" i="37"/>
  <c r="F278" i="37" s="1"/>
  <c r="I278" i="37" s="1"/>
  <c r="G289" i="34" s="1"/>
  <c r="H289" i="34" s="1"/>
  <c r="E219" i="37"/>
  <c r="F219" i="37" s="1"/>
  <c r="I219" i="37" s="1"/>
  <c r="G230" i="34" s="1"/>
  <c r="H230" i="34" s="1"/>
  <c r="E206" i="37"/>
  <c r="F206" i="37" s="1"/>
  <c r="I206" i="37" s="1"/>
  <c r="G217" i="34" s="1"/>
  <c r="H217" i="34" s="1"/>
  <c r="E135" i="37"/>
  <c r="F135" i="37" s="1"/>
  <c r="I135" i="37" s="1"/>
  <c r="G146" i="34" s="1"/>
  <c r="H146" i="34" s="1"/>
  <c r="E79" i="37"/>
  <c r="F79" i="37" s="1"/>
  <c r="I79" i="37" s="1"/>
  <c r="G90" i="34" s="1"/>
  <c r="H90" i="34" s="1"/>
  <c r="E63" i="37"/>
  <c r="F63" i="37" s="1"/>
  <c r="I63" i="37" s="1"/>
  <c r="G74" i="34" s="1"/>
  <c r="H74" i="34" s="1"/>
  <c r="E241" i="37"/>
  <c r="F241" i="37" s="1"/>
  <c r="I241" i="37" s="1"/>
  <c r="G252" i="34" s="1"/>
  <c r="H252" i="34" s="1"/>
  <c r="E173" i="37"/>
  <c r="F173" i="37" s="1"/>
  <c r="I173" i="37" s="1"/>
  <c r="G184" i="34" s="1"/>
  <c r="H184" i="34" s="1"/>
  <c r="E117" i="37"/>
  <c r="F117" i="37" s="1"/>
  <c r="I117" i="37" s="1"/>
  <c r="G128" i="34" s="1"/>
  <c r="H128" i="34" s="1"/>
  <c r="E122" i="37"/>
  <c r="F122" i="37" s="1"/>
  <c r="I122" i="37" s="1"/>
  <c r="G133" i="34" s="1"/>
  <c r="H133" i="34" s="1"/>
  <c r="E32" i="37"/>
  <c r="F32" i="37" s="1"/>
  <c r="I32" i="37" s="1"/>
  <c r="G43" i="34" s="1"/>
  <c r="H43" i="34" s="1"/>
  <c r="M244" i="25"/>
  <c r="D6" i="34"/>
  <c r="D8" i="34"/>
  <c r="D5" i="34"/>
  <c r="N219" i="49"/>
  <c r="O219" i="49" s="1"/>
  <c r="N170" i="49"/>
  <c r="O170" i="49" s="1"/>
  <c r="N8" i="49"/>
  <c r="N7" i="49"/>
  <c r="N6" i="49"/>
  <c r="N105" i="49"/>
  <c r="O105" i="49" s="1"/>
  <c r="E5" i="37"/>
  <c r="F5" i="37" s="1"/>
  <c r="I5" i="37" s="1"/>
  <c r="D5" i="9"/>
  <c r="D7" i="9"/>
  <c r="B21" i="48" s="1"/>
  <c r="D6" i="9"/>
  <c r="I314" i="11"/>
  <c r="H314" i="11"/>
  <c r="M5" i="11"/>
  <c r="L314" i="11"/>
  <c r="M105" i="25" l="1"/>
  <c r="M170" i="25"/>
  <c r="M219" i="25"/>
  <c r="K40" i="40"/>
  <c r="M314" i="11"/>
  <c r="F10" i="9"/>
  <c r="N256" i="49"/>
  <c r="O256" i="49" s="1"/>
  <c r="N301" i="49"/>
  <c r="O301" i="49" s="1"/>
  <c r="N15" i="49"/>
  <c r="O15" i="49" s="1"/>
  <c r="N58" i="49"/>
  <c r="O58" i="49" s="1"/>
  <c r="N113" i="49"/>
  <c r="O113" i="49" s="1"/>
  <c r="N75" i="49"/>
  <c r="O75" i="49" s="1"/>
  <c r="N210" i="49"/>
  <c r="O210" i="49" s="1"/>
  <c r="N40" i="49"/>
  <c r="O40" i="49" s="1"/>
  <c r="N188" i="49"/>
  <c r="O188" i="49" s="1"/>
  <c r="N300" i="49"/>
  <c r="O300" i="49" s="1"/>
  <c r="N179" i="49"/>
  <c r="O179" i="49" s="1"/>
  <c r="N288" i="49"/>
  <c r="O288" i="49" s="1"/>
  <c r="N273" i="49"/>
  <c r="O273" i="49" s="1"/>
  <c r="N35" i="49"/>
  <c r="O35" i="49" s="1"/>
  <c r="N76" i="49"/>
  <c r="O76" i="49" s="1"/>
  <c r="N245" i="49"/>
  <c r="O245" i="49" s="1"/>
  <c r="N183" i="49"/>
  <c r="O183" i="49" s="1"/>
  <c r="O7" i="49"/>
  <c r="N177" i="49"/>
  <c r="O177" i="49" s="1"/>
  <c r="N17" i="49"/>
  <c r="O17" i="49" s="1"/>
  <c r="N124" i="49"/>
  <c r="O124" i="49" s="1"/>
  <c r="N192" i="49"/>
  <c r="O192" i="49" s="1"/>
  <c r="N110" i="49"/>
  <c r="O110" i="49" s="1"/>
  <c r="N100" i="49"/>
  <c r="O100" i="49" s="1"/>
  <c r="N66" i="49"/>
  <c r="O66" i="49" s="1"/>
  <c r="N241" i="49"/>
  <c r="O241" i="49" s="1"/>
  <c r="N22" i="49"/>
  <c r="O22" i="49" s="1"/>
  <c r="N59" i="49"/>
  <c r="O59" i="49" s="1"/>
  <c r="N181" i="49"/>
  <c r="O181" i="49" s="1"/>
  <c r="N214" i="49"/>
  <c r="O214" i="49" s="1"/>
  <c r="N270" i="49"/>
  <c r="O270" i="49" s="1"/>
  <c r="N129" i="49"/>
  <c r="O129" i="49" s="1"/>
  <c r="N99" i="49"/>
  <c r="O99" i="49" s="1"/>
  <c r="N74" i="49"/>
  <c r="O74" i="49" s="1"/>
  <c r="N225" i="49"/>
  <c r="O225" i="49" s="1"/>
  <c r="N290" i="49"/>
  <c r="O290" i="49" s="1"/>
  <c r="N18" i="49"/>
  <c r="O18" i="49" s="1"/>
  <c r="N312" i="49"/>
  <c r="O312" i="49" s="1"/>
  <c r="N156" i="49"/>
  <c r="O156" i="49" s="1"/>
  <c r="N292" i="49"/>
  <c r="O292" i="49" s="1"/>
  <c r="N291" i="49"/>
  <c r="O291" i="49" s="1"/>
  <c r="N33" i="49"/>
  <c r="O33" i="49" s="1"/>
  <c r="N97" i="49"/>
  <c r="O97" i="49" s="1"/>
  <c r="N272" i="49"/>
  <c r="O272" i="49" s="1"/>
  <c r="N118" i="49"/>
  <c r="O118" i="49" s="1"/>
  <c r="N62" i="49"/>
  <c r="O62" i="49" s="1"/>
  <c r="N178" i="49"/>
  <c r="O178" i="49" s="1"/>
  <c r="N26" i="49"/>
  <c r="O26" i="49" s="1"/>
  <c r="N186" i="49"/>
  <c r="O186" i="49" s="1"/>
  <c r="N274" i="49"/>
  <c r="O274" i="49" s="1"/>
  <c r="N141" i="49"/>
  <c r="O141" i="49" s="1"/>
  <c r="N247" i="49"/>
  <c r="O247" i="49" s="1"/>
  <c r="N80" i="49"/>
  <c r="O80" i="49" s="1"/>
  <c r="N161" i="49"/>
  <c r="O161" i="49" s="1"/>
  <c r="N71" i="49"/>
  <c r="O71" i="49" s="1"/>
  <c r="N304" i="49"/>
  <c r="O304" i="49" s="1"/>
  <c r="N255" i="49"/>
  <c r="O255" i="49" s="1"/>
  <c r="N65" i="49"/>
  <c r="O65" i="49" s="1"/>
  <c r="N289" i="49"/>
  <c r="O289" i="49" s="1"/>
  <c r="N293" i="49"/>
  <c r="O293" i="49" s="1"/>
  <c r="N222" i="49"/>
  <c r="O222" i="49" s="1"/>
  <c r="N253" i="49"/>
  <c r="O253" i="49" s="1"/>
  <c r="N302" i="49"/>
  <c r="O302" i="49" s="1"/>
  <c r="N191" i="49"/>
  <c r="O191" i="49" s="1"/>
  <c r="N132" i="49"/>
  <c r="O132" i="49" s="1"/>
  <c r="N10" i="49"/>
  <c r="O10" i="49" s="1"/>
  <c r="N57" i="49"/>
  <c r="O57" i="49" s="1"/>
  <c r="N45" i="49"/>
  <c r="O45" i="49" s="1"/>
  <c r="N313" i="49"/>
  <c r="O313" i="49" s="1"/>
  <c r="N258" i="49"/>
  <c r="O258" i="49" s="1"/>
  <c r="N64" i="49"/>
  <c r="O64" i="49" s="1"/>
  <c r="N148" i="49"/>
  <c r="O148" i="49" s="1"/>
  <c r="N306" i="49"/>
  <c r="O306" i="49" s="1"/>
  <c r="N82" i="49"/>
  <c r="O82" i="49" s="1"/>
  <c r="N310" i="49"/>
  <c r="O310" i="49" s="1"/>
  <c r="N127" i="49"/>
  <c r="O127" i="49" s="1"/>
  <c r="N164" i="49"/>
  <c r="O164" i="49" s="1"/>
  <c r="N123" i="49"/>
  <c r="O123" i="49" s="1"/>
  <c r="N307" i="49"/>
  <c r="O307" i="49" s="1"/>
  <c r="N128" i="49"/>
  <c r="O128" i="49" s="1"/>
  <c r="N279" i="49"/>
  <c r="O279" i="49" s="1"/>
  <c r="N55" i="49"/>
  <c r="O55" i="49" s="1"/>
  <c r="N261" i="49"/>
  <c r="O261" i="49" s="1"/>
  <c r="N9" i="49"/>
  <c r="O9" i="49" s="1"/>
  <c r="N77" i="49"/>
  <c r="O77" i="49" s="1"/>
  <c r="N16" i="49"/>
  <c r="O16" i="49" s="1"/>
  <c r="N189" i="49"/>
  <c r="O189" i="49" s="1"/>
  <c r="N19" i="49"/>
  <c r="O19" i="49" s="1"/>
  <c r="N104" i="49"/>
  <c r="O104" i="49" s="1"/>
  <c r="N155" i="49"/>
  <c r="O155" i="49" s="1"/>
  <c r="N103" i="49"/>
  <c r="O103" i="49" s="1"/>
  <c r="N199" i="49"/>
  <c r="O199" i="49" s="1"/>
  <c r="N134" i="49"/>
  <c r="O134" i="49" s="1"/>
  <c r="O8" i="49"/>
  <c r="N196" i="49"/>
  <c r="O196" i="49" s="1"/>
  <c r="N32" i="49"/>
  <c r="O32" i="49" s="1"/>
  <c r="N98" i="49"/>
  <c r="O98" i="49" s="1"/>
  <c r="N120" i="49"/>
  <c r="O120" i="49" s="1"/>
  <c r="N38" i="49"/>
  <c r="O38" i="49" s="1"/>
  <c r="N130" i="49"/>
  <c r="O130" i="49" s="1"/>
  <c r="N227" i="49"/>
  <c r="O227" i="49" s="1"/>
  <c r="N91" i="49"/>
  <c r="O91" i="49" s="1"/>
  <c r="N116" i="49"/>
  <c r="O116" i="49" s="1"/>
  <c r="N234" i="49"/>
  <c r="O234" i="49" s="1"/>
  <c r="N79" i="49"/>
  <c r="O79" i="49" s="1"/>
  <c r="N34" i="49"/>
  <c r="O34" i="49" s="1"/>
  <c r="N151" i="49"/>
  <c r="O151" i="49" s="1"/>
  <c r="N239" i="49"/>
  <c r="O239" i="49" s="1"/>
  <c r="N168" i="49"/>
  <c r="O168" i="49" s="1"/>
  <c r="N157" i="49"/>
  <c r="O157" i="49" s="1"/>
  <c r="N14" i="49"/>
  <c r="O14" i="49" s="1"/>
  <c r="N299" i="49"/>
  <c r="O299" i="49" s="1"/>
  <c r="N114" i="49"/>
  <c r="O114" i="49" s="1"/>
  <c r="N257" i="49"/>
  <c r="O257" i="49" s="1"/>
  <c r="N49" i="49"/>
  <c r="O49" i="49" s="1"/>
  <c r="N295" i="49"/>
  <c r="O295" i="49" s="1"/>
  <c r="N217" i="49"/>
  <c r="O217" i="49" s="1"/>
  <c r="N85" i="49"/>
  <c r="O85" i="49" s="1"/>
  <c r="N180" i="49"/>
  <c r="O180" i="49" s="1"/>
  <c r="N86" i="49"/>
  <c r="O86" i="49" s="1"/>
  <c r="N39" i="49"/>
  <c r="O39" i="49" s="1"/>
  <c r="N286" i="49"/>
  <c r="O286" i="49" s="1"/>
  <c r="N240" i="49"/>
  <c r="O240" i="49" s="1"/>
  <c r="N143" i="49"/>
  <c r="O143" i="49" s="1"/>
  <c r="N184" i="49"/>
  <c r="O184" i="49" s="1"/>
  <c r="N21" i="49"/>
  <c r="O21" i="49" s="1"/>
  <c r="N149" i="49"/>
  <c r="O149" i="49" s="1"/>
  <c r="N248" i="49"/>
  <c r="O248" i="49" s="1"/>
  <c r="N193" i="49"/>
  <c r="O193" i="49" s="1"/>
  <c r="N122" i="49"/>
  <c r="O122" i="49" s="1"/>
  <c r="N12" i="49"/>
  <c r="O12" i="49" s="1"/>
  <c r="N95" i="49"/>
  <c r="O95" i="49" s="1"/>
  <c r="N220" i="49"/>
  <c r="O220" i="49" s="1"/>
  <c r="N146" i="49"/>
  <c r="O146" i="49" s="1"/>
  <c r="N81" i="49"/>
  <c r="O81" i="49" s="1"/>
  <c r="N206" i="49"/>
  <c r="O206" i="49" s="1"/>
  <c r="N243" i="49"/>
  <c r="O243" i="49" s="1"/>
  <c r="N125" i="49"/>
  <c r="O125" i="49" s="1"/>
  <c r="N283" i="49"/>
  <c r="O283" i="49" s="1"/>
  <c r="N159" i="49"/>
  <c r="O159" i="49" s="1"/>
  <c r="N137" i="49"/>
  <c r="O137" i="49" s="1"/>
  <c r="N176" i="49"/>
  <c r="O176" i="49" s="1"/>
  <c r="N209" i="49"/>
  <c r="O209" i="49" s="1"/>
  <c r="N287" i="49"/>
  <c r="O287" i="49" s="1"/>
  <c r="N101" i="49"/>
  <c r="O101" i="49" s="1"/>
  <c r="N30" i="49"/>
  <c r="O30" i="49" s="1"/>
  <c r="N166" i="49"/>
  <c r="O166" i="49" s="1"/>
  <c r="N254" i="49"/>
  <c r="O254" i="49" s="1"/>
  <c r="N54" i="49"/>
  <c r="O54" i="49" s="1"/>
  <c r="N36" i="49"/>
  <c r="O36" i="49" s="1"/>
  <c r="N142" i="49"/>
  <c r="O142" i="49" s="1"/>
  <c r="N48" i="49"/>
  <c r="O48" i="49" s="1"/>
  <c r="N153" i="49"/>
  <c r="O153" i="49" s="1"/>
  <c r="N92" i="49"/>
  <c r="O92" i="49" s="1"/>
  <c r="N226" i="49"/>
  <c r="O226" i="49" s="1"/>
  <c r="N20" i="49"/>
  <c r="O20" i="49" s="1"/>
  <c r="N205" i="49"/>
  <c r="O205" i="49" s="1"/>
  <c r="N108" i="49"/>
  <c r="O108" i="49" s="1"/>
  <c r="N78" i="49"/>
  <c r="O78" i="49" s="1"/>
  <c r="N213" i="49"/>
  <c r="O213" i="49" s="1"/>
  <c r="N73" i="49"/>
  <c r="O73" i="49" s="1"/>
  <c r="N207" i="49"/>
  <c r="O207" i="49" s="1"/>
  <c r="N150" i="49"/>
  <c r="O150" i="49" s="1"/>
  <c r="N311" i="49"/>
  <c r="O311" i="49" s="1"/>
  <c r="N51" i="49"/>
  <c r="O51" i="49" s="1"/>
  <c r="N119" i="49"/>
  <c r="O119" i="49" s="1"/>
  <c r="N69" i="49"/>
  <c r="O69" i="49" s="1"/>
  <c r="N115" i="49"/>
  <c r="O115" i="49" s="1"/>
  <c r="N68" i="49"/>
  <c r="O68" i="49" s="1"/>
  <c r="N195" i="49"/>
  <c r="O195" i="49" s="1"/>
  <c r="N203" i="49"/>
  <c r="O203" i="49" s="1"/>
  <c r="N63" i="49"/>
  <c r="O63" i="49" s="1"/>
  <c r="N185" i="49"/>
  <c r="O185" i="49" s="1"/>
  <c r="N251" i="49"/>
  <c r="O251" i="49" s="1"/>
  <c r="N145" i="49"/>
  <c r="O145" i="49" s="1"/>
  <c r="N131" i="49"/>
  <c r="O131" i="49" s="1"/>
  <c r="N281" i="49"/>
  <c r="O281" i="49" s="1"/>
  <c r="N13" i="49"/>
  <c r="O13" i="49" s="1"/>
  <c r="N229" i="49"/>
  <c r="O229" i="49" s="1"/>
  <c r="N67" i="49"/>
  <c r="O67" i="49" s="1"/>
  <c r="N169" i="49"/>
  <c r="O169" i="49" s="1"/>
  <c r="N162" i="49"/>
  <c r="O162" i="49" s="1"/>
  <c r="N44" i="49"/>
  <c r="O44" i="49" s="1"/>
  <c r="N296" i="49"/>
  <c r="O296" i="49" s="1"/>
  <c r="N277" i="49"/>
  <c r="O277" i="49" s="1"/>
  <c r="N278" i="49"/>
  <c r="O278" i="49" s="1"/>
  <c r="N167" i="49"/>
  <c r="O167" i="49" s="1"/>
  <c r="N260" i="49"/>
  <c r="O260" i="49" s="1"/>
  <c r="N117" i="49"/>
  <c r="O117" i="49" s="1"/>
  <c r="N135" i="49"/>
  <c r="O135" i="49" s="1"/>
  <c r="N111" i="49"/>
  <c r="O111" i="49" s="1"/>
  <c r="N235" i="49"/>
  <c r="O235" i="49" s="1"/>
  <c r="N23" i="49"/>
  <c r="O23" i="49" s="1"/>
  <c r="N83" i="49"/>
  <c r="O83" i="49" s="1"/>
  <c r="N37" i="49"/>
  <c r="O37" i="49" s="1"/>
  <c r="N267" i="49"/>
  <c r="O267" i="49" s="1"/>
  <c r="N175" i="49"/>
  <c r="O175" i="49" s="1"/>
  <c r="N72" i="49"/>
  <c r="O72" i="49" s="1"/>
  <c r="N28" i="49"/>
  <c r="O28" i="49" s="1"/>
  <c r="N60" i="49"/>
  <c r="O60" i="49" s="1"/>
  <c r="N29" i="49"/>
  <c r="O29" i="49" s="1"/>
  <c r="N42" i="49"/>
  <c r="O42" i="49" s="1"/>
  <c r="N297" i="49"/>
  <c r="O297" i="49" s="1"/>
  <c r="N126" i="49"/>
  <c r="O126" i="49" s="1"/>
  <c r="N223" i="49"/>
  <c r="O223" i="49" s="1"/>
  <c r="N89" i="49"/>
  <c r="O89" i="49" s="1"/>
  <c r="N298" i="49"/>
  <c r="O298" i="49" s="1"/>
  <c r="N198" i="49"/>
  <c r="O198" i="49" s="1"/>
  <c r="N284" i="49"/>
  <c r="O284" i="49" s="1"/>
  <c r="N204" i="49"/>
  <c r="O204" i="49" s="1"/>
  <c r="N201" i="49"/>
  <c r="O201" i="49" s="1"/>
  <c r="N109" i="49"/>
  <c r="O109" i="49" s="1"/>
  <c r="N208" i="49"/>
  <c r="O208" i="49" s="1"/>
  <c r="N27" i="49"/>
  <c r="O27" i="49" s="1"/>
  <c r="N52" i="49"/>
  <c r="O52" i="49" s="1"/>
  <c r="N112" i="49"/>
  <c r="O112" i="49" s="1"/>
  <c r="N212" i="49"/>
  <c r="O212" i="49" s="1"/>
  <c r="N25" i="49"/>
  <c r="O25" i="49" s="1"/>
  <c r="N56" i="49"/>
  <c r="O56" i="49" s="1"/>
  <c r="N106" i="49"/>
  <c r="O106" i="49" s="1"/>
  <c r="N303" i="49"/>
  <c r="O303" i="49" s="1"/>
  <c r="N238" i="49"/>
  <c r="O238" i="49" s="1"/>
  <c r="N216" i="49"/>
  <c r="O216" i="49" s="1"/>
  <c r="N61" i="49"/>
  <c r="O61" i="49" s="1"/>
  <c r="N140" i="49"/>
  <c r="O140" i="49" s="1"/>
  <c r="N41" i="49"/>
  <c r="O41" i="49" s="1"/>
  <c r="N70" i="49"/>
  <c r="O70" i="49" s="1"/>
  <c r="N309" i="49"/>
  <c r="O309" i="49" s="1"/>
  <c r="N266" i="49"/>
  <c r="O266" i="49" s="1"/>
  <c r="N46" i="49"/>
  <c r="O46" i="49" s="1"/>
  <c r="N194" i="49"/>
  <c r="O194" i="49" s="1"/>
  <c r="N246" i="49"/>
  <c r="O246" i="49" s="1"/>
  <c r="N154" i="49"/>
  <c r="O154" i="49" s="1"/>
  <c r="N308" i="49"/>
  <c r="O308" i="49" s="1"/>
  <c r="N50" i="49"/>
  <c r="O50" i="49" s="1"/>
  <c r="N197" i="49"/>
  <c r="O197" i="49" s="1"/>
  <c r="N250" i="49"/>
  <c r="O250" i="49" s="1"/>
  <c r="N200" i="49"/>
  <c r="O200" i="49" s="1"/>
  <c r="N314" i="49"/>
  <c r="O314" i="49" s="1"/>
  <c r="N173" i="49"/>
  <c r="O173" i="49" s="1"/>
  <c r="N87" i="49"/>
  <c r="O87" i="49" s="1"/>
  <c r="N268" i="49"/>
  <c r="O268" i="49" s="1"/>
  <c r="N94" i="49"/>
  <c r="O94" i="49" s="1"/>
  <c r="N107" i="49"/>
  <c r="O107" i="49" s="1"/>
  <c r="N88" i="49"/>
  <c r="O88" i="49" s="1"/>
  <c r="N269" i="49"/>
  <c r="O269" i="49" s="1"/>
  <c r="N230" i="49"/>
  <c r="O230" i="49" s="1"/>
  <c r="N249" i="49"/>
  <c r="O249" i="49" s="1"/>
  <c r="N305" i="49"/>
  <c r="O305" i="49" s="1"/>
  <c r="N252" i="49"/>
  <c r="O252" i="49" s="1"/>
  <c r="N24" i="49"/>
  <c r="O24" i="49" s="1"/>
  <c r="N265" i="49"/>
  <c r="O265" i="49" s="1"/>
  <c r="N163" i="49"/>
  <c r="O163" i="49" s="1"/>
  <c r="N236" i="49"/>
  <c r="O236" i="49" s="1"/>
  <c r="N259" i="49"/>
  <c r="O259" i="49" s="1"/>
  <c r="N233" i="49"/>
  <c r="O233" i="49" s="1"/>
  <c r="N47" i="49"/>
  <c r="O47" i="49" s="1"/>
  <c r="N221" i="49"/>
  <c r="O221" i="49" s="1"/>
  <c r="N172" i="49"/>
  <c r="O172" i="49" s="1"/>
  <c r="N53" i="49"/>
  <c r="O53" i="49" s="1"/>
  <c r="N31" i="49"/>
  <c r="O31" i="49" s="1"/>
  <c r="N228" i="49"/>
  <c r="O228" i="49" s="1"/>
  <c r="N215" i="49"/>
  <c r="O215" i="49" s="1"/>
  <c r="N202" i="49"/>
  <c r="O202" i="49" s="1"/>
  <c r="N232" i="49"/>
  <c r="O232" i="49" s="1"/>
  <c r="N271" i="49"/>
  <c r="O271" i="49" s="1"/>
  <c r="N182" i="49"/>
  <c r="O182" i="49" s="1"/>
  <c r="N152" i="49"/>
  <c r="O152" i="49" s="1"/>
  <c r="N121" i="49"/>
  <c r="O121" i="49" s="1"/>
  <c r="N276" i="49"/>
  <c r="O276" i="49" s="1"/>
  <c r="N174" i="49"/>
  <c r="O174" i="49" s="1"/>
  <c r="N275" i="49"/>
  <c r="O275" i="49" s="1"/>
  <c r="N96" i="49"/>
  <c r="O96" i="49" s="1"/>
  <c r="N218" i="49"/>
  <c r="O218" i="49" s="1"/>
  <c r="N160" i="49"/>
  <c r="O160" i="49" s="1"/>
  <c r="N144" i="49"/>
  <c r="O144" i="49" s="1"/>
  <c r="N294" i="49"/>
  <c r="O294" i="49" s="1"/>
  <c r="N43" i="49"/>
  <c r="O43" i="49" s="1"/>
  <c r="N147" i="49"/>
  <c r="O147" i="49" s="1"/>
  <c r="N102" i="49"/>
  <c r="O102" i="49" s="1"/>
  <c r="N262" i="49"/>
  <c r="O262" i="49" s="1"/>
  <c r="N285" i="49"/>
  <c r="O285" i="49" s="1"/>
  <c r="N138" i="49"/>
  <c r="O138" i="49" s="1"/>
  <c r="N158" i="49"/>
  <c r="O158" i="49" s="1"/>
  <c r="N139" i="49"/>
  <c r="O139" i="49" s="1"/>
  <c r="N224" i="49"/>
  <c r="O224" i="49" s="1"/>
  <c r="N84" i="49"/>
  <c r="O84" i="49" s="1"/>
  <c r="N165" i="49"/>
  <c r="O165" i="49" s="1"/>
  <c r="N133" i="49"/>
  <c r="O133" i="49" s="1"/>
  <c r="N231" i="49"/>
  <c r="O231" i="49" s="1"/>
  <c r="N136" i="49"/>
  <c r="O136" i="49" s="1"/>
  <c r="N237" i="49"/>
  <c r="O237" i="49" s="1"/>
  <c r="N264" i="49"/>
  <c r="O264" i="49" s="1"/>
  <c r="N11" i="49"/>
  <c r="O11" i="49" s="1"/>
  <c r="N282" i="49"/>
  <c r="O282" i="49" s="1"/>
  <c r="N190" i="49"/>
  <c r="O190" i="49" s="1"/>
  <c r="N187" i="49"/>
  <c r="O187" i="49" s="1"/>
  <c r="N93" i="49"/>
  <c r="O93" i="49" s="1"/>
  <c r="N171" i="49"/>
  <c r="O171" i="49" s="1"/>
  <c r="N280" i="49"/>
  <c r="O280" i="49" s="1"/>
  <c r="N263" i="49"/>
  <c r="O263" i="49" s="1"/>
  <c r="N211" i="49"/>
  <c r="O211" i="49" s="1"/>
  <c r="N90" i="49"/>
  <c r="O90" i="49" s="1"/>
  <c r="N242" i="49"/>
  <c r="O242" i="49" s="1"/>
  <c r="G16" i="34"/>
  <c r="H16" i="34" s="1"/>
  <c r="F15" i="9" l="1"/>
  <c r="F23" i="9"/>
  <c r="F31" i="9"/>
  <c r="F39" i="9"/>
  <c r="F47" i="9"/>
  <c r="F55" i="9"/>
  <c r="F63" i="9"/>
  <c r="G63" i="9" s="1"/>
  <c r="F71" i="9"/>
  <c r="F79" i="9"/>
  <c r="F87" i="9"/>
  <c r="F95" i="9"/>
  <c r="F103" i="9"/>
  <c r="F111" i="9"/>
  <c r="F119" i="9"/>
  <c r="F127" i="9"/>
  <c r="G127" i="9" s="1"/>
  <c r="F135" i="9"/>
  <c r="F143" i="9"/>
  <c r="F151" i="9"/>
  <c r="F159" i="9"/>
  <c r="F167" i="9"/>
  <c r="F175" i="9"/>
  <c r="F183" i="9"/>
  <c r="F191" i="9"/>
  <c r="G191" i="9" s="1"/>
  <c r="F199" i="9"/>
  <c r="F207" i="9"/>
  <c r="F215" i="9"/>
  <c r="F223" i="9"/>
  <c r="F231" i="9"/>
  <c r="F239" i="9"/>
  <c r="F247" i="9"/>
  <c r="F255" i="9"/>
  <c r="G255" i="9" s="1"/>
  <c r="F263" i="9"/>
  <c r="F271" i="9"/>
  <c r="F279" i="9"/>
  <c r="F287" i="9"/>
  <c r="F295" i="9"/>
  <c r="F303" i="9"/>
  <c r="F311" i="9"/>
  <c r="F319" i="9"/>
  <c r="G319" i="9" s="1"/>
  <c r="F17" i="9"/>
  <c r="F25" i="9"/>
  <c r="F33" i="9"/>
  <c r="F41" i="9"/>
  <c r="F49" i="9"/>
  <c r="F57" i="9"/>
  <c r="F65" i="9"/>
  <c r="F73" i="9"/>
  <c r="G73" i="9" s="1"/>
  <c r="F81" i="9"/>
  <c r="F89" i="9"/>
  <c r="F97" i="9"/>
  <c r="F105" i="9"/>
  <c r="F113" i="9"/>
  <c r="F121" i="9"/>
  <c r="F129" i="9"/>
  <c r="F137" i="9"/>
  <c r="G137" i="9" s="1"/>
  <c r="F145" i="9"/>
  <c r="F153" i="9"/>
  <c r="F161" i="9"/>
  <c r="F169" i="9"/>
  <c r="F177" i="9"/>
  <c r="F185" i="9"/>
  <c r="F19" i="9"/>
  <c r="F27" i="9"/>
  <c r="G27" i="9" s="1"/>
  <c r="F35" i="9"/>
  <c r="F43" i="9"/>
  <c r="F51" i="9"/>
  <c r="F59" i="9"/>
  <c r="F67" i="9"/>
  <c r="G67" i="9" s="1"/>
  <c r="F75" i="9"/>
  <c r="F83" i="9"/>
  <c r="F91" i="9"/>
  <c r="G91" i="9" s="1"/>
  <c r="F99" i="9"/>
  <c r="F107" i="9"/>
  <c r="F115" i="9"/>
  <c r="F123" i="9"/>
  <c r="F131" i="9"/>
  <c r="G131" i="9" s="1"/>
  <c r="F139" i="9"/>
  <c r="F147" i="9"/>
  <c r="F155" i="9"/>
  <c r="F163" i="9"/>
  <c r="F171" i="9"/>
  <c r="F179" i="9"/>
  <c r="F187" i="9"/>
  <c r="F195" i="9"/>
  <c r="F203" i="9"/>
  <c r="F211" i="9"/>
  <c r="F219" i="9"/>
  <c r="G219" i="9" s="1"/>
  <c r="F227" i="9"/>
  <c r="F235" i="9"/>
  <c r="F243" i="9"/>
  <c r="F251" i="9"/>
  <c r="F259" i="9"/>
  <c r="F267" i="9"/>
  <c r="F275" i="9"/>
  <c r="F283" i="9"/>
  <c r="G283" i="9" s="1"/>
  <c r="F291" i="9"/>
  <c r="F299" i="9"/>
  <c r="F307" i="9"/>
  <c r="F315" i="9"/>
  <c r="F14" i="9"/>
  <c r="F40" i="9"/>
  <c r="F53" i="9"/>
  <c r="F104" i="9"/>
  <c r="G104" i="9" s="1"/>
  <c r="F130" i="9"/>
  <c r="F156" i="9"/>
  <c r="F181" i="9"/>
  <c r="F204" i="9"/>
  <c r="F225" i="9"/>
  <c r="F246" i="9"/>
  <c r="F268" i="9"/>
  <c r="F300" i="9"/>
  <c r="G300" i="9" s="1"/>
  <c r="F132" i="9"/>
  <c r="F182" i="9"/>
  <c r="F205" i="9"/>
  <c r="F237" i="9"/>
  <c r="F258" i="9"/>
  <c r="F290" i="9"/>
  <c r="F312" i="9"/>
  <c r="F238" i="9"/>
  <c r="G238" i="9" s="1"/>
  <c r="F292" i="9"/>
  <c r="F88" i="9"/>
  <c r="F222" i="9"/>
  <c r="F308" i="9"/>
  <c r="F16" i="9"/>
  <c r="G16" i="9" s="1"/>
  <c r="F29" i="9"/>
  <c r="F42" i="9"/>
  <c r="F54" i="9"/>
  <c r="G54" i="9" s="1"/>
  <c r="F68" i="9"/>
  <c r="F80" i="9"/>
  <c r="G80" i="9" s="1"/>
  <c r="F93" i="9"/>
  <c r="F118" i="9"/>
  <c r="F144" i="9"/>
  <c r="G144" i="9" s="1"/>
  <c r="F170" i="9"/>
  <c r="F226" i="9"/>
  <c r="F280" i="9"/>
  <c r="G280" i="9" s="1"/>
  <c r="F270" i="9"/>
  <c r="F313" i="9"/>
  <c r="F126" i="9"/>
  <c r="F190" i="9"/>
  <c r="F254" i="9"/>
  <c r="F297" i="9"/>
  <c r="F18" i="9"/>
  <c r="F30" i="9"/>
  <c r="G30" i="9" s="1"/>
  <c r="F44" i="9"/>
  <c r="F56" i="9"/>
  <c r="F69" i="9"/>
  <c r="F82" i="9"/>
  <c r="F94" i="9"/>
  <c r="G94" i="9" s="1"/>
  <c r="F108" i="9"/>
  <c r="F120" i="9"/>
  <c r="F133" i="9"/>
  <c r="G133" i="9" s="1"/>
  <c r="F146" i="9"/>
  <c r="F158" i="9"/>
  <c r="F172" i="9"/>
  <c r="F184" i="9"/>
  <c r="F196" i="9"/>
  <c r="G196" i="9" s="1"/>
  <c r="F206" i="9"/>
  <c r="F217" i="9"/>
  <c r="F228" i="9"/>
  <c r="G228" i="9" s="1"/>
  <c r="F260" i="9"/>
  <c r="F114" i="9"/>
  <c r="F212" i="9"/>
  <c r="F286" i="9"/>
  <c r="F20" i="9"/>
  <c r="F32" i="9"/>
  <c r="F45" i="9"/>
  <c r="F58" i="9"/>
  <c r="G58" i="9" s="1"/>
  <c r="F70" i="9"/>
  <c r="F84" i="9"/>
  <c r="F96" i="9"/>
  <c r="F109" i="9"/>
  <c r="F122" i="9"/>
  <c r="G122" i="9" s="1"/>
  <c r="F134" i="9"/>
  <c r="F148" i="9"/>
  <c r="F160" i="9"/>
  <c r="G160" i="9" s="1"/>
  <c r="F173" i="9"/>
  <c r="F186" i="9"/>
  <c r="F197" i="9"/>
  <c r="F208" i="9"/>
  <c r="F218" i="9"/>
  <c r="F229" i="9"/>
  <c r="F240" i="9"/>
  <c r="F250" i="9"/>
  <c r="G250" i="9" s="1"/>
  <c r="F261" i="9"/>
  <c r="F272" i="9"/>
  <c r="G272" i="9" s="1"/>
  <c r="F282" i="9"/>
  <c r="F293" i="9"/>
  <c r="F304" i="9"/>
  <c r="F314" i="9"/>
  <c r="F34" i="9"/>
  <c r="F46" i="9"/>
  <c r="G46" i="9" s="1"/>
  <c r="F72" i="9"/>
  <c r="F85" i="9"/>
  <c r="F110" i="9"/>
  <c r="F136" i="9"/>
  <c r="F174" i="9"/>
  <c r="F198" i="9"/>
  <c r="F220" i="9"/>
  <c r="F241" i="9"/>
  <c r="G241" i="9" s="1"/>
  <c r="F262" i="9"/>
  <c r="F284" i="9"/>
  <c r="F305" i="9"/>
  <c r="F37" i="9"/>
  <c r="G37" i="9" s="1"/>
  <c r="F101" i="9"/>
  <c r="G101" i="9" s="1"/>
  <c r="F165" i="9"/>
  <c r="F244" i="9"/>
  <c r="F21" i="9"/>
  <c r="G21" i="9" s="1"/>
  <c r="F60" i="9"/>
  <c r="F98" i="9"/>
  <c r="F124" i="9"/>
  <c r="F149" i="9"/>
  <c r="F162" i="9"/>
  <c r="F188" i="9"/>
  <c r="F209" i="9"/>
  <c r="F230" i="9"/>
  <c r="G230" i="9" s="1"/>
  <c r="F252" i="9"/>
  <c r="F273" i="9"/>
  <c r="F294" i="9"/>
  <c r="F316" i="9"/>
  <c r="F12" i="9"/>
  <c r="G12" i="9" s="1"/>
  <c r="F76" i="9"/>
  <c r="F152" i="9"/>
  <c r="F233" i="9"/>
  <c r="G233" i="9" s="1"/>
  <c r="F318" i="9"/>
  <c r="F22" i="9"/>
  <c r="G22" i="9" s="1"/>
  <c r="F36" i="9"/>
  <c r="F48" i="9"/>
  <c r="F61" i="9"/>
  <c r="G61" i="9" s="1"/>
  <c r="F74" i="9"/>
  <c r="F86" i="9"/>
  <c r="F100" i="9"/>
  <c r="G100" i="9" s="1"/>
  <c r="F112" i="9"/>
  <c r="F125" i="9"/>
  <c r="F138" i="9"/>
  <c r="F150" i="9"/>
  <c r="F164" i="9"/>
  <c r="G164" i="9" s="1"/>
  <c r="F176" i="9"/>
  <c r="F189" i="9"/>
  <c r="F200" i="9"/>
  <c r="G200" i="9" s="1"/>
  <c r="F210" i="9"/>
  <c r="F221" i="9"/>
  <c r="F232" i="9"/>
  <c r="F242" i="9"/>
  <c r="F253" i="9"/>
  <c r="G253" i="9" s="1"/>
  <c r="F264" i="9"/>
  <c r="F274" i="9"/>
  <c r="F285" i="9"/>
  <c r="G285" i="9" s="1"/>
  <c r="F296" i="9"/>
  <c r="F306" i="9"/>
  <c r="F317" i="9"/>
  <c r="F24" i="9"/>
  <c r="F62" i="9"/>
  <c r="F140" i="9"/>
  <c r="F201" i="9"/>
  <c r="F276" i="9"/>
  <c r="G276" i="9" s="1"/>
  <c r="F13" i="9"/>
  <c r="F26" i="9"/>
  <c r="G26" i="9" s="1"/>
  <c r="F38" i="9"/>
  <c r="F52" i="9"/>
  <c r="G52" i="9" s="1"/>
  <c r="F64" i="9"/>
  <c r="G64" i="9" s="1"/>
  <c r="F77" i="9"/>
  <c r="F90" i="9"/>
  <c r="F102" i="9"/>
  <c r="G102" i="9" s="1"/>
  <c r="F116" i="9"/>
  <c r="F128" i="9"/>
  <c r="G128" i="9" s="1"/>
  <c r="F141" i="9"/>
  <c r="F154" i="9"/>
  <c r="F166" i="9"/>
  <c r="F180" i="9"/>
  <c r="F192" i="9"/>
  <c r="F202" i="9"/>
  <c r="G202" i="9" s="1"/>
  <c r="F213" i="9"/>
  <c r="F224" i="9"/>
  <c r="G224" i="9" s="1"/>
  <c r="F234" i="9"/>
  <c r="F245" i="9"/>
  <c r="F256" i="9"/>
  <c r="F266" i="9"/>
  <c r="F277" i="9"/>
  <c r="F288" i="9"/>
  <c r="G288" i="9" s="1"/>
  <c r="F298" i="9"/>
  <c r="F309" i="9"/>
  <c r="G309" i="9" s="1"/>
  <c r="F11" i="9"/>
  <c r="F28" i="9"/>
  <c r="F66" i="9"/>
  <c r="G66" i="9" s="1"/>
  <c r="F78" i="9"/>
  <c r="F92" i="9"/>
  <c r="F117" i="9"/>
  <c r="G117" i="9" s="1"/>
  <c r="F142" i="9"/>
  <c r="F168" i="9"/>
  <c r="G168" i="9" s="1"/>
  <c r="F193" i="9"/>
  <c r="F214" i="9"/>
  <c r="F236" i="9"/>
  <c r="F257" i="9"/>
  <c r="F278" i="9"/>
  <c r="F289" i="9"/>
  <c r="G289" i="9" s="1"/>
  <c r="F310" i="9"/>
  <c r="F106" i="9"/>
  <c r="G106" i="9" s="1"/>
  <c r="F157" i="9"/>
  <c r="F194" i="9"/>
  <c r="F216" i="9"/>
  <c r="G216" i="9" s="1"/>
  <c r="F248" i="9"/>
  <c r="F269" i="9"/>
  <c r="F301" i="9"/>
  <c r="G301" i="9" s="1"/>
  <c r="F249" i="9"/>
  <c r="F281" i="9"/>
  <c r="F302" i="9"/>
  <c r="F50" i="9"/>
  <c r="F178" i="9"/>
  <c r="F265" i="9"/>
  <c r="G25" i="9"/>
  <c r="G42" i="9"/>
  <c r="G44" i="9"/>
  <c r="G57" i="9"/>
  <c r="G59" i="9"/>
  <c r="G74" i="9"/>
  <c r="G76" i="9"/>
  <c r="G89" i="9"/>
  <c r="G108" i="9"/>
  <c r="G121" i="9"/>
  <c r="G123" i="9"/>
  <c r="G138" i="9"/>
  <c r="G140" i="9"/>
  <c r="G155" i="9"/>
  <c r="G170" i="9"/>
  <c r="G14" i="9"/>
  <c r="G29" i="9"/>
  <c r="G31" i="9"/>
  <c r="G48" i="9"/>
  <c r="G78" i="9"/>
  <c r="G93" i="9"/>
  <c r="G95" i="9"/>
  <c r="G110" i="9"/>
  <c r="G112" i="9"/>
  <c r="G125" i="9"/>
  <c r="G142" i="9"/>
  <c r="G18" i="9"/>
  <c r="G20" i="9"/>
  <c r="G33" i="9"/>
  <c r="G35" i="9"/>
  <c r="G50" i="9"/>
  <c r="G65" i="9"/>
  <c r="G82" i="9"/>
  <c r="G84" i="9"/>
  <c r="G97" i="9"/>
  <c r="G99" i="9"/>
  <c r="G114" i="9"/>
  <c r="G116" i="9"/>
  <c r="G129" i="9"/>
  <c r="G146" i="9"/>
  <c r="G148" i="9"/>
  <c r="G163" i="9"/>
  <c r="G24" i="9"/>
  <c r="G39" i="9"/>
  <c r="G56" i="9"/>
  <c r="G69" i="9"/>
  <c r="G71" i="9"/>
  <c r="G86" i="9"/>
  <c r="G88" i="9"/>
  <c r="G103" i="9"/>
  <c r="G118" i="9"/>
  <c r="G120" i="9"/>
  <c r="G135" i="9"/>
  <c r="G28" i="9"/>
  <c r="G41" i="9"/>
  <c r="G43" i="9"/>
  <c r="G60" i="9"/>
  <c r="G75" i="9"/>
  <c r="G90" i="9"/>
  <c r="G92" i="9"/>
  <c r="G105" i="9"/>
  <c r="G107" i="9"/>
  <c r="G124" i="9"/>
  <c r="G139" i="9"/>
  <c r="G13" i="9"/>
  <c r="G15" i="9"/>
  <c r="G32" i="9"/>
  <c r="G45" i="9"/>
  <c r="G47" i="9"/>
  <c r="G62" i="9"/>
  <c r="G77" i="9"/>
  <c r="G79" i="9"/>
  <c r="G96" i="9"/>
  <c r="G109" i="9"/>
  <c r="G111" i="9"/>
  <c r="G126" i="9"/>
  <c r="G141" i="9"/>
  <c r="G17" i="9"/>
  <c r="G19" i="9"/>
  <c r="G34" i="9"/>
  <c r="G36" i="9"/>
  <c r="G49" i="9"/>
  <c r="G51" i="9"/>
  <c r="G68" i="9"/>
  <c r="G81" i="9"/>
  <c r="G83" i="9"/>
  <c r="G98" i="9"/>
  <c r="G113" i="9"/>
  <c r="G115" i="9"/>
  <c r="G130" i="9"/>
  <c r="G132" i="9"/>
  <c r="G145" i="9"/>
  <c r="G147" i="9"/>
  <c r="G23" i="9"/>
  <c r="G38" i="9"/>
  <c r="G40" i="9"/>
  <c r="G53" i="9"/>
  <c r="G55" i="9"/>
  <c r="G70" i="9"/>
  <c r="G72" i="9"/>
  <c r="G85" i="9"/>
  <c r="G87" i="9"/>
  <c r="G119" i="9"/>
  <c r="G134" i="9"/>
  <c r="G136" i="9"/>
  <c r="G149" i="9"/>
  <c r="G151" i="9"/>
  <c r="G153" i="9"/>
  <c r="G171" i="9"/>
  <c r="G173" i="9"/>
  <c r="G175" i="9"/>
  <c r="G177" i="9"/>
  <c r="G198" i="9"/>
  <c r="G204" i="9"/>
  <c r="G213" i="9"/>
  <c r="G215" i="9"/>
  <c r="G217" i="9"/>
  <c r="G234" i="9"/>
  <c r="G251" i="9"/>
  <c r="G257" i="9"/>
  <c r="G291" i="9"/>
  <c r="G293" i="9"/>
  <c r="G295" i="9"/>
  <c r="G297" i="9"/>
  <c r="G179" i="9"/>
  <c r="G181" i="9"/>
  <c r="G183" i="9"/>
  <c r="G185" i="9"/>
  <c r="G206" i="9"/>
  <c r="G221" i="9"/>
  <c r="G223" i="9"/>
  <c r="G225" i="9"/>
  <c r="G236" i="9"/>
  <c r="G240" i="9"/>
  <c r="G299" i="9"/>
  <c r="G303" i="9"/>
  <c r="G305" i="9"/>
  <c r="G187" i="9"/>
  <c r="G208" i="9"/>
  <c r="G210" i="9"/>
  <c r="G242" i="9"/>
  <c r="G259" i="9"/>
  <c r="G261" i="9"/>
  <c r="G263" i="9"/>
  <c r="G265" i="9"/>
  <c r="G274" i="9"/>
  <c r="G278" i="9"/>
  <c r="G307" i="9"/>
  <c r="G311" i="9"/>
  <c r="G313" i="9"/>
  <c r="G154" i="9"/>
  <c r="G156" i="9"/>
  <c r="G158" i="9"/>
  <c r="G162" i="9"/>
  <c r="G166" i="9"/>
  <c r="G189" i="9"/>
  <c r="G193" i="9"/>
  <c r="G195" i="9"/>
  <c r="G212" i="9"/>
  <c r="G227" i="9"/>
  <c r="G229" i="9"/>
  <c r="G231" i="9"/>
  <c r="G244" i="9"/>
  <c r="G246" i="9"/>
  <c r="G248" i="9"/>
  <c r="G267" i="9"/>
  <c r="G269" i="9"/>
  <c r="G271" i="9"/>
  <c r="G282" i="9"/>
  <c r="G284" i="9"/>
  <c r="G286" i="9"/>
  <c r="G315" i="9"/>
  <c r="G317" i="9"/>
  <c r="G152" i="9"/>
  <c r="G172" i="9"/>
  <c r="G174" i="9"/>
  <c r="G176" i="9"/>
  <c r="G197" i="9"/>
  <c r="G199" i="9"/>
  <c r="G201" i="9"/>
  <c r="G203" i="9"/>
  <c r="G214" i="9"/>
  <c r="G252" i="9"/>
  <c r="G254" i="9"/>
  <c r="G256" i="9"/>
  <c r="G290" i="9"/>
  <c r="G292" i="9"/>
  <c r="G294" i="9"/>
  <c r="G296" i="9"/>
  <c r="G150" i="9"/>
  <c r="G178" i="9"/>
  <c r="G180" i="9"/>
  <c r="G182" i="9"/>
  <c r="G184" i="9"/>
  <c r="G186" i="9"/>
  <c r="G205" i="9"/>
  <c r="G218" i="9"/>
  <c r="G220" i="9"/>
  <c r="G222" i="9"/>
  <c r="G235" i="9"/>
  <c r="G237" i="9"/>
  <c r="G239" i="9"/>
  <c r="G258" i="9"/>
  <c r="G273" i="9"/>
  <c r="G298" i="9"/>
  <c r="G302" i="9"/>
  <c r="G304" i="9"/>
  <c r="G207" i="9"/>
  <c r="G209" i="9"/>
  <c r="G211" i="9"/>
  <c r="G226" i="9"/>
  <c r="G260" i="9"/>
  <c r="G262" i="9"/>
  <c r="G264" i="9"/>
  <c r="G266" i="9"/>
  <c r="G275" i="9"/>
  <c r="G277" i="9"/>
  <c r="G279" i="9"/>
  <c r="G306" i="9"/>
  <c r="G308" i="9"/>
  <c r="G310" i="9"/>
  <c r="G312" i="9"/>
  <c r="G143" i="9"/>
  <c r="G157" i="9"/>
  <c r="G159" i="9"/>
  <c r="G161" i="9"/>
  <c r="G165" i="9"/>
  <c r="G167" i="9"/>
  <c r="G169" i="9"/>
  <c r="G188" i="9"/>
  <c r="G190" i="9"/>
  <c r="G192" i="9"/>
  <c r="G194" i="9"/>
  <c r="G232" i="9"/>
  <c r="G243" i="9"/>
  <c r="G245" i="9"/>
  <c r="G247" i="9"/>
  <c r="G249" i="9"/>
  <c r="G268" i="9"/>
  <c r="G270" i="9"/>
  <c r="G281" i="9"/>
  <c r="G287" i="9"/>
  <c r="G314" i="9"/>
  <c r="G316" i="9"/>
  <c r="G318" i="9"/>
  <c r="M211" i="25"/>
  <c r="M231" i="25"/>
  <c r="M43" i="25"/>
  <c r="M215" i="25"/>
  <c r="M24" i="25"/>
  <c r="M314" i="25"/>
  <c r="M70" i="25"/>
  <c r="M52" i="25"/>
  <c r="M297" i="25"/>
  <c r="M37" i="25"/>
  <c r="M167" i="25"/>
  <c r="M145" i="25"/>
  <c r="M150" i="25"/>
  <c r="M142" i="25"/>
  <c r="M283" i="25"/>
  <c r="M149" i="25"/>
  <c r="M151" i="25"/>
  <c r="M196" i="25"/>
  <c r="M261" i="25"/>
  <c r="M71" i="25"/>
  <c r="M263" i="25"/>
  <c r="M187" i="25"/>
  <c r="M264" i="25"/>
  <c r="M133" i="25"/>
  <c r="M139" i="25"/>
  <c r="M262" i="25"/>
  <c r="M294" i="25"/>
  <c r="M96" i="25"/>
  <c r="M121" i="25"/>
  <c r="M271" i="25"/>
  <c r="M228" i="25"/>
  <c r="M221" i="25"/>
  <c r="M236" i="25"/>
  <c r="M252" i="25"/>
  <c r="M269" i="25"/>
  <c r="M268" i="25"/>
  <c r="M200" i="25"/>
  <c r="M308" i="25"/>
  <c r="M46" i="25"/>
  <c r="M41" i="25"/>
  <c r="M238" i="25"/>
  <c r="M25" i="25"/>
  <c r="M27" i="25"/>
  <c r="M204" i="25"/>
  <c r="M89" i="25"/>
  <c r="M42" i="25"/>
  <c r="M72" i="25"/>
  <c r="M83" i="25"/>
  <c r="M135" i="25"/>
  <c r="M278" i="25"/>
  <c r="M162" i="25"/>
  <c r="M13" i="25"/>
  <c r="M251" i="25"/>
  <c r="M195" i="25"/>
  <c r="M119" i="25"/>
  <c r="M207" i="25"/>
  <c r="M108" i="25"/>
  <c r="M92" i="25"/>
  <c r="M36" i="25"/>
  <c r="M30" i="25"/>
  <c r="M176" i="25"/>
  <c r="M125" i="25"/>
  <c r="M146" i="25"/>
  <c r="M122" i="25"/>
  <c r="M21" i="25"/>
  <c r="M286" i="25"/>
  <c r="M85" i="25"/>
  <c r="M257" i="25"/>
  <c r="M157" i="25"/>
  <c r="M34" i="25"/>
  <c r="M91" i="25"/>
  <c r="M120" i="25"/>
  <c r="M8" i="25"/>
  <c r="M155" i="25"/>
  <c r="M16" i="25"/>
  <c r="M55" i="25"/>
  <c r="M123" i="25"/>
  <c r="M82" i="25"/>
  <c r="M258" i="25"/>
  <c r="M10" i="25"/>
  <c r="M253" i="25"/>
  <c r="M65" i="25"/>
  <c r="M161" i="25"/>
  <c r="M274" i="25"/>
  <c r="M62" i="25"/>
  <c r="M33" i="25"/>
  <c r="M312" i="25"/>
  <c r="M74" i="25"/>
  <c r="M214" i="25"/>
  <c r="M241" i="25"/>
  <c r="M192" i="25"/>
  <c r="M7" i="25"/>
  <c r="M35" i="25"/>
  <c r="M300" i="25"/>
  <c r="M75" i="25"/>
  <c r="M301" i="25"/>
  <c r="M11" i="25"/>
  <c r="M285" i="25"/>
  <c r="M276" i="25"/>
  <c r="M172" i="25"/>
  <c r="M94" i="25"/>
  <c r="M194" i="25"/>
  <c r="M56" i="25"/>
  <c r="M201" i="25"/>
  <c r="M28" i="25"/>
  <c r="M44" i="25"/>
  <c r="M203" i="25"/>
  <c r="M78" i="25"/>
  <c r="M166" i="25"/>
  <c r="M81" i="25"/>
  <c r="M240" i="25"/>
  <c r="M49" i="25"/>
  <c r="M116" i="25"/>
  <c r="M189" i="25"/>
  <c r="M310" i="25"/>
  <c r="M64" i="25"/>
  <c r="M302" i="25"/>
  <c r="M178" i="25"/>
  <c r="M156" i="25"/>
  <c r="M270" i="25"/>
  <c r="M22" i="25"/>
  <c r="M177" i="25"/>
  <c r="M179" i="25"/>
  <c r="M15" i="25"/>
  <c r="M242" i="25"/>
  <c r="M280" i="25"/>
  <c r="M190" i="25"/>
  <c r="M237" i="25"/>
  <c r="M165" i="25"/>
  <c r="M158" i="25"/>
  <c r="M102" i="25"/>
  <c r="M144" i="25"/>
  <c r="M275" i="25"/>
  <c r="M152" i="25"/>
  <c r="M232" i="25"/>
  <c r="M31" i="25"/>
  <c r="M47" i="25"/>
  <c r="M163" i="25"/>
  <c r="M305" i="25"/>
  <c r="M88" i="25"/>
  <c r="M87" i="25"/>
  <c r="M250" i="25"/>
  <c r="M154" i="25"/>
  <c r="M266" i="25"/>
  <c r="M140" i="25"/>
  <c r="M303" i="25"/>
  <c r="M212" i="25"/>
  <c r="M208" i="25"/>
  <c r="M284" i="25"/>
  <c r="M223" i="25"/>
  <c r="M29" i="25"/>
  <c r="M175" i="25"/>
  <c r="M23" i="25"/>
  <c r="M117" i="25"/>
  <c r="M277" i="25"/>
  <c r="M169" i="25"/>
  <c r="M281" i="25"/>
  <c r="M185" i="25"/>
  <c r="M68" i="25"/>
  <c r="M51" i="25"/>
  <c r="M73" i="25"/>
  <c r="M205" i="25"/>
  <c r="M153" i="25"/>
  <c r="M54" i="25"/>
  <c r="M101" i="25"/>
  <c r="M137" i="25"/>
  <c r="M243" i="25"/>
  <c r="M220" i="25"/>
  <c r="M193" i="25"/>
  <c r="M184" i="25"/>
  <c r="M39" i="25"/>
  <c r="M217" i="25"/>
  <c r="M114" i="25"/>
  <c r="M168" i="25"/>
  <c r="M79" i="25"/>
  <c r="M227" i="25"/>
  <c r="M98" i="25"/>
  <c r="M134" i="25"/>
  <c r="M104" i="25"/>
  <c r="M77" i="25"/>
  <c r="M279" i="25"/>
  <c r="M164" i="25"/>
  <c r="M306" i="25"/>
  <c r="M313" i="25"/>
  <c r="M132" i="25"/>
  <c r="M222" i="25"/>
  <c r="M255" i="25"/>
  <c r="M80" i="25"/>
  <c r="M186" i="25"/>
  <c r="M118" i="25"/>
  <c r="M291" i="25"/>
  <c r="M18" i="25"/>
  <c r="M99" i="25"/>
  <c r="M181" i="25"/>
  <c r="M66" i="25"/>
  <c r="M124" i="25"/>
  <c r="M183" i="25"/>
  <c r="M273" i="25"/>
  <c r="M188" i="25"/>
  <c r="M113" i="25"/>
  <c r="M256" i="25"/>
  <c r="M93" i="25"/>
  <c r="M224" i="25"/>
  <c r="M218" i="25"/>
  <c r="M182" i="25"/>
  <c r="M259" i="25"/>
  <c r="M230" i="25"/>
  <c r="M50" i="25"/>
  <c r="M216" i="25"/>
  <c r="M298" i="25"/>
  <c r="M111" i="25"/>
  <c r="M229" i="25"/>
  <c r="M69" i="25"/>
  <c r="M226" i="25"/>
  <c r="M209" i="25"/>
  <c r="M12" i="25"/>
  <c r="M180" i="25"/>
  <c r="M14" i="25"/>
  <c r="M38" i="25"/>
  <c r="M103" i="25"/>
  <c r="M307" i="25"/>
  <c r="M57" i="25"/>
  <c r="M289" i="25"/>
  <c r="M141" i="25"/>
  <c r="M97" i="25"/>
  <c r="M225" i="25"/>
  <c r="M110" i="25"/>
  <c r="M76" i="25"/>
  <c r="M210" i="25"/>
  <c r="M90" i="25"/>
  <c r="M171" i="25"/>
  <c r="M282" i="25"/>
  <c r="M136" i="25"/>
  <c r="M84" i="25"/>
  <c r="M138" i="25"/>
  <c r="M147" i="25"/>
  <c r="M160" i="25"/>
  <c r="M174" i="25"/>
  <c r="M202" i="25"/>
  <c r="M53" i="25"/>
  <c r="M233" i="25"/>
  <c r="M265" i="25"/>
  <c r="M249" i="25"/>
  <c r="M107" i="25"/>
  <c r="M173" i="25"/>
  <c r="M197" i="25"/>
  <c r="M246" i="25"/>
  <c r="M309" i="25"/>
  <c r="M61" i="25"/>
  <c r="M106" i="25"/>
  <c r="M112" i="25"/>
  <c r="M109" i="25"/>
  <c r="M198" i="25"/>
  <c r="M126" i="25"/>
  <c r="M60" i="25"/>
  <c r="M267" i="25"/>
  <c r="M235" i="25"/>
  <c r="M260" i="25"/>
  <c r="M296" i="25"/>
  <c r="M67" i="25"/>
  <c r="M131" i="25"/>
  <c r="M63" i="25"/>
  <c r="M115" i="25"/>
  <c r="M311" i="25"/>
  <c r="M213" i="25"/>
  <c r="M20" i="25"/>
  <c r="M48" i="25"/>
  <c r="M254" i="25"/>
  <c r="M287" i="25"/>
  <c r="M159" i="25"/>
  <c r="M206" i="25"/>
  <c r="M95" i="25"/>
  <c r="M248" i="25"/>
  <c r="M143" i="25"/>
  <c r="M86" i="25"/>
  <c r="M295" i="25"/>
  <c r="M299" i="25"/>
  <c r="M239" i="25"/>
  <c r="M234" i="25"/>
  <c r="M130" i="25"/>
  <c r="M32" i="25"/>
  <c r="M199" i="25"/>
  <c r="M19" i="25"/>
  <c r="M9" i="25"/>
  <c r="M128" i="25"/>
  <c r="M127" i="25"/>
  <c r="M148" i="25"/>
  <c r="M45" i="25"/>
  <c r="M191" i="25"/>
  <c r="M293" i="25"/>
  <c r="M304" i="25"/>
  <c r="M247" i="25"/>
  <c r="M26" i="25"/>
  <c r="M272" i="25"/>
  <c r="M292" i="25"/>
  <c r="M290" i="25"/>
  <c r="M129" i="25"/>
  <c r="M59" i="25"/>
  <c r="M100" i="25"/>
  <c r="M17" i="25"/>
  <c r="M245" i="25"/>
  <c r="M288" i="25"/>
  <c r="M40" i="25"/>
  <c r="M58" i="25"/>
  <c r="K41" i="40"/>
  <c r="K42" i="40" s="1"/>
  <c r="H42" i="40" s="1"/>
  <c r="C42" i="40" s="1"/>
  <c r="I314" i="37"/>
  <c r="F30" i="48"/>
  <c r="F314" i="37"/>
  <c r="O6" i="49"/>
  <c r="E48" i="48"/>
  <c r="F48" i="48" s="1"/>
  <c r="F50" i="48" s="1"/>
  <c r="D279" i="39" l="1"/>
  <c r="D279" i="12"/>
  <c r="D237" i="39"/>
  <c r="D237" i="12"/>
  <c r="D163" i="12"/>
  <c r="D163" i="39"/>
  <c r="D304" i="39"/>
  <c r="D304" i="12"/>
  <c r="D256" i="39"/>
  <c r="D256" i="12"/>
  <c r="D294" i="39"/>
  <c r="D294" i="12"/>
  <c r="D218" i="39"/>
  <c r="D218" i="12"/>
  <c r="D174" i="39"/>
  <c r="D174" i="12"/>
  <c r="D248" i="39"/>
  <c r="D248" i="12"/>
  <c r="D191" i="12"/>
  <c r="D191" i="39"/>
  <c r="D282" i="39"/>
  <c r="D282" i="12"/>
  <c r="D240" i="39"/>
  <c r="D240" i="12"/>
  <c r="D187" i="39"/>
  <c r="D187" i="12"/>
  <c r="D152" i="12"/>
  <c r="D152" i="39"/>
  <c r="D272" i="39"/>
  <c r="D272" i="12"/>
  <c r="D204" i="12"/>
  <c r="D204" i="39"/>
  <c r="D232" i="39"/>
  <c r="D232" i="12"/>
  <c r="D177" i="12"/>
  <c r="D177" i="39"/>
  <c r="D266" i="39"/>
  <c r="D266" i="12"/>
  <c r="D207" i="39"/>
  <c r="D207" i="12"/>
  <c r="D167" i="12"/>
  <c r="D167" i="39"/>
  <c r="D111" i="39"/>
  <c r="D111" i="12"/>
  <c r="D47" i="39"/>
  <c r="D47" i="12"/>
  <c r="D124" i="12"/>
  <c r="D124" i="39"/>
  <c r="D60" i="12"/>
  <c r="D60" i="39"/>
  <c r="D122" i="39"/>
  <c r="D122" i="12"/>
  <c r="D58" i="12"/>
  <c r="D58" i="39"/>
  <c r="D133" i="39"/>
  <c r="D133" i="12"/>
  <c r="D69" i="12"/>
  <c r="D69" i="39"/>
  <c r="D129" i="39"/>
  <c r="D129" i="12"/>
  <c r="D65" i="12"/>
  <c r="D65" i="39"/>
  <c r="D157" i="12"/>
  <c r="D157" i="39"/>
  <c r="D91" i="39"/>
  <c r="D91" i="12"/>
  <c r="D27" i="12"/>
  <c r="D27" i="39"/>
  <c r="D104" i="39"/>
  <c r="D104" i="12"/>
  <c r="D40" i="12"/>
  <c r="D40" i="39"/>
  <c r="D132" i="12"/>
  <c r="D132" i="39"/>
  <c r="D68" i="12"/>
  <c r="D68" i="39"/>
  <c r="D277" i="12"/>
  <c r="D277" i="39"/>
  <c r="D226" i="39"/>
  <c r="D226" i="12"/>
  <c r="D161" i="12"/>
  <c r="D161" i="39"/>
  <c r="D302" i="39"/>
  <c r="D302" i="12"/>
  <c r="D254" i="39"/>
  <c r="D254" i="12"/>
  <c r="D292" i="39"/>
  <c r="D292" i="12"/>
  <c r="D216" i="39"/>
  <c r="D216" i="12"/>
  <c r="D172" i="12"/>
  <c r="D172" i="39"/>
  <c r="D246" i="39"/>
  <c r="D246" i="12"/>
  <c r="D170" i="39"/>
  <c r="D170" i="12"/>
  <c r="D280" i="39"/>
  <c r="D280" i="12"/>
  <c r="D238" i="39"/>
  <c r="D238" i="12"/>
  <c r="D185" i="12"/>
  <c r="D185" i="39"/>
  <c r="D150" i="12"/>
  <c r="D150" i="39"/>
  <c r="D270" i="39"/>
  <c r="D270" i="12"/>
  <c r="D202" i="12"/>
  <c r="D202" i="39"/>
  <c r="D230" i="12"/>
  <c r="D230" i="39"/>
  <c r="D175" i="39"/>
  <c r="D175" i="12"/>
  <c r="D251" i="39"/>
  <c r="D251" i="12"/>
  <c r="D198" i="39"/>
  <c r="D198" i="12"/>
  <c r="D165" i="12"/>
  <c r="D165" i="39"/>
  <c r="D98" i="39"/>
  <c r="D98" i="12"/>
  <c r="D34" i="12"/>
  <c r="D34" i="39"/>
  <c r="D109" i="39"/>
  <c r="D109" i="12"/>
  <c r="D45" i="12"/>
  <c r="D45" i="39"/>
  <c r="D120" i="12"/>
  <c r="D120" i="39"/>
  <c r="D56" i="39"/>
  <c r="D56" i="12"/>
  <c r="D131" i="12"/>
  <c r="D131" i="39"/>
  <c r="D67" i="39"/>
  <c r="D67" i="12"/>
  <c r="D127" i="12"/>
  <c r="D127" i="39"/>
  <c r="D63" i="12"/>
  <c r="D63" i="39"/>
  <c r="D142" i="39"/>
  <c r="D142" i="12"/>
  <c r="D78" i="39"/>
  <c r="D78" i="12"/>
  <c r="D14" i="12"/>
  <c r="D14" i="39"/>
  <c r="D89" i="12"/>
  <c r="D89" i="39"/>
  <c r="D25" i="12"/>
  <c r="D25" i="39"/>
  <c r="D117" i="39"/>
  <c r="D117" i="12"/>
  <c r="D53" i="12"/>
  <c r="D53" i="39"/>
  <c r="D275" i="39"/>
  <c r="D275" i="12"/>
  <c r="D224" i="12"/>
  <c r="D224" i="39"/>
  <c r="D159" i="39"/>
  <c r="D159" i="12"/>
  <c r="D300" i="39"/>
  <c r="D300" i="12"/>
  <c r="D220" i="12"/>
  <c r="D220" i="39"/>
  <c r="D267" i="39"/>
  <c r="D267" i="12"/>
  <c r="D214" i="39"/>
  <c r="D214" i="12"/>
  <c r="D144" i="12"/>
  <c r="D144" i="39"/>
  <c r="D244" i="39"/>
  <c r="D244" i="12"/>
  <c r="D168" i="12"/>
  <c r="D168" i="39"/>
  <c r="D278" i="12"/>
  <c r="D278" i="39"/>
  <c r="D227" i="39"/>
  <c r="D227" i="12"/>
  <c r="D183" i="12"/>
  <c r="D183" i="39"/>
  <c r="D148" i="12"/>
  <c r="D148" i="39"/>
  <c r="D268" i="39"/>
  <c r="D268" i="12"/>
  <c r="D181" i="12"/>
  <c r="D181" i="39"/>
  <c r="D219" i="39"/>
  <c r="D219" i="12"/>
  <c r="D173" i="12"/>
  <c r="D173" i="39"/>
  <c r="D249" i="12"/>
  <c r="D249" i="39"/>
  <c r="D196" i="39"/>
  <c r="D196" i="12"/>
  <c r="D147" i="12"/>
  <c r="D147" i="39"/>
  <c r="D96" i="12"/>
  <c r="D96" i="39"/>
  <c r="D32" i="39"/>
  <c r="D32" i="12"/>
  <c r="D107" i="12"/>
  <c r="D107" i="39"/>
  <c r="D43" i="39"/>
  <c r="D43" i="12"/>
  <c r="D105" i="39"/>
  <c r="D105" i="12"/>
  <c r="D41" i="12"/>
  <c r="D41" i="39"/>
  <c r="D118" i="39"/>
  <c r="D118" i="12"/>
  <c r="D54" i="12"/>
  <c r="D54" i="39"/>
  <c r="D114" i="39"/>
  <c r="D114" i="12"/>
  <c r="D50" i="12"/>
  <c r="D50" i="39"/>
  <c r="D140" i="12"/>
  <c r="D140" i="39"/>
  <c r="D76" i="12"/>
  <c r="D76" i="39"/>
  <c r="D12" i="12"/>
  <c r="D12" i="39"/>
  <c r="D87" i="12"/>
  <c r="D87" i="39"/>
  <c r="D23" i="39"/>
  <c r="D23" i="12"/>
  <c r="D115" i="12"/>
  <c r="D115" i="39"/>
  <c r="D51" i="12"/>
  <c r="D51" i="39"/>
  <c r="D264" i="39"/>
  <c r="D264" i="12"/>
  <c r="D222" i="39"/>
  <c r="D222" i="12"/>
  <c r="D155" i="12"/>
  <c r="D155" i="39"/>
  <c r="D273" i="12"/>
  <c r="D273" i="39"/>
  <c r="D205" i="12"/>
  <c r="D205" i="39"/>
  <c r="D252" i="39"/>
  <c r="D252" i="12"/>
  <c r="D212" i="39"/>
  <c r="D212" i="12"/>
  <c r="D290" i="39"/>
  <c r="D290" i="12"/>
  <c r="D210" i="39"/>
  <c r="D210" i="12"/>
  <c r="D166" i="12"/>
  <c r="D166" i="39"/>
  <c r="D276" i="39"/>
  <c r="D276" i="12"/>
  <c r="D225" i="12"/>
  <c r="D225" i="39"/>
  <c r="D162" i="39"/>
  <c r="D162" i="12"/>
  <c r="D307" i="39"/>
  <c r="D307" i="12"/>
  <c r="D259" i="12"/>
  <c r="D259" i="39"/>
  <c r="D299" i="39"/>
  <c r="D299" i="12"/>
  <c r="D217" i="39"/>
  <c r="D217" i="12"/>
  <c r="D291" i="39"/>
  <c r="D291" i="12"/>
  <c r="D247" i="39"/>
  <c r="D247" i="12"/>
  <c r="D194" i="39"/>
  <c r="D194" i="12"/>
  <c r="D145" i="39"/>
  <c r="D145" i="12"/>
  <c r="D81" i="12"/>
  <c r="D81" i="39"/>
  <c r="D17" i="39"/>
  <c r="D17" i="12"/>
  <c r="D94" i="39"/>
  <c r="D94" i="12"/>
  <c r="D30" i="12"/>
  <c r="D30" i="39"/>
  <c r="D103" i="39"/>
  <c r="D103" i="12"/>
  <c r="D39" i="39"/>
  <c r="D39" i="12"/>
  <c r="D116" i="12"/>
  <c r="D116" i="39"/>
  <c r="D52" i="12"/>
  <c r="D52" i="39"/>
  <c r="D112" i="12"/>
  <c r="D112" i="39"/>
  <c r="D48" i="12"/>
  <c r="D48" i="39"/>
  <c r="D125" i="39"/>
  <c r="D125" i="12"/>
  <c r="D61" i="12"/>
  <c r="D61" i="39"/>
  <c r="D138" i="39"/>
  <c r="D138" i="12"/>
  <c r="D74" i="39"/>
  <c r="D74" i="12"/>
  <c r="D10" i="39"/>
  <c r="D10" i="12"/>
  <c r="D102" i="39"/>
  <c r="D102" i="12"/>
  <c r="D38" i="12"/>
  <c r="D38" i="39"/>
  <c r="D312" i="39"/>
  <c r="D312" i="12"/>
  <c r="D262" i="39"/>
  <c r="D262" i="12"/>
  <c r="D188" i="12"/>
  <c r="D188" i="39"/>
  <c r="D153" i="12"/>
  <c r="D153" i="39"/>
  <c r="D271" i="39"/>
  <c r="D271" i="12"/>
  <c r="D203" i="39"/>
  <c r="D203" i="12"/>
  <c r="D235" i="39"/>
  <c r="D235" i="12"/>
  <c r="D199" i="39"/>
  <c r="D199" i="12"/>
  <c r="D288" i="39"/>
  <c r="D288" i="12"/>
  <c r="D208" i="12"/>
  <c r="D208" i="39"/>
  <c r="D146" i="39"/>
  <c r="D146" i="12"/>
  <c r="D265" i="12"/>
  <c r="D265" i="39"/>
  <c r="D223" i="39"/>
  <c r="D223" i="12"/>
  <c r="D160" i="39"/>
  <c r="D160" i="12"/>
  <c r="D305" i="39"/>
  <c r="D305" i="12"/>
  <c r="D257" i="39"/>
  <c r="D257" i="12"/>
  <c r="D297" i="39"/>
  <c r="D297" i="12"/>
  <c r="D215" i="39"/>
  <c r="D215" i="12"/>
  <c r="D289" i="39"/>
  <c r="D289" i="12"/>
  <c r="D245" i="12"/>
  <c r="D245" i="39"/>
  <c r="D192" i="12"/>
  <c r="D192" i="39"/>
  <c r="D143" i="12"/>
  <c r="D143" i="39"/>
  <c r="D79" i="12"/>
  <c r="D79" i="39"/>
  <c r="D15" i="39"/>
  <c r="D15" i="12"/>
  <c r="D92" i="12"/>
  <c r="D92" i="39"/>
  <c r="D28" i="12"/>
  <c r="D28" i="39"/>
  <c r="D90" i="39"/>
  <c r="D90" i="12"/>
  <c r="D26" i="39"/>
  <c r="D26" i="12"/>
  <c r="D101" i="39"/>
  <c r="D101" i="12"/>
  <c r="D37" i="12"/>
  <c r="D37" i="39"/>
  <c r="D97" i="39"/>
  <c r="D97" i="12"/>
  <c r="D33" i="12"/>
  <c r="D33" i="39"/>
  <c r="D123" i="12"/>
  <c r="D123" i="39"/>
  <c r="D59" i="39"/>
  <c r="D59" i="12"/>
  <c r="D136" i="12"/>
  <c r="D136" i="39"/>
  <c r="D72" i="39"/>
  <c r="D72" i="12"/>
  <c r="D8" i="12"/>
  <c r="D8" i="39"/>
  <c r="D100" i="12"/>
  <c r="D100" i="39"/>
  <c r="D36" i="12"/>
  <c r="D36" i="39"/>
  <c r="D310" i="39"/>
  <c r="D310" i="12"/>
  <c r="D243" i="12"/>
  <c r="D243" i="39"/>
  <c r="D186" i="39"/>
  <c r="D186" i="12"/>
  <c r="D151" i="12"/>
  <c r="D151" i="39"/>
  <c r="D269" i="12"/>
  <c r="D269" i="39"/>
  <c r="D201" i="39"/>
  <c r="D201" i="12"/>
  <c r="D233" i="39"/>
  <c r="D233" i="12"/>
  <c r="D180" i="39"/>
  <c r="D180" i="12"/>
  <c r="D286" i="12"/>
  <c r="D286" i="39"/>
  <c r="D197" i="12"/>
  <c r="D197" i="39"/>
  <c r="D313" i="39"/>
  <c r="D313" i="12"/>
  <c r="D263" i="12"/>
  <c r="D263" i="39"/>
  <c r="D221" i="12"/>
  <c r="D221" i="39"/>
  <c r="D158" i="12"/>
  <c r="D158" i="39"/>
  <c r="D303" i="39"/>
  <c r="D303" i="12"/>
  <c r="D255" i="39"/>
  <c r="D255" i="12"/>
  <c r="D295" i="39"/>
  <c r="D295" i="12"/>
  <c r="D213" i="39"/>
  <c r="D213" i="12"/>
  <c r="D287" i="39"/>
  <c r="D287" i="12"/>
  <c r="D228" i="12"/>
  <c r="D228" i="39"/>
  <c r="D190" i="12"/>
  <c r="D190" i="39"/>
  <c r="D130" i="39"/>
  <c r="D130" i="12"/>
  <c r="D66" i="12"/>
  <c r="D66" i="39"/>
  <c r="D141" i="39"/>
  <c r="D141" i="12"/>
  <c r="D77" i="12"/>
  <c r="D77" i="39"/>
  <c r="D13" i="39"/>
  <c r="D13" i="12"/>
  <c r="D88" i="12"/>
  <c r="D88" i="39"/>
  <c r="D24" i="39"/>
  <c r="D24" i="12"/>
  <c r="D99" i="39"/>
  <c r="D99" i="12"/>
  <c r="D35" i="12"/>
  <c r="D35" i="39"/>
  <c r="D95" i="39"/>
  <c r="D95" i="12"/>
  <c r="D31" i="39"/>
  <c r="D31" i="12"/>
  <c r="D110" i="39"/>
  <c r="D110" i="12"/>
  <c r="D46" i="12"/>
  <c r="D46" i="39"/>
  <c r="D121" i="39"/>
  <c r="D121" i="12"/>
  <c r="D57" i="12"/>
  <c r="D57" i="39"/>
  <c r="D164" i="39"/>
  <c r="D164" i="12"/>
  <c r="D85" i="12"/>
  <c r="D85" i="39"/>
  <c r="D21" i="12"/>
  <c r="D21" i="39"/>
  <c r="D308" i="39"/>
  <c r="D308" i="12"/>
  <c r="D241" i="39"/>
  <c r="D241" i="12"/>
  <c r="D184" i="12"/>
  <c r="D184" i="39"/>
  <c r="D137" i="39"/>
  <c r="D137" i="12"/>
  <c r="D260" i="39"/>
  <c r="D260" i="12"/>
  <c r="D298" i="39"/>
  <c r="D298" i="12"/>
  <c r="D231" i="39"/>
  <c r="D231" i="12"/>
  <c r="D178" i="39"/>
  <c r="D178" i="12"/>
  <c r="D284" i="39"/>
  <c r="D284" i="12"/>
  <c r="D195" i="12"/>
  <c r="D195" i="39"/>
  <c r="D311" i="39"/>
  <c r="D311" i="12"/>
  <c r="D261" i="12"/>
  <c r="D261" i="39"/>
  <c r="D206" i="39"/>
  <c r="D206" i="12"/>
  <c r="D156" i="12"/>
  <c r="D156" i="39"/>
  <c r="D301" i="39"/>
  <c r="D301" i="12"/>
  <c r="D253" i="39"/>
  <c r="D253" i="12"/>
  <c r="D293" i="39"/>
  <c r="D293" i="12"/>
  <c r="D200" i="12"/>
  <c r="D200" i="39"/>
  <c r="D285" i="39"/>
  <c r="D285" i="12"/>
  <c r="D211" i="39"/>
  <c r="D211" i="12"/>
  <c r="D171" i="12"/>
  <c r="D171" i="39"/>
  <c r="D128" i="12"/>
  <c r="D128" i="39"/>
  <c r="D64" i="39"/>
  <c r="D64" i="12"/>
  <c r="D139" i="12"/>
  <c r="D139" i="39"/>
  <c r="D75" i="39"/>
  <c r="D75" i="12"/>
  <c r="D11" i="39"/>
  <c r="D11" i="12"/>
  <c r="D73" i="12"/>
  <c r="D73" i="39"/>
  <c r="D9" i="39"/>
  <c r="D9" i="12"/>
  <c r="D86" i="12"/>
  <c r="D86" i="39"/>
  <c r="D22" i="12"/>
  <c r="D22" i="39"/>
  <c r="D82" i="39"/>
  <c r="D82" i="12"/>
  <c r="D18" i="39"/>
  <c r="D18" i="12"/>
  <c r="D108" i="12"/>
  <c r="D108" i="39"/>
  <c r="D44" i="12"/>
  <c r="D44" i="39"/>
  <c r="D119" i="12"/>
  <c r="D119" i="39"/>
  <c r="D55" i="12"/>
  <c r="D55" i="39"/>
  <c r="D149" i="39"/>
  <c r="D149" i="12"/>
  <c r="D83" i="39"/>
  <c r="D83" i="12"/>
  <c r="D19" i="12"/>
  <c r="D19" i="39"/>
  <c r="D281" i="12"/>
  <c r="D281" i="39"/>
  <c r="D239" i="39"/>
  <c r="D239" i="12"/>
  <c r="D182" i="12"/>
  <c r="D182" i="39"/>
  <c r="D306" i="39"/>
  <c r="D306" i="12"/>
  <c r="D258" i="39"/>
  <c r="D258" i="12"/>
  <c r="D296" i="39"/>
  <c r="D296" i="12"/>
  <c r="D229" i="39"/>
  <c r="D229" i="12"/>
  <c r="D176" i="12"/>
  <c r="D176" i="39"/>
  <c r="D250" i="39"/>
  <c r="D250" i="12"/>
  <c r="D193" i="12"/>
  <c r="D193" i="39"/>
  <c r="D309" i="39"/>
  <c r="D309" i="12"/>
  <c r="D242" i="39"/>
  <c r="D242" i="12"/>
  <c r="D189" i="12"/>
  <c r="D189" i="39"/>
  <c r="D154" i="39"/>
  <c r="D154" i="12"/>
  <c r="D274" i="39"/>
  <c r="D274" i="12"/>
  <c r="D236" i="39"/>
  <c r="D236" i="12"/>
  <c r="D234" i="12"/>
  <c r="D234" i="39"/>
  <c r="D179" i="12"/>
  <c r="D179" i="39"/>
  <c r="D283" i="39"/>
  <c r="D283" i="12"/>
  <c r="D209" i="12"/>
  <c r="D209" i="39"/>
  <c r="D169" i="12"/>
  <c r="D169" i="39"/>
  <c r="D113" i="39"/>
  <c r="D113" i="12"/>
  <c r="D49" i="39"/>
  <c r="D49" i="12"/>
  <c r="D126" i="39"/>
  <c r="D126" i="12"/>
  <c r="D62" i="12"/>
  <c r="D62" i="39"/>
  <c r="D135" i="12"/>
  <c r="D135" i="39"/>
  <c r="D71" i="12"/>
  <c r="D71" i="39"/>
  <c r="D7" i="12"/>
  <c r="D7" i="39"/>
  <c r="D84" i="12"/>
  <c r="D84" i="39"/>
  <c r="D20" i="12"/>
  <c r="D20" i="39"/>
  <c r="D80" i="39"/>
  <c r="D80" i="12"/>
  <c r="D16" i="39"/>
  <c r="D16" i="12"/>
  <c r="D93" i="39"/>
  <c r="D93" i="12"/>
  <c r="D29" i="12"/>
  <c r="D29" i="39"/>
  <c r="D106" i="12"/>
  <c r="D106" i="39"/>
  <c r="D42" i="12"/>
  <c r="D42" i="39"/>
  <c r="D134" i="39"/>
  <c r="D134" i="12"/>
  <c r="D70" i="39"/>
  <c r="D70" i="12"/>
  <c r="D6" i="12"/>
  <c r="D6" i="39"/>
  <c r="M6" i="25"/>
  <c r="M315" i="25" s="1"/>
  <c r="C41" i="40"/>
  <c r="J4" i="11" s="1"/>
  <c r="F145" i="25"/>
  <c r="F159" i="25"/>
  <c r="F289" i="25"/>
  <c r="F306" i="25"/>
  <c r="F290" i="25"/>
  <c r="F274" i="25"/>
  <c r="F19" i="25"/>
  <c r="F86" i="25"/>
  <c r="F70" i="25"/>
  <c r="F54" i="25"/>
  <c r="F38" i="25"/>
  <c r="F22" i="25"/>
  <c r="F259" i="25"/>
  <c r="F195" i="25"/>
  <c r="F131" i="25"/>
  <c r="F205" i="25"/>
  <c r="F133" i="25"/>
  <c r="F215" i="25"/>
  <c r="F151" i="25"/>
  <c r="F273" i="25"/>
  <c r="F117" i="25"/>
  <c r="F39" i="25"/>
  <c r="F304" i="25"/>
  <c r="F288" i="25"/>
  <c r="F256" i="25"/>
  <c r="F240" i="25"/>
  <c r="F224" i="25"/>
  <c r="F208" i="25"/>
  <c r="F192" i="25"/>
  <c r="F176" i="25"/>
  <c r="F160" i="25"/>
  <c r="F144" i="25"/>
  <c r="F128" i="25"/>
  <c r="F112" i="25"/>
  <c r="F96" i="25"/>
  <c r="F9" i="25"/>
  <c r="F87" i="25"/>
  <c r="F139" i="25"/>
  <c r="F45" i="25"/>
  <c r="F307" i="25"/>
  <c r="F179" i="25"/>
  <c r="F193" i="25"/>
  <c r="F263" i="25"/>
  <c r="F209" i="25"/>
  <c r="F252" i="25"/>
  <c r="F204" i="25"/>
  <c r="F156" i="25"/>
  <c r="F108" i="25"/>
  <c r="F55" i="25"/>
  <c r="F48" i="25"/>
  <c r="F299" i="25"/>
  <c r="F229" i="25"/>
  <c r="F53" i="25"/>
  <c r="F62" i="25"/>
  <c r="F14" i="25"/>
  <c r="F267" i="25"/>
  <c r="F245" i="25"/>
  <c r="F213" i="25"/>
  <c r="F237" i="25"/>
  <c r="F199" i="25"/>
  <c r="F97" i="25"/>
  <c r="F268" i="25"/>
  <c r="F236" i="25"/>
  <c r="F172" i="25"/>
  <c r="F140" i="25"/>
  <c r="F92" i="25"/>
  <c r="F80" i="25"/>
  <c r="F16" i="25"/>
  <c r="F305" i="25"/>
  <c r="F149" i="25"/>
  <c r="F83" i="25"/>
  <c r="F78" i="25"/>
  <c r="F30" i="25"/>
  <c r="F203" i="25"/>
  <c r="F101" i="25"/>
  <c r="F103" i="25"/>
  <c r="F157" i="25"/>
  <c r="F223" i="25"/>
  <c r="F13" i="25"/>
  <c r="F243" i="25"/>
  <c r="F115" i="25"/>
  <c r="F181" i="25"/>
  <c r="F95" i="25"/>
  <c r="F135" i="25"/>
  <c r="F35" i="25"/>
  <c r="F220" i="25"/>
  <c r="F188" i="25"/>
  <c r="F124" i="25"/>
  <c r="F69" i="25"/>
  <c r="F64" i="25"/>
  <c r="F32" i="25"/>
  <c r="F99" i="25"/>
  <c r="F301" i="25"/>
  <c r="F37" i="25"/>
  <c r="F46" i="25"/>
  <c r="F217" i="25"/>
  <c r="F210" i="25"/>
  <c r="F302" i="25"/>
  <c r="F286" i="25"/>
  <c r="F313" i="25"/>
  <c r="F297" i="25"/>
  <c r="F281" i="25"/>
  <c r="F264" i="25"/>
  <c r="F248" i="25"/>
  <c r="F232" i="25"/>
  <c r="F216" i="25"/>
  <c r="F200" i="25"/>
  <c r="F184" i="25"/>
  <c r="F168" i="25"/>
  <c r="F152" i="25"/>
  <c r="F136" i="25"/>
  <c r="F120" i="25"/>
  <c r="F104" i="25"/>
  <c r="F88" i="25"/>
  <c r="F72" i="25"/>
  <c r="F56" i="25"/>
  <c r="F40" i="25"/>
  <c r="F24" i="25"/>
  <c r="F271" i="25"/>
  <c r="F255" i="25"/>
  <c r="F239" i="25"/>
  <c r="F207" i="25"/>
  <c r="F191" i="25"/>
  <c r="F175" i="25"/>
  <c r="F143" i="25"/>
  <c r="F127" i="25"/>
  <c r="F111" i="25"/>
  <c r="F79" i="25"/>
  <c r="F63" i="25"/>
  <c r="F47" i="25"/>
  <c r="F31" i="25"/>
  <c r="F15" i="25"/>
  <c r="F283" i="25"/>
  <c r="F312" i="25"/>
  <c r="F296" i="25"/>
  <c r="F280" i="25"/>
  <c r="F261" i="25"/>
  <c r="F197" i="25"/>
  <c r="F165" i="25"/>
  <c r="F85" i="25"/>
  <c r="F21" i="25"/>
  <c r="F270" i="25"/>
  <c r="F254" i="25"/>
  <c r="F238" i="25"/>
  <c r="F222" i="25"/>
  <c r="F206" i="25"/>
  <c r="F190" i="25"/>
  <c r="F174" i="25"/>
  <c r="F158" i="25"/>
  <c r="F142" i="25"/>
  <c r="F126" i="25"/>
  <c r="F110" i="25"/>
  <c r="F94" i="25"/>
  <c r="F287" i="25"/>
  <c r="F300" i="25"/>
  <c r="F265" i="25"/>
  <c r="F233" i="25"/>
  <c r="F185" i="25"/>
  <c r="F153" i="25"/>
  <c r="F121" i="25"/>
  <c r="F105" i="25"/>
  <c r="F73" i="25"/>
  <c r="F41" i="25"/>
  <c r="F7" i="25"/>
  <c r="F226" i="25"/>
  <c r="F178" i="25"/>
  <c r="F146" i="25"/>
  <c r="F114" i="25"/>
  <c r="F82" i="25"/>
  <c r="F50" i="25"/>
  <c r="F34" i="25"/>
  <c r="F314" i="25"/>
  <c r="F309" i="25"/>
  <c r="F260" i="25"/>
  <c r="F212" i="25"/>
  <c r="F148" i="25"/>
  <c r="F100" i="25"/>
  <c r="F52" i="25"/>
  <c r="F219" i="25"/>
  <c r="F171" i="25"/>
  <c r="F123" i="25"/>
  <c r="F75" i="25"/>
  <c r="F27" i="25"/>
  <c r="F311" i="25"/>
  <c r="F292" i="25"/>
  <c r="F241" i="25"/>
  <c r="F129" i="25"/>
  <c r="F65" i="25"/>
  <c r="F266" i="25"/>
  <c r="F186" i="25"/>
  <c r="F106" i="25"/>
  <c r="F58" i="25"/>
  <c r="F10" i="25"/>
  <c r="F310" i="25"/>
  <c r="F294" i="25"/>
  <c r="F278" i="25"/>
  <c r="F247" i="25"/>
  <c r="F231" i="25"/>
  <c r="F183" i="25"/>
  <c r="F167" i="25"/>
  <c r="F119" i="25"/>
  <c r="F71" i="25"/>
  <c r="F23" i="25"/>
  <c r="F303" i="25"/>
  <c r="F272" i="25"/>
  <c r="F284" i="25"/>
  <c r="F249" i="25"/>
  <c r="F201" i="25"/>
  <c r="F169" i="25"/>
  <c r="F137" i="25"/>
  <c r="F89" i="25"/>
  <c r="F57" i="25"/>
  <c r="F25" i="25"/>
  <c r="F258" i="25"/>
  <c r="F242" i="25"/>
  <c r="F194" i="25"/>
  <c r="F162" i="25"/>
  <c r="F130" i="25"/>
  <c r="F98" i="25"/>
  <c r="F66" i="25"/>
  <c r="F18" i="25"/>
  <c r="F282" i="25"/>
  <c r="F277" i="25"/>
  <c r="F228" i="25"/>
  <c r="F180" i="25"/>
  <c r="F132" i="25"/>
  <c r="F84" i="25"/>
  <c r="F36" i="25"/>
  <c r="F251" i="25"/>
  <c r="F155" i="25"/>
  <c r="F107" i="25"/>
  <c r="F59" i="25"/>
  <c r="F11" i="25"/>
  <c r="F279" i="25"/>
  <c r="F276" i="25"/>
  <c r="F225" i="25"/>
  <c r="F177" i="25"/>
  <c r="F81" i="25"/>
  <c r="F33" i="25"/>
  <c r="F250" i="25"/>
  <c r="F202" i="25"/>
  <c r="F138" i="25"/>
  <c r="F74" i="25"/>
  <c r="F26" i="25"/>
  <c r="F291" i="25"/>
  <c r="F275" i="25"/>
  <c r="F269" i="25"/>
  <c r="F253" i="25"/>
  <c r="F221" i="25"/>
  <c r="F189" i="25"/>
  <c r="F173" i="25"/>
  <c r="F141" i="25"/>
  <c r="F125" i="25"/>
  <c r="F109" i="25"/>
  <c r="F93" i="25"/>
  <c r="F77" i="25"/>
  <c r="F61" i="25"/>
  <c r="F29" i="25"/>
  <c r="F262" i="25"/>
  <c r="F246" i="25"/>
  <c r="F230" i="25"/>
  <c r="F214" i="25"/>
  <c r="F198" i="25"/>
  <c r="F182" i="25"/>
  <c r="F166" i="25"/>
  <c r="F150" i="25"/>
  <c r="F134" i="25"/>
  <c r="F118" i="25"/>
  <c r="F102" i="25"/>
  <c r="F8" i="25"/>
  <c r="F298" i="25"/>
  <c r="F293" i="25"/>
  <c r="F244" i="25"/>
  <c r="F196" i="25"/>
  <c r="F164" i="25"/>
  <c r="F116" i="25"/>
  <c r="F68" i="25"/>
  <c r="F20" i="25"/>
  <c r="F235" i="25"/>
  <c r="F187" i="25"/>
  <c r="F91" i="25"/>
  <c r="F43" i="25"/>
  <c r="F295" i="25"/>
  <c r="F308" i="25"/>
  <c r="F257" i="25"/>
  <c r="F161" i="25"/>
  <c r="F113" i="25"/>
  <c r="F49" i="25"/>
  <c r="F17" i="25"/>
  <c r="F234" i="25"/>
  <c r="F218" i="25"/>
  <c r="F170" i="25"/>
  <c r="F154" i="25"/>
  <c r="F122" i="25"/>
  <c r="F90" i="25"/>
  <c r="F42" i="25"/>
  <c r="F285" i="25"/>
  <c r="F76" i="25"/>
  <c r="F60" i="25"/>
  <c r="F44" i="25"/>
  <c r="F28" i="25"/>
  <c r="F12" i="25"/>
  <c r="F227" i="25"/>
  <c r="F211" i="25"/>
  <c r="F163" i="25"/>
  <c r="F147" i="25"/>
  <c r="F67" i="25"/>
  <c r="F51" i="25"/>
  <c r="G325" i="34"/>
  <c r="H325" i="34" s="1"/>
  <c r="F22" i="48"/>
  <c r="F24" i="48" s="1"/>
  <c r="N4" i="11"/>
  <c r="G11" i="9"/>
  <c r="F6" i="25" s="1"/>
  <c r="F320" i="9"/>
  <c r="O315" i="49"/>
  <c r="N141" i="11" l="1"/>
  <c r="N148" i="11"/>
  <c r="N157" i="11"/>
  <c r="N164" i="11"/>
  <c r="N173" i="11"/>
  <c r="N140" i="11"/>
  <c r="N149" i="11"/>
  <c r="N156" i="11"/>
  <c r="N165" i="11"/>
  <c r="N172" i="11"/>
  <c r="N144" i="11"/>
  <c r="N152" i="11"/>
  <c r="N160" i="11"/>
  <c r="N168" i="11"/>
  <c r="N192" i="11"/>
  <c r="N198" i="11"/>
  <c r="N253" i="11"/>
  <c r="N260" i="11"/>
  <c r="N264" i="11"/>
  <c r="N268" i="11"/>
  <c r="N272" i="11"/>
  <c r="N276" i="11"/>
  <c r="N280" i="11"/>
  <c r="N284" i="11"/>
  <c r="N288" i="11"/>
  <c r="N292" i="11"/>
  <c r="N296" i="11"/>
  <c r="N300" i="11"/>
  <c r="N304" i="11"/>
  <c r="N308" i="11"/>
  <c r="N312" i="11"/>
  <c r="N186" i="11"/>
  <c r="N204" i="11"/>
  <c r="N212" i="11"/>
  <c r="N220" i="11"/>
  <c r="N228" i="11"/>
  <c r="N236" i="11"/>
  <c r="N145" i="11"/>
  <c r="N153" i="11"/>
  <c r="N161" i="11"/>
  <c r="N169" i="11"/>
  <c r="N178" i="11"/>
  <c r="N252" i="11"/>
  <c r="N146" i="11"/>
  <c r="N154" i="11"/>
  <c r="N162" i="11"/>
  <c r="N170" i="11"/>
  <c r="N200" i="11"/>
  <c r="N208" i="11"/>
  <c r="N216" i="11"/>
  <c r="N224" i="11"/>
  <c r="N232" i="11"/>
  <c r="N240" i="11"/>
  <c r="N248" i="11"/>
  <c r="N250" i="11"/>
  <c r="N261" i="11"/>
  <c r="N265" i="11"/>
  <c r="N269" i="11"/>
  <c r="N182" i="11"/>
  <c r="N194" i="11"/>
  <c r="N306" i="11"/>
  <c r="N301" i="11"/>
  <c r="N309" i="11"/>
  <c r="N258" i="11"/>
  <c r="N184" i="11"/>
  <c r="N293" i="11"/>
  <c r="N85" i="11"/>
  <c r="N21" i="11"/>
  <c r="N203" i="11"/>
  <c r="N143" i="11"/>
  <c r="N26" i="11"/>
  <c r="N121" i="11"/>
  <c r="N57" i="11"/>
  <c r="N307" i="11"/>
  <c r="N275" i="11"/>
  <c r="N221" i="11"/>
  <c r="N126" i="11"/>
  <c r="N199" i="11"/>
  <c r="N104" i="11"/>
  <c r="N40" i="11"/>
  <c r="N223" i="11"/>
  <c r="N66" i="11"/>
  <c r="N124" i="11"/>
  <c r="N60" i="11"/>
  <c r="N241" i="11"/>
  <c r="N180" i="11"/>
  <c r="N22" i="11"/>
  <c r="N103" i="11"/>
  <c r="N39" i="11"/>
  <c r="N131" i="11"/>
  <c r="N67" i="11"/>
  <c r="N305" i="11"/>
  <c r="N24" i="11"/>
  <c r="N44" i="11"/>
  <c r="N87" i="11"/>
  <c r="N297" i="11"/>
  <c r="N278" i="11"/>
  <c r="N286" i="11"/>
  <c r="N238" i="11"/>
  <c r="N298" i="11"/>
  <c r="N270" i="11"/>
  <c r="N80" i="11"/>
  <c r="N16" i="11"/>
  <c r="N191" i="11"/>
  <c r="N138" i="11"/>
  <c r="N10" i="11"/>
  <c r="N116" i="11"/>
  <c r="N52" i="11"/>
  <c r="N303" i="11"/>
  <c r="N271" i="11"/>
  <c r="N213" i="11"/>
  <c r="N110" i="11"/>
  <c r="N193" i="11"/>
  <c r="N93" i="11"/>
  <c r="N29" i="11"/>
  <c r="N215" i="11"/>
  <c r="N50" i="11"/>
  <c r="N113" i="11"/>
  <c r="N49" i="11"/>
  <c r="N233" i="11"/>
  <c r="N134" i="11"/>
  <c r="N6" i="11"/>
  <c r="N95" i="11"/>
  <c r="N31" i="11"/>
  <c r="N123" i="11"/>
  <c r="N59" i="11"/>
  <c r="N274" i="11"/>
  <c r="N34" i="11"/>
  <c r="N163" i="11"/>
  <c r="N115" i="11"/>
  <c r="N222" i="11"/>
  <c r="N289" i="11"/>
  <c r="N133" i="11"/>
  <c r="N69" i="11"/>
  <c r="N255" i="11"/>
  <c r="N185" i="11"/>
  <c r="N122" i="11"/>
  <c r="N257" i="11"/>
  <c r="N105" i="11"/>
  <c r="N41" i="11"/>
  <c r="N299" i="11"/>
  <c r="N267" i="11"/>
  <c r="N205" i="11"/>
  <c r="N94" i="11"/>
  <c r="N187" i="11"/>
  <c r="N88" i="11"/>
  <c r="N108" i="11"/>
  <c r="N118" i="11"/>
  <c r="N51" i="11"/>
  <c r="N256" i="11"/>
  <c r="N282" i="11"/>
  <c r="N254" i="11"/>
  <c r="N206" i="11"/>
  <c r="N266" i="11"/>
  <c r="N128" i="11"/>
  <c r="N64" i="11"/>
  <c r="N243" i="11"/>
  <c r="N179" i="11"/>
  <c r="N106" i="11"/>
  <c r="N197" i="11"/>
  <c r="N100" i="11"/>
  <c r="N36" i="11"/>
  <c r="N295" i="11"/>
  <c r="N263" i="11"/>
  <c r="N174" i="11"/>
  <c r="N78" i="11"/>
  <c r="N181" i="11"/>
  <c r="N77" i="11"/>
  <c r="N13" i="11"/>
  <c r="N196" i="11"/>
  <c r="N18" i="11"/>
  <c r="N97" i="11"/>
  <c r="N33" i="11"/>
  <c r="N217" i="11"/>
  <c r="N102" i="11"/>
  <c r="N147" i="11"/>
  <c r="N79" i="11"/>
  <c r="N15" i="11"/>
  <c r="N107" i="11"/>
  <c r="N43" i="11"/>
  <c r="N290" i="11"/>
  <c r="N98" i="11"/>
  <c r="N12" i="11"/>
  <c r="N55" i="11"/>
  <c r="N246" i="11"/>
  <c r="N273" i="11"/>
  <c r="N244" i="11"/>
  <c r="N190" i="11"/>
  <c r="N242" i="11"/>
  <c r="N117" i="11"/>
  <c r="N53" i="11"/>
  <c r="N235" i="11"/>
  <c r="N176" i="11"/>
  <c r="N90" i="11"/>
  <c r="N188" i="11"/>
  <c r="N89" i="11"/>
  <c r="N25" i="11"/>
  <c r="N291" i="11"/>
  <c r="N259" i="11"/>
  <c r="N166" i="11"/>
  <c r="N62" i="11"/>
  <c r="N136" i="11"/>
  <c r="N72" i="11"/>
  <c r="N8" i="11"/>
  <c r="N130" i="11"/>
  <c r="N249" i="11"/>
  <c r="N92" i="11"/>
  <c r="N28" i="11"/>
  <c r="N209" i="11"/>
  <c r="N86" i="11"/>
  <c r="N135" i="11"/>
  <c r="N71" i="11"/>
  <c r="N7" i="11"/>
  <c r="N99" i="11"/>
  <c r="N35" i="11"/>
  <c r="N218" i="11"/>
  <c r="N56" i="11"/>
  <c r="N195" i="11"/>
  <c r="N155" i="11"/>
  <c r="N230" i="11"/>
  <c r="N234" i="11"/>
  <c r="N313" i="11"/>
  <c r="N294" i="11"/>
  <c r="N226" i="11"/>
  <c r="N112" i="11"/>
  <c r="N48" i="11"/>
  <c r="N227" i="11"/>
  <c r="N167" i="11"/>
  <c r="N74" i="11"/>
  <c r="N175" i="11"/>
  <c r="N84" i="11"/>
  <c r="N20" i="11"/>
  <c r="N287" i="11"/>
  <c r="N245" i="11"/>
  <c r="N158" i="11"/>
  <c r="N46" i="11"/>
  <c r="N125" i="11"/>
  <c r="N61" i="11"/>
  <c r="N247" i="11"/>
  <c r="N114" i="11"/>
  <c r="N183" i="11"/>
  <c r="N81" i="11"/>
  <c r="N17" i="11"/>
  <c r="N201" i="11"/>
  <c r="N70" i="11"/>
  <c r="N127" i="11"/>
  <c r="N63" i="11"/>
  <c r="N171" i="11"/>
  <c r="N91" i="11"/>
  <c r="N27" i="11"/>
  <c r="N214" i="11"/>
  <c r="N239" i="11"/>
  <c r="N54" i="11"/>
  <c r="N83" i="11"/>
  <c r="N285" i="11"/>
  <c r="N210" i="11"/>
  <c r="N101" i="11"/>
  <c r="N37" i="11"/>
  <c r="N219" i="11"/>
  <c r="N159" i="11"/>
  <c r="N58" i="11"/>
  <c r="N137" i="11"/>
  <c r="N73" i="11"/>
  <c r="N9" i="11"/>
  <c r="N283" i="11"/>
  <c r="N237" i="11"/>
  <c r="N150" i="11"/>
  <c r="N30" i="11"/>
  <c r="N120" i="11"/>
  <c r="N177" i="11"/>
  <c r="N76" i="11"/>
  <c r="N119" i="11"/>
  <c r="N19" i="11"/>
  <c r="N310" i="11"/>
  <c r="N202" i="11"/>
  <c r="N281" i="11"/>
  <c r="N262" i="11"/>
  <c r="N302" i="11"/>
  <c r="N96" i="11"/>
  <c r="N32" i="11"/>
  <c r="N211" i="11"/>
  <c r="N151" i="11"/>
  <c r="N42" i="11"/>
  <c r="N132" i="11"/>
  <c r="N68" i="11"/>
  <c r="N311" i="11"/>
  <c r="N279" i="11"/>
  <c r="N229" i="11"/>
  <c r="N142" i="11"/>
  <c r="N14" i="11"/>
  <c r="N109" i="11"/>
  <c r="N45" i="11"/>
  <c r="N231" i="11"/>
  <c r="N82" i="11"/>
  <c r="N129" i="11"/>
  <c r="N65" i="11"/>
  <c r="N251" i="11"/>
  <c r="N189" i="11"/>
  <c r="N38" i="11"/>
  <c r="N111" i="11"/>
  <c r="N47" i="11"/>
  <c r="N139" i="11"/>
  <c r="N75" i="11"/>
  <c r="N11" i="11"/>
  <c r="N277" i="11"/>
  <c r="N207" i="11"/>
  <c r="N225" i="11"/>
  <c r="N23" i="11"/>
  <c r="J284" i="11"/>
  <c r="J220" i="11"/>
  <c r="J132" i="11"/>
  <c r="J223" i="11"/>
  <c r="J312" i="11"/>
  <c r="J311" i="11"/>
  <c r="J222" i="11"/>
  <c r="J276" i="11"/>
  <c r="J209" i="11"/>
  <c r="J130" i="11"/>
  <c r="J199" i="11"/>
  <c r="J302" i="11"/>
  <c r="J313" i="11"/>
  <c r="J198" i="11"/>
  <c r="J153" i="11"/>
  <c r="J97" i="11"/>
  <c r="J26" i="11"/>
  <c r="J93" i="11"/>
  <c r="J15" i="11"/>
  <c r="J62" i="11"/>
  <c r="J291" i="11"/>
  <c r="J227" i="11"/>
  <c r="J158" i="11"/>
  <c r="J92" i="11"/>
  <c r="J25" i="11"/>
  <c r="J232" i="11"/>
  <c r="J164" i="11"/>
  <c r="J95" i="11"/>
  <c r="J293" i="11"/>
  <c r="J229" i="11"/>
  <c r="J154" i="11"/>
  <c r="J17" i="11"/>
  <c r="J226" i="11"/>
  <c r="J81" i="11"/>
  <c r="J295" i="11"/>
  <c r="J121" i="11"/>
  <c r="J27" i="11"/>
  <c r="J278" i="11"/>
  <c r="J217" i="11"/>
  <c r="J106" i="11"/>
  <c r="J207" i="11"/>
  <c r="J308" i="11"/>
  <c r="J307" i="11"/>
  <c r="J206" i="11"/>
  <c r="J260" i="11"/>
  <c r="J196" i="11"/>
  <c r="J90" i="11"/>
  <c r="J183" i="11"/>
  <c r="J292" i="11"/>
  <c r="J309" i="11"/>
  <c r="J182" i="11"/>
  <c r="J16" i="11"/>
  <c r="J86" i="11"/>
  <c r="J12" i="11"/>
  <c r="J56" i="11"/>
  <c r="J283" i="11"/>
  <c r="J219" i="11"/>
  <c r="J149" i="11"/>
  <c r="J89" i="11"/>
  <c r="J14" i="11"/>
  <c r="J224" i="11"/>
  <c r="J161" i="11"/>
  <c r="J78" i="11"/>
  <c r="J285" i="11"/>
  <c r="J221" i="11"/>
  <c r="J151" i="11"/>
  <c r="J75" i="11"/>
  <c r="J282" i="11"/>
  <c r="J218" i="11"/>
  <c r="J74" i="11"/>
  <c r="J287" i="11"/>
  <c r="J91" i="11"/>
  <c r="J23" i="11"/>
  <c r="J268" i="11"/>
  <c r="J204" i="11"/>
  <c r="J20" i="11"/>
  <c r="J191" i="11"/>
  <c r="J304" i="11"/>
  <c r="J303" i="11"/>
  <c r="J190" i="11"/>
  <c r="J257" i="11"/>
  <c r="J193" i="11"/>
  <c r="J289" i="11"/>
  <c r="J169" i="11"/>
  <c r="J288" i="11"/>
  <c r="J305" i="11"/>
  <c r="J172" i="11"/>
  <c r="J137" i="11"/>
  <c r="J67" i="11"/>
  <c r="J9" i="11"/>
  <c r="J80" i="11"/>
  <c r="J174" i="11"/>
  <c r="J52" i="11"/>
  <c r="J275" i="11"/>
  <c r="J211" i="11"/>
  <c r="J142" i="11"/>
  <c r="J69" i="11"/>
  <c r="J11" i="11"/>
  <c r="J216" i="11"/>
  <c r="J72" i="11"/>
  <c r="J277" i="11"/>
  <c r="J213" i="11"/>
  <c r="J138" i="11"/>
  <c r="J71" i="11"/>
  <c r="J274" i="11"/>
  <c r="J210" i="11"/>
  <c r="J115" i="11"/>
  <c r="J279" i="11"/>
  <c r="J87" i="11"/>
  <c r="J10" i="11"/>
  <c r="J265" i="11"/>
  <c r="J201" i="11"/>
  <c r="J294" i="11"/>
  <c r="J175" i="11"/>
  <c r="J297" i="11"/>
  <c r="J300" i="11"/>
  <c r="J166" i="11"/>
  <c r="J244" i="11"/>
  <c r="J180" i="11"/>
  <c r="J273" i="11"/>
  <c r="J122" i="11"/>
  <c r="J272" i="11"/>
  <c r="J298" i="11"/>
  <c r="J168" i="11"/>
  <c r="J131" i="11"/>
  <c r="J63" i="11"/>
  <c r="J159" i="11"/>
  <c r="J73" i="11"/>
  <c r="J126" i="11"/>
  <c r="J49" i="11"/>
  <c r="J267" i="11"/>
  <c r="J203" i="11"/>
  <c r="J133" i="11"/>
  <c r="J59" i="11"/>
  <c r="J7" i="11"/>
  <c r="J208" i="11"/>
  <c r="J145" i="11"/>
  <c r="J65" i="11"/>
  <c r="J269" i="11"/>
  <c r="J205" i="11"/>
  <c r="J135" i="11"/>
  <c r="J54" i="11"/>
  <c r="J266" i="11"/>
  <c r="J202" i="11"/>
  <c r="J111" i="11"/>
  <c r="J51" i="11"/>
  <c r="J157" i="11"/>
  <c r="J70" i="11"/>
  <c r="J6" i="11"/>
  <c r="J194" i="11"/>
  <c r="J252" i="11"/>
  <c r="J188" i="11"/>
  <c r="J281" i="11"/>
  <c r="J171" i="11"/>
  <c r="J290" i="11"/>
  <c r="J296" i="11"/>
  <c r="J152" i="11"/>
  <c r="J241" i="11"/>
  <c r="J177" i="11"/>
  <c r="J263" i="11"/>
  <c r="J68" i="11"/>
  <c r="J140" i="11"/>
  <c r="J262" i="11"/>
  <c r="J136" i="11"/>
  <c r="J127" i="11"/>
  <c r="J46" i="11"/>
  <c r="J143" i="11"/>
  <c r="J120" i="11"/>
  <c r="J259" i="11"/>
  <c r="J195" i="11"/>
  <c r="J123" i="11"/>
  <c r="J55" i="11"/>
  <c r="J264" i="11"/>
  <c r="J200" i="11"/>
  <c r="J35" i="11"/>
  <c r="J261" i="11"/>
  <c r="J197" i="11"/>
  <c r="J118" i="11"/>
  <c r="J48" i="11"/>
  <c r="J258" i="11"/>
  <c r="J101" i="11"/>
  <c r="J37" i="11"/>
  <c r="J150" i="11"/>
  <c r="J64" i="11"/>
  <c r="J249" i="11"/>
  <c r="J185" i="11"/>
  <c r="J271" i="11"/>
  <c r="J124" i="11"/>
  <c r="J280" i="11"/>
  <c r="J270" i="11"/>
  <c r="J76" i="11"/>
  <c r="J228" i="11"/>
  <c r="J173" i="11"/>
  <c r="J247" i="11"/>
  <c r="J50" i="11"/>
  <c r="J114" i="11"/>
  <c r="J246" i="11"/>
  <c r="J42" i="11"/>
  <c r="J110" i="11"/>
  <c r="J40" i="11"/>
  <c r="J117" i="11"/>
  <c r="J43" i="11"/>
  <c r="J113" i="11"/>
  <c r="J19" i="11"/>
  <c r="J251" i="11"/>
  <c r="J187" i="11"/>
  <c r="J119" i="11"/>
  <c r="J45" i="11"/>
  <c r="J256" i="11"/>
  <c r="J192" i="11"/>
  <c r="J129" i="11"/>
  <c r="J21" i="11"/>
  <c r="J253" i="11"/>
  <c r="J189" i="11"/>
  <c r="J112" i="11"/>
  <c r="J44" i="11"/>
  <c r="J250" i="11"/>
  <c r="J186" i="11"/>
  <c r="J94" i="11"/>
  <c r="J30" i="11"/>
  <c r="J60" i="11"/>
  <c r="J236" i="11"/>
  <c r="J160" i="11"/>
  <c r="J255" i="11"/>
  <c r="J66" i="11"/>
  <c r="J116" i="11"/>
  <c r="J254" i="11"/>
  <c r="J58" i="11"/>
  <c r="J225" i="11"/>
  <c r="J162" i="11"/>
  <c r="J231" i="11"/>
  <c r="J310" i="11"/>
  <c r="J82" i="11"/>
  <c r="J230" i="11"/>
  <c r="J104" i="11"/>
  <c r="J36" i="11"/>
  <c r="J107" i="11"/>
  <c r="J29" i="11"/>
  <c r="J83" i="11"/>
  <c r="J8" i="11"/>
  <c r="J243" i="11"/>
  <c r="J179" i="11"/>
  <c r="J102" i="11"/>
  <c r="J38" i="11"/>
  <c r="J248" i="11"/>
  <c r="J184" i="11"/>
  <c r="J18" i="11"/>
  <c r="J245" i="11"/>
  <c r="J181" i="11"/>
  <c r="J108" i="11"/>
  <c r="J41" i="11"/>
  <c r="J242" i="11"/>
  <c r="J178" i="11"/>
  <c r="J88" i="11"/>
  <c r="J24" i="11"/>
  <c r="J134" i="11"/>
  <c r="J57" i="11"/>
  <c r="J233" i="11"/>
  <c r="J146" i="11"/>
  <c r="J239" i="11"/>
  <c r="J34" i="11"/>
  <c r="J98" i="11"/>
  <c r="J238" i="11"/>
  <c r="J286" i="11"/>
  <c r="J212" i="11"/>
  <c r="J148" i="11"/>
  <c r="J215" i="11"/>
  <c r="J306" i="11"/>
  <c r="J28" i="11"/>
  <c r="J214" i="11"/>
  <c r="J156" i="11"/>
  <c r="J100" i="11"/>
  <c r="J33" i="11"/>
  <c r="J103" i="11"/>
  <c r="J22" i="11"/>
  <c r="J79" i="11"/>
  <c r="J299" i="11"/>
  <c r="J235" i="11"/>
  <c r="J165" i="11"/>
  <c r="J96" i="11"/>
  <c r="J32" i="11"/>
  <c r="J240" i="11"/>
  <c r="J176" i="11"/>
  <c r="J99" i="11"/>
  <c r="J301" i="11"/>
  <c r="J237" i="11"/>
  <c r="J167" i="11"/>
  <c r="J105" i="11"/>
  <c r="J31" i="11"/>
  <c r="J234" i="11"/>
  <c r="J84" i="11"/>
  <c r="J13" i="11"/>
  <c r="J128" i="11"/>
  <c r="J144" i="11"/>
  <c r="J47" i="11"/>
  <c r="J61" i="11"/>
  <c r="J170" i="11"/>
  <c r="J155" i="11"/>
  <c r="J109" i="11"/>
  <c r="J125" i="11"/>
  <c r="J163" i="11"/>
  <c r="J77" i="11"/>
  <c r="J141" i="11"/>
  <c r="J147" i="11"/>
  <c r="J139" i="11"/>
  <c r="J85" i="11"/>
  <c r="J39" i="11"/>
  <c r="J53" i="11"/>
  <c r="G15" i="34"/>
  <c r="D5" i="12"/>
  <c r="N5" i="11"/>
  <c r="J5" i="11"/>
  <c r="E33" i="48" s="1"/>
  <c r="D5" i="39"/>
  <c r="G320" i="9"/>
  <c r="O279" i="11" l="1"/>
  <c r="O285" i="11"/>
  <c r="O63" i="11"/>
  <c r="O225" i="11"/>
  <c r="O96" i="11"/>
  <c r="O73" i="11"/>
  <c r="O247" i="11"/>
  <c r="O294" i="11"/>
  <c r="O92" i="11"/>
  <c r="O259" i="11"/>
  <c r="O53" i="11"/>
  <c r="O12" i="11"/>
  <c r="O181" i="11"/>
  <c r="O106" i="11"/>
  <c r="O282" i="11"/>
  <c r="O205" i="11"/>
  <c r="O255" i="11"/>
  <c r="O274" i="11"/>
  <c r="O49" i="11"/>
  <c r="O213" i="11"/>
  <c r="O16" i="11"/>
  <c r="O87" i="11"/>
  <c r="O26" i="11"/>
  <c r="O23" i="11"/>
  <c r="O38" i="11"/>
  <c r="O42" i="11"/>
  <c r="O202" i="11"/>
  <c r="O219" i="11"/>
  <c r="O214" i="11"/>
  <c r="O17" i="11"/>
  <c r="O227" i="11"/>
  <c r="O155" i="11"/>
  <c r="O135" i="11"/>
  <c r="O72" i="11"/>
  <c r="O188" i="11"/>
  <c r="O244" i="11"/>
  <c r="O107" i="11"/>
  <c r="O95" i="11"/>
  <c r="O67" i="11"/>
  <c r="O11" i="11"/>
  <c r="O65" i="11"/>
  <c r="O229" i="11"/>
  <c r="O32" i="11"/>
  <c r="O119" i="11"/>
  <c r="O9" i="11"/>
  <c r="O210" i="11"/>
  <c r="O171" i="11"/>
  <c r="O114" i="11"/>
  <c r="O20" i="11"/>
  <c r="O226" i="11"/>
  <c r="O218" i="11"/>
  <c r="O28" i="11"/>
  <c r="O166" i="11"/>
  <c r="O235" i="11"/>
  <c r="O55" i="11"/>
  <c r="O147" i="11"/>
  <c r="O77" i="11"/>
  <c r="O197" i="11"/>
  <c r="O254" i="11"/>
  <c r="O94" i="11"/>
  <c r="O185" i="11"/>
  <c r="O34" i="11"/>
  <c r="O233" i="11"/>
  <c r="O110" i="11"/>
  <c r="O191" i="11"/>
  <c r="O297" i="11"/>
  <c r="O103" i="11"/>
  <c r="O40" i="11"/>
  <c r="O121" i="11"/>
  <c r="O258" i="11"/>
  <c r="O261" i="11"/>
  <c r="O200" i="11"/>
  <c r="O161" i="11"/>
  <c r="O186" i="11"/>
  <c r="O284" i="11"/>
  <c r="O198" i="11"/>
  <c r="O156" i="11"/>
  <c r="O75" i="11"/>
  <c r="O35" i="11"/>
  <c r="O102" i="11"/>
  <c r="O22" i="11"/>
  <c r="O104" i="11"/>
  <c r="O309" i="11"/>
  <c r="O250" i="11"/>
  <c r="O170" i="11"/>
  <c r="O153" i="11"/>
  <c r="O312" i="11"/>
  <c r="O280" i="11"/>
  <c r="O192" i="11"/>
  <c r="O149" i="11"/>
  <c r="O139" i="11"/>
  <c r="O82" i="11"/>
  <c r="O311" i="11"/>
  <c r="O302" i="11"/>
  <c r="O177" i="11"/>
  <c r="O137" i="11"/>
  <c r="O83" i="11"/>
  <c r="O127" i="11"/>
  <c r="O61" i="11"/>
  <c r="O175" i="11"/>
  <c r="O313" i="11"/>
  <c r="O99" i="11"/>
  <c r="O249" i="11"/>
  <c r="O291" i="11"/>
  <c r="O117" i="11"/>
  <c r="O98" i="11"/>
  <c r="O217" i="11"/>
  <c r="O78" i="11"/>
  <c r="O179" i="11"/>
  <c r="O256" i="11"/>
  <c r="O267" i="11"/>
  <c r="O69" i="11"/>
  <c r="O59" i="11"/>
  <c r="O113" i="11"/>
  <c r="O271" i="11"/>
  <c r="O80" i="11"/>
  <c r="O44" i="11"/>
  <c r="O180" i="11"/>
  <c r="O199" i="11"/>
  <c r="O143" i="11"/>
  <c r="O301" i="11"/>
  <c r="O248" i="11"/>
  <c r="O162" i="11"/>
  <c r="O145" i="11"/>
  <c r="O308" i="11"/>
  <c r="O276" i="11"/>
  <c r="O168" i="11"/>
  <c r="O140" i="11"/>
  <c r="O129" i="11"/>
  <c r="O76" i="11"/>
  <c r="O47" i="11"/>
  <c r="O231" i="11"/>
  <c r="O68" i="11"/>
  <c r="O262" i="11"/>
  <c r="O120" i="11"/>
  <c r="O58" i="11"/>
  <c r="O54" i="11"/>
  <c r="O70" i="11"/>
  <c r="O125" i="11"/>
  <c r="O74" i="11"/>
  <c r="O234" i="11"/>
  <c r="O7" i="11"/>
  <c r="O130" i="11"/>
  <c r="O25" i="11"/>
  <c r="O242" i="11"/>
  <c r="O290" i="11"/>
  <c r="O33" i="11"/>
  <c r="O174" i="11"/>
  <c r="O243" i="11"/>
  <c r="O51" i="11"/>
  <c r="O299" i="11"/>
  <c r="O133" i="11"/>
  <c r="O123" i="11"/>
  <c r="O50" i="11"/>
  <c r="O303" i="11"/>
  <c r="O270" i="11"/>
  <c r="O24" i="11"/>
  <c r="O241" i="11"/>
  <c r="O126" i="11"/>
  <c r="O203" i="11"/>
  <c r="O306" i="11"/>
  <c r="O240" i="11"/>
  <c r="O154" i="11"/>
  <c r="O236" i="11"/>
  <c r="O304" i="11"/>
  <c r="O272" i="11"/>
  <c r="O160" i="11"/>
  <c r="O173" i="11"/>
  <c r="O84" i="11"/>
  <c r="O111" i="11"/>
  <c r="O45" i="11"/>
  <c r="O132" i="11"/>
  <c r="O281" i="11"/>
  <c r="O30" i="11"/>
  <c r="O159" i="11"/>
  <c r="O239" i="11"/>
  <c r="O201" i="11"/>
  <c r="O46" i="11"/>
  <c r="O167" i="11"/>
  <c r="O230" i="11"/>
  <c r="O71" i="11"/>
  <c r="O8" i="11"/>
  <c r="O89" i="11"/>
  <c r="O190" i="11"/>
  <c r="O43" i="11"/>
  <c r="O97" i="11"/>
  <c r="O263" i="11"/>
  <c r="O64" i="11"/>
  <c r="O118" i="11"/>
  <c r="O41" i="11"/>
  <c r="O289" i="11"/>
  <c r="O31" i="11"/>
  <c r="O215" i="11"/>
  <c r="O52" i="11"/>
  <c r="O298" i="11"/>
  <c r="O305" i="11"/>
  <c r="O60" i="11"/>
  <c r="O221" i="11"/>
  <c r="O21" i="11"/>
  <c r="O194" i="11"/>
  <c r="O232" i="11"/>
  <c r="O146" i="11"/>
  <c r="O228" i="11"/>
  <c r="O300" i="11"/>
  <c r="O268" i="11"/>
  <c r="O152" i="11"/>
  <c r="O164" i="11"/>
  <c r="O109" i="11"/>
  <c r="O150" i="11"/>
  <c r="O158" i="11"/>
  <c r="O18" i="11"/>
  <c r="O295" i="11"/>
  <c r="O128" i="11"/>
  <c r="O108" i="11"/>
  <c r="O105" i="11"/>
  <c r="O222" i="11"/>
  <c r="O29" i="11"/>
  <c r="O116" i="11"/>
  <c r="O238" i="11"/>
  <c r="O124" i="11"/>
  <c r="O275" i="11"/>
  <c r="O85" i="11"/>
  <c r="O182" i="11"/>
  <c r="O224" i="11"/>
  <c r="O252" i="11"/>
  <c r="O220" i="11"/>
  <c r="O296" i="11"/>
  <c r="O264" i="11"/>
  <c r="O144" i="11"/>
  <c r="O157" i="11"/>
  <c r="O207" i="11"/>
  <c r="O189" i="11"/>
  <c r="O14" i="11"/>
  <c r="O151" i="11"/>
  <c r="O310" i="11"/>
  <c r="O237" i="11"/>
  <c r="O37" i="11"/>
  <c r="O27" i="11"/>
  <c r="O81" i="11"/>
  <c r="O245" i="11"/>
  <c r="O48" i="11"/>
  <c r="O195" i="11"/>
  <c r="O86" i="11"/>
  <c r="O136" i="11"/>
  <c r="O90" i="11"/>
  <c r="O273" i="11"/>
  <c r="O15" i="11"/>
  <c r="O196" i="11"/>
  <c r="O36" i="11"/>
  <c r="O266" i="11"/>
  <c r="O88" i="11"/>
  <c r="O257" i="11"/>
  <c r="O115" i="11"/>
  <c r="O6" i="11"/>
  <c r="O93" i="11"/>
  <c r="O10" i="11"/>
  <c r="O286" i="11"/>
  <c r="O131" i="11"/>
  <c r="O66" i="11"/>
  <c r="O307" i="11"/>
  <c r="O293" i="11"/>
  <c r="O269" i="11"/>
  <c r="O216" i="11"/>
  <c r="O178" i="11"/>
  <c r="O212" i="11"/>
  <c r="O292" i="11"/>
  <c r="O260" i="11"/>
  <c r="O172" i="11"/>
  <c r="O148" i="11"/>
  <c r="O277" i="11"/>
  <c r="O251" i="11"/>
  <c r="O142" i="11"/>
  <c r="O211" i="11"/>
  <c r="O19" i="11"/>
  <c r="O283" i="11"/>
  <c r="O101" i="11"/>
  <c r="O91" i="11"/>
  <c r="O183" i="11"/>
  <c r="O287" i="11"/>
  <c r="O112" i="11"/>
  <c r="O56" i="11"/>
  <c r="O209" i="11"/>
  <c r="O62" i="11"/>
  <c r="O176" i="11"/>
  <c r="O246" i="11"/>
  <c r="O79" i="11"/>
  <c r="O13" i="11"/>
  <c r="O100" i="11"/>
  <c r="O206" i="11"/>
  <c r="O187" i="11"/>
  <c r="O122" i="11"/>
  <c r="O163" i="11"/>
  <c r="O134" i="11"/>
  <c r="O193" i="11"/>
  <c r="O138" i="11"/>
  <c r="O278" i="11"/>
  <c r="O39" i="11"/>
  <c r="O223" i="11"/>
  <c r="O57" i="11"/>
  <c r="O184" i="11"/>
  <c r="O265" i="11"/>
  <c r="O208" i="11"/>
  <c r="O169" i="11"/>
  <c r="O204" i="11"/>
  <c r="O288" i="11"/>
  <c r="O253" i="11"/>
  <c r="O165" i="11"/>
  <c r="O141" i="11"/>
  <c r="F242" i="12"/>
  <c r="F201" i="12"/>
  <c r="F301" i="12"/>
  <c r="F87" i="12"/>
  <c r="F270" i="12"/>
  <c r="F14" i="12"/>
  <c r="F34" i="12"/>
  <c r="F203" i="12"/>
  <c r="E34" i="48"/>
  <c r="F34" i="48" s="1"/>
  <c r="D314" i="12"/>
  <c r="D314" i="39"/>
  <c r="O5" i="11"/>
  <c r="J314" i="11"/>
  <c r="N314" i="11"/>
  <c r="F315" i="25"/>
  <c r="P278" i="11" l="1"/>
  <c r="F278" i="39"/>
  <c r="P178" i="11"/>
  <c r="F178" i="39"/>
  <c r="P224" i="11"/>
  <c r="F224" i="39"/>
  <c r="P194" i="11"/>
  <c r="F194" i="39"/>
  <c r="P239" i="11"/>
  <c r="F239" i="39"/>
  <c r="P133" i="11"/>
  <c r="F133" i="39"/>
  <c r="P140" i="11"/>
  <c r="F140" i="39"/>
  <c r="P69" i="11"/>
  <c r="F69" i="39"/>
  <c r="P291" i="11"/>
  <c r="F291" i="39"/>
  <c r="P280" i="11"/>
  <c r="F280" i="39"/>
  <c r="P200" i="11"/>
  <c r="F200" i="39"/>
  <c r="P147" i="11"/>
  <c r="F147" i="39"/>
  <c r="P23" i="11"/>
  <c r="F23" i="39"/>
  <c r="P169" i="11"/>
  <c r="F169" i="39"/>
  <c r="P138" i="11"/>
  <c r="F138" i="39"/>
  <c r="P13" i="11"/>
  <c r="F13" i="39"/>
  <c r="P287" i="11"/>
  <c r="F287" i="39"/>
  <c r="P251" i="11"/>
  <c r="F251" i="39"/>
  <c r="P216" i="11"/>
  <c r="F216" i="39"/>
  <c r="P93" i="11"/>
  <c r="F93" i="39"/>
  <c r="P15" i="11"/>
  <c r="F15" i="39"/>
  <c r="P81" i="11"/>
  <c r="F81" i="39"/>
  <c r="P207" i="11"/>
  <c r="F207" i="39"/>
  <c r="P182" i="11"/>
  <c r="F182" i="39"/>
  <c r="P105" i="11"/>
  <c r="F105" i="39"/>
  <c r="P164" i="11"/>
  <c r="F164" i="39"/>
  <c r="P21" i="11"/>
  <c r="F21" i="39"/>
  <c r="P289" i="11"/>
  <c r="F289" i="39"/>
  <c r="P89" i="11"/>
  <c r="F89" i="39"/>
  <c r="P159" i="11"/>
  <c r="F159" i="39"/>
  <c r="P160" i="11"/>
  <c r="F160" i="39"/>
  <c r="P126" i="11"/>
  <c r="F126" i="39"/>
  <c r="P299" i="11"/>
  <c r="F299" i="39"/>
  <c r="P130" i="11"/>
  <c r="F130" i="39"/>
  <c r="P120" i="11"/>
  <c r="F120" i="39"/>
  <c r="P168" i="11"/>
  <c r="F168" i="39"/>
  <c r="P199" i="11"/>
  <c r="F199" i="39"/>
  <c r="P267" i="11"/>
  <c r="F267" i="39"/>
  <c r="P249" i="11"/>
  <c r="F249" i="39"/>
  <c r="P177" i="11"/>
  <c r="F177" i="39"/>
  <c r="P312" i="11"/>
  <c r="F312" i="39"/>
  <c r="P35" i="11"/>
  <c r="F35" i="39"/>
  <c r="P261" i="11"/>
  <c r="F261" i="39"/>
  <c r="P233" i="11"/>
  <c r="F233" i="39"/>
  <c r="P55" i="11"/>
  <c r="F55" i="39"/>
  <c r="P171" i="11"/>
  <c r="F171" i="39"/>
  <c r="P67" i="11"/>
  <c r="F67" i="39"/>
  <c r="P227" i="11"/>
  <c r="F227" i="39"/>
  <c r="P26" i="11"/>
  <c r="F26" i="39"/>
  <c r="P282" i="11"/>
  <c r="F282" i="39"/>
  <c r="P247" i="11"/>
  <c r="F247" i="39"/>
  <c r="P100" i="11"/>
  <c r="F100" i="39"/>
  <c r="P10" i="11"/>
  <c r="F10" i="39"/>
  <c r="P222" i="11"/>
  <c r="F222" i="39"/>
  <c r="P31" i="11"/>
  <c r="F31" i="39"/>
  <c r="P173" i="11"/>
  <c r="F173" i="39"/>
  <c r="P25" i="11"/>
  <c r="F25" i="39"/>
  <c r="P143" i="11"/>
  <c r="F143" i="39"/>
  <c r="P137" i="11"/>
  <c r="F137" i="39"/>
  <c r="P102" i="11"/>
  <c r="F102" i="39"/>
  <c r="P110" i="11"/>
  <c r="F110" i="39"/>
  <c r="P114" i="11"/>
  <c r="F114" i="39"/>
  <c r="P155" i="11"/>
  <c r="F155" i="39"/>
  <c r="P193" i="11"/>
  <c r="F193" i="39"/>
  <c r="P269" i="11"/>
  <c r="F269" i="39"/>
  <c r="P6" i="11"/>
  <c r="F6" i="39"/>
  <c r="P273" i="11"/>
  <c r="F273" i="39"/>
  <c r="P27" i="11"/>
  <c r="F27" i="39"/>
  <c r="P157" i="11"/>
  <c r="F157" i="39"/>
  <c r="P85" i="11"/>
  <c r="F85" i="39"/>
  <c r="P108" i="11"/>
  <c r="F108" i="39"/>
  <c r="P152" i="11"/>
  <c r="F152" i="39"/>
  <c r="P221" i="11"/>
  <c r="F221" i="39"/>
  <c r="P41" i="11"/>
  <c r="F41" i="39"/>
  <c r="P8" i="11"/>
  <c r="F8" i="39"/>
  <c r="P30" i="11"/>
  <c r="F30" i="39"/>
  <c r="P272" i="11"/>
  <c r="F272" i="39"/>
  <c r="P241" i="11"/>
  <c r="F241" i="39"/>
  <c r="P51" i="11"/>
  <c r="F51" i="39"/>
  <c r="P7" i="11"/>
  <c r="F7" i="39"/>
  <c r="P262" i="11"/>
  <c r="F262" i="39"/>
  <c r="P276" i="11"/>
  <c r="F276" i="39"/>
  <c r="P180" i="11"/>
  <c r="F180" i="39"/>
  <c r="P256" i="11"/>
  <c r="F256" i="39"/>
  <c r="P99" i="11"/>
  <c r="F99" i="39"/>
  <c r="P302" i="11"/>
  <c r="F302" i="39"/>
  <c r="P153" i="11"/>
  <c r="F153" i="39"/>
  <c r="P75" i="11"/>
  <c r="F75" i="39"/>
  <c r="P258" i="11"/>
  <c r="F258" i="39"/>
  <c r="P34" i="11"/>
  <c r="F34" i="39"/>
  <c r="P235" i="11"/>
  <c r="F235" i="39"/>
  <c r="P210" i="11"/>
  <c r="F210" i="39"/>
  <c r="P95" i="11"/>
  <c r="F95" i="39"/>
  <c r="P17" i="11"/>
  <c r="F17" i="39"/>
  <c r="P87" i="11"/>
  <c r="F87" i="39"/>
  <c r="P106" i="11"/>
  <c r="F106" i="39"/>
  <c r="P73" i="11"/>
  <c r="F73" i="39"/>
  <c r="P142" i="11"/>
  <c r="F142" i="39"/>
  <c r="P109" i="11"/>
  <c r="F109" i="39"/>
  <c r="P58" i="11"/>
  <c r="F58" i="39"/>
  <c r="P11" i="11"/>
  <c r="F11" i="39"/>
  <c r="F58" i="12"/>
  <c r="P265" i="11"/>
  <c r="F265" i="39"/>
  <c r="P134" i="11"/>
  <c r="F134" i="39"/>
  <c r="P246" i="11"/>
  <c r="F246" i="39"/>
  <c r="P91" i="11"/>
  <c r="F91" i="39"/>
  <c r="P148" i="11"/>
  <c r="F148" i="39"/>
  <c r="P293" i="11"/>
  <c r="F293" i="39"/>
  <c r="P115" i="11"/>
  <c r="F115" i="39"/>
  <c r="P90" i="11"/>
  <c r="F90" i="39"/>
  <c r="P37" i="11"/>
  <c r="F37" i="39"/>
  <c r="P144" i="11"/>
  <c r="F144" i="39"/>
  <c r="P275" i="11"/>
  <c r="F275" i="39"/>
  <c r="P128" i="11"/>
  <c r="F128" i="39"/>
  <c r="P268" i="11"/>
  <c r="F268" i="39"/>
  <c r="P60" i="11"/>
  <c r="F60" i="39"/>
  <c r="P118" i="11"/>
  <c r="F118" i="39"/>
  <c r="P71" i="11"/>
  <c r="F71" i="39"/>
  <c r="P281" i="11"/>
  <c r="F281" i="39"/>
  <c r="P304" i="11"/>
  <c r="F304" i="39"/>
  <c r="P24" i="11"/>
  <c r="F24" i="39"/>
  <c r="P243" i="11"/>
  <c r="F243" i="39"/>
  <c r="P234" i="11"/>
  <c r="F234" i="39"/>
  <c r="P68" i="11"/>
  <c r="F68" i="39"/>
  <c r="P308" i="11"/>
  <c r="F308" i="39"/>
  <c r="P44" i="11"/>
  <c r="F44" i="39"/>
  <c r="P179" i="11"/>
  <c r="F179" i="39"/>
  <c r="P313" i="11"/>
  <c r="F313" i="39"/>
  <c r="P311" i="11"/>
  <c r="F311" i="39"/>
  <c r="P170" i="11"/>
  <c r="F170" i="39"/>
  <c r="P156" i="11"/>
  <c r="F156" i="39"/>
  <c r="P121" i="11"/>
  <c r="F121" i="39"/>
  <c r="P185" i="11"/>
  <c r="F185" i="39"/>
  <c r="P166" i="11"/>
  <c r="F166" i="39"/>
  <c r="P9" i="11"/>
  <c r="F9" i="39"/>
  <c r="P107" i="11"/>
  <c r="F107" i="39"/>
  <c r="P214" i="11"/>
  <c r="F214" i="39"/>
  <c r="P16" i="11"/>
  <c r="F16" i="39"/>
  <c r="P181" i="11"/>
  <c r="F181" i="39"/>
  <c r="P96" i="11"/>
  <c r="F96" i="39"/>
  <c r="P204" i="11"/>
  <c r="F204" i="39"/>
  <c r="P189" i="11"/>
  <c r="F189" i="39"/>
  <c r="P203" i="11"/>
  <c r="F203" i="39"/>
  <c r="P205" i="11"/>
  <c r="F205" i="39"/>
  <c r="P208" i="11"/>
  <c r="F208" i="39"/>
  <c r="P277" i="11"/>
  <c r="F277" i="39"/>
  <c r="P184" i="11"/>
  <c r="F184" i="39"/>
  <c r="P101" i="11"/>
  <c r="F101" i="39"/>
  <c r="P307" i="11"/>
  <c r="F307" i="39"/>
  <c r="P136" i="11"/>
  <c r="F136" i="39"/>
  <c r="P237" i="11"/>
  <c r="F237" i="39"/>
  <c r="P264" i="11"/>
  <c r="F264" i="39"/>
  <c r="P295" i="11"/>
  <c r="F295" i="39"/>
  <c r="P300" i="11"/>
  <c r="F300" i="39"/>
  <c r="P305" i="11"/>
  <c r="F305" i="39"/>
  <c r="P64" i="11"/>
  <c r="F64" i="39"/>
  <c r="P230" i="11"/>
  <c r="F230" i="39"/>
  <c r="P132" i="11"/>
  <c r="F132" i="39"/>
  <c r="P236" i="11"/>
  <c r="F236" i="39"/>
  <c r="P270" i="11"/>
  <c r="F270" i="39"/>
  <c r="P174" i="11"/>
  <c r="F174" i="39"/>
  <c r="P74" i="11"/>
  <c r="F74" i="39"/>
  <c r="P231" i="11"/>
  <c r="F231" i="39"/>
  <c r="P145" i="11"/>
  <c r="F145" i="39"/>
  <c r="P80" i="11"/>
  <c r="F80" i="39"/>
  <c r="P78" i="11"/>
  <c r="F78" i="39"/>
  <c r="P175" i="11"/>
  <c r="F175" i="39"/>
  <c r="P82" i="11"/>
  <c r="F82" i="39"/>
  <c r="P250" i="11"/>
  <c r="F250" i="39"/>
  <c r="P198" i="11"/>
  <c r="F198" i="39"/>
  <c r="P40" i="11"/>
  <c r="F40" i="39"/>
  <c r="P94" i="11"/>
  <c r="F94" i="39"/>
  <c r="P28" i="11"/>
  <c r="F28" i="39"/>
  <c r="P119" i="11"/>
  <c r="F119" i="39"/>
  <c r="P244" i="11"/>
  <c r="F244" i="39"/>
  <c r="P219" i="11"/>
  <c r="F219" i="39"/>
  <c r="P213" i="11"/>
  <c r="F213" i="39"/>
  <c r="P12" i="11"/>
  <c r="F12" i="39"/>
  <c r="P225" i="11"/>
  <c r="F225" i="39"/>
  <c r="P245" i="11"/>
  <c r="F245" i="39"/>
  <c r="P183" i="11"/>
  <c r="F183" i="39"/>
  <c r="F5" i="12"/>
  <c r="F5" i="39"/>
  <c r="F147" i="12"/>
  <c r="P163" i="11"/>
  <c r="F163" i="39"/>
  <c r="P176" i="11"/>
  <c r="F176" i="39"/>
  <c r="P172" i="11"/>
  <c r="F172" i="39"/>
  <c r="P257" i="11"/>
  <c r="F257" i="39"/>
  <c r="P124" i="11"/>
  <c r="F124" i="39"/>
  <c r="F224" i="12"/>
  <c r="P165" i="11"/>
  <c r="F165" i="39"/>
  <c r="P57" i="11"/>
  <c r="F57" i="39"/>
  <c r="P122" i="11"/>
  <c r="F122" i="39"/>
  <c r="P62" i="11"/>
  <c r="F62" i="39"/>
  <c r="P283" i="11"/>
  <c r="F283" i="39"/>
  <c r="P260" i="11"/>
  <c r="F260" i="39"/>
  <c r="P66" i="11"/>
  <c r="F66" i="39"/>
  <c r="P88" i="11"/>
  <c r="F88" i="39"/>
  <c r="P86" i="11"/>
  <c r="F86" i="39"/>
  <c r="P310" i="11"/>
  <c r="F310" i="39"/>
  <c r="P296" i="11"/>
  <c r="F296" i="39"/>
  <c r="P238" i="11"/>
  <c r="F238" i="39"/>
  <c r="P18" i="11"/>
  <c r="F18" i="39"/>
  <c r="P228" i="11"/>
  <c r="F228" i="39"/>
  <c r="P298" i="11"/>
  <c r="F298" i="39"/>
  <c r="P263" i="11"/>
  <c r="F263" i="39"/>
  <c r="P167" i="11"/>
  <c r="F167" i="39"/>
  <c r="P45" i="11"/>
  <c r="F45" i="39"/>
  <c r="P154" i="11"/>
  <c r="F154" i="39"/>
  <c r="P303" i="11"/>
  <c r="F303" i="39"/>
  <c r="P33" i="11"/>
  <c r="F33" i="39"/>
  <c r="P125" i="11"/>
  <c r="F125" i="39"/>
  <c r="P47" i="11"/>
  <c r="F47" i="39"/>
  <c r="P162" i="11"/>
  <c r="F162" i="39"/>
  <c r="P271" i="11"/>
  <c r="F271" i="39"/>
  <c r="P217" i="11"/>
  <c r="F217" i="39"/>
  <c r="P61" i="11"/>
  <c r="F61" i="12"/>
  <c r="F61" i="39"/>
  <c r="P139" i="11"/>
  <c r="F139" i="39"/>
  <c r="P309" i="11"/>
  <c r="F309" i="39"/>
  <c r="P284" i="11"/>
  <c r="F284" i="39"/>
  <c r="P103" i="11"/>
  <c r="F103" i="39"/>
  <c r="P254" i="11"/>
  <c r="F254" i="39"/>
  <c r="P218" i="11"/>
  <c r="F218" i="39"/>
  <c r="P32" i="11"/>
  <c r="F32" i="39"/>
  <c r="P188" i="11"/>
  <c r="F188" i="39"/>
  <c r="P202" i="11"/>
  <c r="F202" i="39"/>
  <c r="P49" i="11"/>
  <c r="F49" i="39"/>
  <c r="P53" i="11"/>
  <c r="F53" i="39"/>
  <c r="P63" i="11"/>
  <c r="F63" i="39"/>
  <c r="P112" i="11"/>
  <c r="F112" i="39"/>
  <c r="P190" i="11"/>
  <c r="F190" i="39"/>
  <c r="P294" i="11"/>
  <c r="F294" i="39"/>
  <c r="P79" i="11"/>
  <c r="F79" i="39"/>
  <c r="P141" i="11"/>
  <c r="F141" i="39"/>
  <c r="P253" i="11"/>
  <c r="F253" i="39"/>
  <c r="P131" i="11"/>
  <c r="F131" i="39"/>
  <c r="P220" i="11"/>
  <c r="F220" i="39"/>
  <c r="P146" i="11"/>
  <c r="F146" i="39"/>
  <c r="P52" i="11"/>
  <c r="F52" i="39"/>
  <c r="P46" i="11"/>
  <c r="F46" i="39"/>
  <c r="P111" i="11"/>
  <c r="F111" i="39"/>
  <c r="P240" i="11"/>
  <c r="F240" i="39"/>
  <c r="P50" i="11"/>
  <c r="F50" i="39"/>
  <c r="P290" i="11"/>
  <c r="F290" i="39"/>
  <c r="P70" i="11"/>
  <c r="F70" i="39"/>
  <c r="P76" i="11"/>
  <c r="F76" i="39"/>
  <c r="P248" i="11"/>
  <c r="F248" i="39"/>
  <c r="P113" i="11"/>
  <c r="F113" i="39"/>
  <c r="P98" i="11"/>
  <c r="F98" i="39"/>
  <c r="P127" i="11"/>
  <c r="F127" i="39"/>
  <c r="P149" i="11"/>
  <c r="F149" i="39"/>
  <c r="P104" i="11"/>
  <c r="F104" i="39"/>
  <c r="P186" i="11"/>
  <c r="F186" i="39"/>
  <c r="P297" i="11"/>
  <c r="F297" i="39"/>
  <c r="P197" i="11"/>
  <c r="F197" i="39"/>
  <c r="P226" i="11"/>
  <c r="F226" i="39"/>
  <c r="P229" i="11"/>
  <c r="F229" i="39"/>
  <c r="P72" i="11"/>
  <c r="F72" i="39"/>
  <c r="P42" i="11"/>
  <c r="F42" i="39"/>
  <c r="P274" i="11"/>
  <c r="F274" i="39"/>
  <c r="P259" i="11"/>
  <c r="F259" i="39"/>
  <c r="P285" i="11"/>
  <c r="F285" i="39"/>
  <c r="P196" i="11"/>
  <c r="F196" i="39"/>
  <c r="F10" i="12"/>
  <c r="P223" i="11"/>
  <c r="F223" i="39"/>
  <c r="P187" i="11"/>
  <c r="F187" i="39"/>
  <c r="P209" i="11"/>
  <c r="F209" i="39"/>
  <c r="P19" i="11"/>
  <c r="F19" i="39"/>
  <c r="P292" i="11"/>
  <c r="F292" i="39"/>
  <c r="P266" i="11"/>
  <c r="F266" i="39"/>
  <c r="P195" i="11"/>
  <c r="F195" i="39"/>
  <c r="P151" i="11"/>
  <c r="F151" i="39"/>
  <c r="P116" i="11"/>
  <c r="F116" i="39"/>
  <c r="P158" i="11"/>
  <c r="F158" i="39"/>
  <c r="P97" i="11"/>
  <c r="F97" i="39"/>
  <c r="F111" i="12"/>
  <c r="P288" i="11"/>
  <c r="F288" i="39"/>
  <c r="P39" i="11"/>
  <c r="F39" i="39"/>
  <c r="P206" i="11"/>
  <c r="F206" i="39"/>
  <c r="P56" i="11"/>
  <c r="F56" i="39"/>
  <c r="P211" i="11"/>
  <c r="F211" i="39"/>
  <c r="P212" i="11"/>
  <c r="F212" i="39"/>
  <c r="P286" i="11"/>
  <c r="F286" i="39"/>
  <c r="P36" i="11"/>
  <c r="F36" i="39"/>
  <c r="P48" i="11"/>
  <c r="F48" i="39"/>
  <c r="P14" i="11"/>
  <c r="F14" i="39"/>
  <c r="P252" i="11"/>
  <c r="F252" i="39"/>
  <c r="P29" i="11"/>
  <c r="F29" i="39"/>
  <c r="P150" i="11"/>
  <c r="F150" i="39"/>
  <c r="P232" i="11"/>
  <c r="F232" i="39"/>
  <c r="P215" i="11"/>
  <c r="F215" i="39"/>
  <c r="P43" i="11"/>
  <c r="F43" i="39"/>
  <c r="P201" i="11"/>
  <c r="F201" i="39"/>
  <c r="P84" i="11"/>
  <c r="F84" i="39"/>
  <c r="P306" i="11"/>
  <c r="F306" i="39"/>
  <c r="P123" i="11"/>
  <c r="F123" i="39"/>
  <c r="P242" i="11"/>
  <c r="F242" i="39"/>
  <c r="P54" i="11"/>
  <c r="F54" i="39"/>
  <c r="P129" i="11"/>
  <c r="F129" i="39"/>
  <c r="P301" i="11"/>
  <c r="F301" i="39"/>
  <c r="P59" i="11"/>
  <c r="F59" i="39"/>
  <c r="P117" i="11"/>
  <c r="F117" i="39"/>
  <c r="P83" i="11"/>
  <c r="F83" i="39"/>
  <c r="P192" i="11"/>
  <c r="F192" i="39"/>
  <c r="P22" i="11"/>
  <c r="F22" i="39"/>
  <c r="P161" i="11"/>
  <c r="F161" i="39"/>
  <c r="P191" i="11"/>
  <c r="F191" i="39"/>
  <c r="P77" i="11"/>
  <c r="F77" i="39"/>
  <c r="P20" i="11"/>
  <c r="F20" i="39"/>
  <c r="P65" i="11"/>
  <c r="F65" i="39"/>
  <c r="P135" i="11"/>
  <c r="F135" i="39"/>
  <c r="P38" i="11"/>
  <c r="F38" i="39"/>
  <c r="P255" i="11"/>
  <c r="F255" i="39"/>
  <c r="P92" i="11"/>
  <c r="F92" i="39"/>
  <c r="P279" i="11"/>
  <c r="F279" i="39"/>
  <c r="F151" i="12"/>
  <c r="F103" i="12"/>
  <c r="F26" i="12"/>
  <c r="F52" i="12"/>
  <c r="F259" i="12"/>
  <c r="F284" i="12"/>
  <c r="F208" i="12"/>
  <c r="F127" i="12"/>
  <c r="F139" i="12"/>
  <c r="F273" i="12"/>
  <c r="F275" i="12"/>
  <c r="F79" i="12"/>
  <c r="F67" i="12"/>
  <c r="F195" i="12"/>
  <c r="F272" i="12"/>
  <c r="F312" i="12"/>
  <c r="F276" i="12"/>
  <c r="F258" i="12"/>
  <c r="F251" i="12"/>
  <c r="F86" i="12"/>
  <c r="F163" i="12"/>
  <c r="F246" i="12"/>
  <c r="F71" i="12"/>
  <c r="F122" i="12"/>
  <c r="F293" i="12"/>
  <c r="F257" i="12"/>
  <c r="F91" i="12"/>
  <c r="F40" i="12"/>
  <c r="F281" i="12"/>
  <c r="F83" i="12"/>
  <c r="F130" i="12"/>
  <c r="F92" i="12"/>
  <c r="F145" i="12"/>
  <c r="F105" i="12"/>
  <c r="F274" i="12"/>
  <c r="F44" i="12"/>
  <c r="F140" i="12"/>
  <c r="F23" i="12"/>
  <c r="F25" i="12"/>
  <c r="F22" i="12"/>
  <c r="F262" i="12"/>
  <c r="F21" i="12"/>
  <c r="F216" i="12"/>
  <c r="F11" i="12"/>
  <c r="F137" i="12"/>
  <c r="F304" i="12"/>
  <c r="F7" i="12"/>
  <c r="F17" i="12"/>
  <c r="F172" i="12"/>
  <c r="F302" i="12"/>
  <c r="F68" i="12"/>
  <c r="F101" i="12"/>
  <c r="F13" i="12"/>
  <c r="F66" i="12"/>
  <c r="F54" i="12"/>
  <c r="F211" i="12"/>
  <c r="F94" i="12"/>
  <c r="F109" i="12"/>
  <c r="F15" i="12"/>
  <c r="F159" i="12"/>
  <c r="F59" i="12"/>
  <c r="F110" i="12"/>
  <c r="F53" i="12"/>
  <c r="F107" i="12"/>
  <c r="F232" i="12"/>
  <c r="F97" i="12"/>
  <c r="F115" i="12"/>
  <c r="F100" i="12"/>
  <c r="F197" i="12"/>
  <c r="F310" i="12"/>
  <c r="F76" i="12"/>
  <c r="F9" i="12"/>
  <c r="F169" i="12"/>
  <c r="F179" i="12"/>
  <c r="F219" i="12"/>
  <c r="F188" i="12"/>
  <c r="F77" i="12"/>
  <c r="F96" i="12"/>
  <c r="F256" i="12"/>
  <c r="F171" i="12"/>
  <c r="F234" i="12"/>
  <c r="F198" i="12"/>
  <c r="F133" i="12"/>
  <c r="F65" i="12"/>
  <c r="F104" i="12"/>
  <c r="F32" i="12"/>
  <c r="F106" i="12"/>
  <c r="F143" i="12"/>
  <c r="F206" i="12"/>
  <c r="F141" i="12"/>
  <c r="F212" i="12"/>
  <c r="F80" i="12"/>
  <c r="F231" i="12"/>
  <c r="F174" i="12"/>
  <c r="F249" i="12"/>
  <c r="F51" i="12"/>
  <c r="F200" i="12"/>
  <c r="F24" i="12"/>
  <c r="F129" i="12"/>
  <c r="F123" i="12"/>
  <c r="F132" i="12"/>
  <c r="F291" i="12"/>
  <c r="F30" i="12"/>
  <c r="F20" i="12"/>
  <c r="F202" i="12"/>
  <c r="F136" i="12"/>
  <c r="F181" i="12"/>
  <c r="F12" i="12"/>
  <c r="F191" i="12"/>
  <c r="F102" i="12"/>
  <c r="F50" i="12"/>
  <c r="F209" i="12"/>
  <c r="F155" i="12"/>
  <c r="F237" i="12"/>
  <c r="F74" i="12"/>
  <c r="F292" i="12"/>
  <c r="F167" i="12"/>
  <c r="F31" i="12"/>
  <c r="F177" i="12"/>
  <c r="F161" i="12"/>
  <c r="F46" i="12"/>
  <c r="F164" i="12"/>
  <c r="F255" i="12"/>
  <c r="F280" i="12"/>
  <c r="F221" i="12"/>
  <c r="F244" i="12"/>
  <c r="F229" i="12"/>
  <c r="F271" i="12"/>
  <c r="F63" i="12"/>
  <c r="F168" i="12"/>
  <c r="F235" i="12"/>
  <c r="F307" i="12"/>
  <c r="F28" i="12"/>
  <c r="F124" i="12"/>
  <c r="F308" i="12"/>
  <c r="F207" i="12"/>
  <c r="F33" i="12"/>
  <c r="F248" i="12"/>
  <c r="F119" i="12"/>
  <c r="F81" i="12"/>
  <c r="F266" i="12"/>
  <c r="F243" i="12"/>
  <c r="F306" i="12"/>
  <c r="F38" i="12"/>
  <c r="F176" i="12"/>
  <c r="F269" i="12"/>
  <c r="F72" i="12"/>
  <c r="F131" i="12"/>
  <c r="F190" i="12"/>
  <c r="F16" i="12"/>
  <c r="F226" i="12"/>
  <c r="F173" i="12"/>
  <c r="F150" i="12"/>
  <c r="F185" i="12"/>
  <c r="F279" i="12"/>
  <c r="F166" i="12"/>
  <c r="F290" i="12"/>
  <c r="F230" i="12"/>
  <c r="F157" i="12"/>
  <c r="F84" i="12"/>
  <c r="F19" i="12"/>
  <c r="F47" i="12"/>
  <c r="F225" i="12"/>
  <c r="F60" i="12"/>
  <c r="F90" i="12"/>
  <c r="F261" i="12"/>
  <c r="F45" i="12"/>
  <c r="F239" i="12"/>
  <c r="F204" i="12"/>
  <c r="F194" i="12"/>
  <c r="F128" i="12"/>
  <c r="F82" i="12"/>
  <c r="F165" i="12"/>
  <c r="F125" i="12"/>
  <c r="F35" i="12"/>
  <c r="F160" i="12"/>
  <c r="F205" i="12"/>
  <c r="F289" i="12"/>
  <c r="F85" i="12"/>
  <c r="F313" i="12"/>
  <c r="F43" i="12"/>
  <c r="F41" i="12"/>
  <c r="F222" i="12"/>
  <c r="F286" i="12"/>
  <c r="F282" i="12"/>
  <c r="F142" i="12"/>
  <c r="F268" i="12"/>
  <c r="F93" i="12"/>
  <c r="F138" i="12"/>
  <c r="F260" i="12"/>
  <c r="F253" i="12"/>
  <c r="F158" i="12"/>
  <c r="F300" i="12"/>
  <c r="F75" i="12"/>
  <c r="F6" i="12"/>
  <c r="F57" i="12"/>
  <c r="F305" i="12"/>
  <c r="F254" i="12"/>
  <c r="F263" i="12"/>
  <c r="F250" i="12"/>
  <c r="F156" i="12"/>
  <c r="F278" i="12"/>
  <c r="F223" i="12"/>
  <c r="F182" i="12"/>
  <c r="F117" i="12"/>
  <c r="F186" i="12"/>
  <c r="F120" i="12"/>
  <c r="F175" i="12"/>
  <c r="F48" i="12"/>
  <c r="F134" i="12"/>
  <c r="F241" i="12"/>
  <c r="F220" i="12"/>
  <c r="F56" i="12"/>
  <c r="F183" i="12"/>
  <c r="F252" i="12"/>
  <c r="F309" i="12"/>
  <c r="F199" i="12"/>
  <c r="F227" i="12"/>
  <c r="F311" i="12"/>
  <c r="F113" i="12"/>
  <c r="F36" i="12"/>
  <c r="F37" i="12"/>
  <c r="F285" i="12"/>
  <c r="F146" i="12"/>
  <c r="F294" i="12"/>
  <c r="F135" i="12"/>
  <c r="F121" i="12"/>
  <c r="F297" i="12"/>
  <c r="F154" i="12"/>
  <c r="F247" i="12"/>
  <c r="F29" i="12"/>
  <c r="F89" i="12"/>
  <c r="F215" i="12"/>
  <c r="F217" i="12"/>
  <c r="F287" i="12"/>
  <c r="F214" i="12"/>
  <c r="F149" i="12"/>
  <c r="F218" i="12"/>
  <c r="F152" i="12"/>
  <c r="F162" i="12"/>
  <c r="F213" i="12"/>
  <c r="F39" i="12"/>
  <c r="F108" i="12"/>
  <c r="F196" i="12"/>
  <c r="F240" i="12"/>
  <c r="F116" i="12"/>
  <c r="F277" i="12"/>
  <c r="F238" i="12"/>
  <c r="F184" i="12"/>
  <c r="F18" i="12"/>
  <c r="F153" i="12"/>
  <c r="F187" i="12"/>
  <c r="F64" i="12"/>
  <c r="F114" i="12"/>
  <c r="F178" i="12"/>
  <c r="F112" i="12"/>
  <c r="F78" i="12"/>
  <c r="F62" i="12"/>
  <c r="F95" i="12"/>
  <c r="F118" i="12"/>
  <c r="F73" i="12"/>
  <c r="F126" i="12"/>
  <c r="F233" i="12"/>
  <c r="F170" i="12"/>
  <c r="F298" i="12"/>
  <c r="F264" i="12"/>
  <c r="F296" i="12"/>
  <c r="F288" i="12"/>
  <c r="F193" i="12"/>
  <c r="F265" i="12"/>
  <c r="F27" i="12"/>
  <c r="F49" i="12"/>
  <c r="F148" i="12"/>
  <c r="F88" i="12"/>
  <c r="F180" i="12"/>
  <c r="F69" i="12"/>
  <c r="F98" i="12"/>
  <c r="F210" i="12"/>
  <c r="F144" i="12"/>
  <c r="F99" i="12"/>
  <c r="F8" i="12"/>
  <c r="F189" i="12"/>
  <c r="F228" i="12"/>
  <c r="F236" i="12"/>
  <c r="F283" i="12"/>
  <c r="F245" i="12"/>
  <c r="F192" i="12"/>
  <c r="F299" i="12"/>
  <c r="F55" i="12"/>
  <c r="F295" i="12"/>
  <c r="F42" i="12"/>
  <c r="F70" i="12"/>
  <c r="F303" i="12"/>
  <c r="F267" i="12"/>
  <c r="H33" i="25"/>
  <c r="H206" i="25"/>
  <c r="H172" i="25"/>
  <c r="H155" i="25"/>
  <c r="H199" i="25"/>
  <c r="H166" i="25"/>
  <c r="H134" i="25"/>
  <c r="H17" i="25"/>
  <c r="H177" i="25"/>
  <c r="H300" i="25"/>
  <c r="H41" i="25"/>
  <c r="H197" i="25"/>
  <c r="H89" i="25"/>
  <c r="H215" i="25"/>
  <c r="H219" i="25"/>
  <c r="H223" i="25"/>
  <c r="H196" i="25"/>
  <c r="H180" i="25"/>
  <c r="H163" i="25"/>
  <c r="H147" i="25"/>
  <c r="H32" i="25"/>
  <c r="H191" i="25"/>
  <c r="H175" i="25"/>
  <c r="H158" i="25"/>
  <c r="H127" i="25"/>
  <c r="H112" i="25"/>
  <c r="H92" i="25"/>
  <c r="H190" i="25"/>
  <c r="H212" i="25"/>
  <c r="H7" i="25"/>
  <c r="H268" i="25"/>
  <c r="H25" i="25"/>
  <c r="H224" i="25"/>
  <c r="H210" i="25"/>
  <c r="H222" i="25"/>
  <c r="H214" i="25"/>
  <c r="H192" i="25"/>
  <c r="H176" i="25"/>
  <c r="H159" i="25"/>
  <c r="H143" i="25"/>
  <c r="H35" i="25"/>
  <c r="H203" i="25"/>
  <c r="H187" i="25"/>
  <c r="H171" i="25"/>
  <c r="H154" i="25"/>
  <c r="H138" i="25"/>
  <c r="H124" i="25"/>
  <c r="H108" i="25"/>
  <c r="H24" i="25"/>
  <c r="H91" i="25"/>
  <c r="H174" i="25"/>
  <c r="H193" i="25"/>
  <c r="H128" i="25"/>
  <c r="H64" i="25"/>
  <c r="H93" i="25"/>
  <c r="H252" i="25"/>
  <c r="H303" i="25"/>
  <c r="H237" i="25"/>
  <c r="H50" i="25"/>
  <c r="H80" i="25"/>
  <c r="H29" i="25"/>
  <c r="H153" i="25"/>
  <c r="H173" i="25"/>
  <c r="H306" i="25"/>
  <c r="H240" i="25"/>
  <c r="H145" i="25"/>
  <c r="H309" i="25"/>
  <c r="H245" i="25"/>
  <c r="H148" i="25"/>
  <c r="H304" i="25"/>
  <c r="H238" i="25"/>
  <c r="H291" i="25"/>
  <c r="H45" i="25"/>
  <c r="H95" i="25"/>
  <c r="H266" i="25"/>
  <c r="H301" i="25"/>
  <c r="H233" i="25"/>
  <c r="H26" i="25"/>
  <c r="H76" i="25"/>
  <c r="H254" i="25"/>
  <c r="H305" i="25"/>
  <c r="H239" i="25"/>
  <c r="H86" i="25"/>
  <c r="H47" i="25"/>
  <c r="H260" i="25"/>
  <c r="H295" i="25"/>
  <c r="H74" i="25"/>
  <c r="H122" i="25"/>
  <c r="H152" i="25"/>
  <c r="H264" i="25"/>
  <c r="H299" i="25"/>
  <c r="H37" i="25"/>
  <c r="H201" i="25"/>
  <c r="H36" i="25"/>
  <c r="H102" i="25"/>
  <c r="H68" i="25"/>
  <c r="H310" i="25"/>
  <c r="H246" i="25"/>
  <c r="H281" i="25"/>
  <c r="H51" i="25"/>
  <c r="H217" i="25"/>
  <c r="H69" i="25"/>
  <c r="H101" i="25"/>
  <c r="H77" i="25"/>
  <c r="H55" i="25"/>
  <c r="H65" i="25"/>
  <c r="H57" i="25"/>
  <c r="H113" i="25"/>
  <c r="H97" i="25"/>
  <c r="H42" i="25"/>
  <c r="H104" i="25"/>
  <c r="H114" i="25"/>
  <c r="H287" i="25"/>
  <c r="H48" i="25"/>
  <c r="H156" i="25"/>
  <c r="H194" i="25"/>
  <c r="H293" i="25"/>
  <c r="H132" i="25"/>
  <c r="H288" i="25"/>
  <c r="H126" i="25"/>
  <c r="H285" i="25"/>
  <c r="H314" i="25"/>
  <c r="H250" i="25"/>
  <c r="H269" i="25"/>
  <c r="H244" i="25"/>
  <c r="H60" i="25"/>
  <c r="H302" i="25"/>
  <c r="H236" i="25"/>
  <c r="H289" i="25"/>
  <c r="H43" i="25"/>
  <c r="H70" i="25"/>
  <c r="H308" i="25"/>
  <c r="H242" i="25"/>
  <c r="H279" i="25"/>
  <c r="H58" i="25"/>
  <c r="H182" i="25"/>
  <c r="H312" i="25"/>
  <c r="H248" i="25"/>
  <c r="H283" i="25"/>
  <c r="H198" i="25"/>
  <c r="H168" i="25"/>
  <c r="H87" i="25"/>
  <c r="H46" i="25"/>
  <c r="H52" i="25"/>
  <c r="H294" i="25"/>
  <c r="H21" i="25"/>
  <c r="H265" i="25"/>
  <c r="H220" i="25"/>
  <c r="H123" i="25"/>
  <c r="H53" i="25"/>
  <c r="H79" i="25"/>
  <c r="H61" i="25"/>
  <c r="H119" i="25"/>
  <c r="H49" i="25"/>
  <c r="H59" i="25"/>
  <c r="H6" i="25"/>
  <c r="O314" i="11"/>
  <c r="P314" i="11" s="1"/>
  <c r="F314" i="39" s="1"/>
  <c r="H232" i="25"/>
  <c r="H230" i="25"/>
  <c r="H188" i="25"/>
  <c r="H139" i="25"/>
  <c r="H183" i="25"/>
  <c r="H150" i="25"/>
  <c r="H120" i="25"/>
  <c r="H99" i="25"/>
  <c r="H157" i="25"/>
  <c r="H19" i="25"/>
  <c r="H234" i="25"/>
  <c r="H208" i="25"/>
  <c r="H202" i="25"/>
  <c r="H137" i="25"/>
  <c r="H290" i="25"/>
  <c r="H129" i="25"/>
  <c r="H275" i="25"/>
  <c r="H31" i="25"/>
  <c r="H207" i="25"/>
  <c r="H227" i="25"/>
  <c r="H205" i="25"/>
  <c r="H231" i="25"/>
  <c r="H184" i="25"/>
  <c r="H167" i="25"/>
  <c r="H135" i="25"/>
  <c r="H38" i="25"/>
  <c r="H195" i="25"/>
  <c r="H179" i="25"/>
  <c r="H162" i="25"/>
  <c r="H146" i="25"/>
  <c r="H130" i="25"/>
  <c r="H116" i="25"/>
  <c r="H100" i="25"/>
  <c r="H13" i="25"/>
  <c r="H211" i="25"/>
  <c r="H141" i="25"/>
  <c r="H160" i="25"/>
  <c r="H22" i="25"/>
  <c r="H78" i="25"/>
  <c r="H284" i="25"/>
  <c r="H94" i="25"/>
  <c r="H271" i="25"/>
  <c r="H82" i="25"/>
  <c r="H140" i="25"/>
  <c r="H62" i="25"/>
  <c r="H186" i="25"/>
  <c r="H28" i="25"/>
  <c r="H125" i="25"/>
  <c r="H274" i="25"/>
  <c r="H178" i="25"/>
  <c r="H40" i="25"/>
  <c r="H277" i="25"/>
  <c r="H181" i="25"/>
  <c r="H11" i="25"/>
  <c r="H272" i="25"/>
  <c r="H16" i="25"/>
  <c r="H259" i="25"/>
  <c r="H235" i="25"/>
  <c r="H298" i="25"/>
  <c r="H90" i="25"/>
  <c r="H253" i="25"/>
  <c r="H72" i="25"/>
  <c r="H204" i="25"/>
  <c r="H286" i="25"/>
  <c r="H98" i="25"/>
  <c r="H273" i="25"/>
  <c r="H226" i="25"/>
  <c r="H54" i="25"/>
  <c r="H292" i="25"/>
  <c r="H20" i="25"/>
  <c r="H263" i="25"/>
  <c r="H30" i="25"/>
  <c r="H149" i="25"/>
  <c r="H296" i="25"/>
  <c r="H23" i="25"/>
  <c r="H267" i="25"/>
  <c r="H165" i="25"/>
  <c r="H136" i="25"/>
  <c r="H221" i="25"/>
  <c r="H228" i="25"/>
  <c r="H225" i="25"/>
  <c r="H278" i="25"/>
  <c r="H313" i="25"/>
  <c r="H249" i="25"/>
  <c r="H121" i="25"/>
  <c r="H107" i="25"/>
  <c r="H67" i="25"/>
  <c r="H63" i="25"/>
  <c r="H109" i="25"/>
  <c r="H103" i="25"/>
  <c r="H111" i="25"/>
  <c r="H243" i="25"/>
  <c r="H200" i="25"/>
  <c r="H151" i="25"/>
  <c r="H213" i="25"/>
  <c r="H131" i="25"/>
  <c r="H142" i="25"/>
  <c r="H9" i="25"/>
  <c r="H144" i="25"/>
  <c r="H27" i="25"/>
  <c r="H12" i="25"/>
  <c r="H255" i="25"/>
  <c r="H66" i="25"/>
  <c r="H88" i="25"/>
  <c r="H44" i="25"/>
  <c r="H170" i="25"/>
  <c r="H189" i="25"/>
  <c r="H110" i="25"/>
  <c r="H258" i="25"/>
  <c r="H161" i="25"/>
  <c r="H18" i="25"/>
  <c r="H261" i="25"/>
  <c r="H164" i="25"/>
  <c r="H209" i="25"/>
  <c r="H256" i="25"/>
  <c r="H307" i="25"/>
  <c r="H241" i="25"/>
  <c r="H229" i="25"/>
  <c r="H282" i="25"/>
  <c r="H10" i="25"/>
  <c r="H39" i="25"/>
  <c r="H56" i="25"/>
  <c r="H34" i="25"/>
  <c r="H270" i="25"/>
  <c r="H14" i="25"/>
  <c r="H257" i="25"/>
  <c r="H216" i="25"/>
  <c r="H169" i="25"/>
  <c r="H276" i="25"/>
  <c r="H311" i="25"/>
  <c r="H247" i="25"/>
  <c r="H106" i="25"/>
  <c r="H185" i="25"/>
  <c r="H280" i="25"/>
  <c r="H8" i="25"/>
  <c r="H251" i="25"/>
  <c r="H133" i="25"/>
  <c r="H15" i="25"/>
  <c r="H118" i="25"/>
  <c r="H84" i="25"/>
  <c r="H96" i="25"/>
  <c r="H262" i="25"/>
  <c r="H297" i="25"/>
  <c r="H105" i="25"/>
  <c r="H83" i="25"/>
  <c r="H85" i="25"/>
  <c r="H117" i="25"/>
  <c r="H115" i="25"/>
  <c r="H71" i="25"/>
  <c r="H81" i="25"/>
  <c r="H73" i="25"/>
  <c r="H75" i="25"/>
  <c r="H218" i="25"/>
  <c r="P5" i="11"/>
  <c r="C7" i="34" l="1"/>
  <c r="C9" i="34" s="1"/>
  <c r="H315" i="25"/>
  <c r="D7" i="34" l="1"/>
  <c r="D9" i="34" s="1"/>
  <c r="E15" i="34" s="1"/>
  <c r="F314" i="12"/>
  <c r="E18" i="34" l="1"/>
  <c r="I18" i="34" s="1"/>
  <c r="E26" i="34"/>
  <c r="I26" i="34" s="1"/>
  <c r="E34" i="34"/>
  <c r="I34" i="34" s="1"/>
  <c r="E42" i="34"/>
  <c r="I42" i="34" s="1"/>
  <c r="E50" i="34"/>
  <c r="I50" i="34" s="1"/>
  <c r="E58" i="34"/>
  <c r="I58" i="34" s="1"/>
  <c r="E66" i="34"/>
  <c r="I66" i="34" s="1"/>
  <c r="E74" i="34"/>
  <c r="I74" i="34" s="1"/>
  <c r="E82" i="34"/>
  <c r="I82" i="34" s="1"/>
  <c r="E90" i="34"/>
  <c r="I90" i="34" s="1"/>
  <c r="E98" i="34"/>
  <c r="I98" i="34" s="1"/>
  <c r="E106" i="34"/>
  <c r="I106" i="34" s="1"/>
  <c r="E114" i="34"/>
  <c r="I114" i="34" s="1"/>
  <c r="E122" i="34"/>
  <c r="I122" i="34" s="1"/>
  <c r="E130" i="34"/>
  <c r="I130" i="34" s="1"/>
  <c r="E138" i="34"/>
  <c r="I138" i="34" s="1"/>
  <c r="E146" i="34"/>
  <c r="I146" i="34" s="1"/>
  <c r="E154" i="34"/>
  <c r="I154" i="34" s="1"/>
  <c r="E162" i="34"/>
  <c r="I162" i="34" s="1"/>
  <c r="E170" i="34"/>
  <c r="I170" i="34" s="1"/>
  <c r="E178" i="34"/>
  <c r="I178" i="34" s="1"/>
  <c r="E186" i="34"/>
  <c r="I186" i="34" s="1"/>
  <c r="E194" i="34"/>
  <c r="I194" i="34" s="1"/>
  <c r="E202" i="34"/>
  <c r="I202" i="34" s="1"/>
  <c r="E209" i="34"/>
  <c r="I209" i="34" s="1"/>
  <c r="E217" i="34"/>
  <c r="I217" i="34" s="1"/>
  <c r="E225" i="34"/>
  <c r="I225" i="34" s="1"/>
  <c r="E233" i="34"/>
  <c r="I233" i="34" s="1"/>
  <c r="E241" i="34"/>
  <c r="I241" i="34" s="1"/>
  <c r="E23" i="34"/>
  <c r="I23" i="34" s="1"/>
  <c r="E31" i="34"/>
  <c r="I31" i="34" s="1"/>
  <c r="E39" i="34"/>
  <c r="I39" i="34" s="1"/>
  <c r="E55" i="34"/>
  <c r="I55" i="34" s="1"/>
  <c r="E63" i="34"/>
  <c r="I63" i="34" s="1"/>
  <c r="E71" i="34"/>
  <c r="I71" i="34" s="1"/>
  <c r="E79" i="34"/>
  <c r="I79" i="34" s="1"/>
  <c r="E87" i="34"/>
  <c r="I87" i="34" s="1"/>
  <c r="E95" i="34"/>
  <c r="I95" i="34" s="1"/>
  <c r="E103" i="34"/>
  <c r="I103" i="34" s="1"/>
  <c r="E111" i="34"/>
  <c r="I111" i="34" s="1"/>
  <c r="E119" i="34"/>
  <c r="I119" i="34" s="1"/>
  <c r="E127" i="34"/>
  <c r="I127" i="34" s="1"/>
  <c r="E135" i="34"/>
  <c r="I135" i="34" s="1"/>
  <c r="E143" i="34"/>
  <c r="I143" i="34" s="1"/>
  <c r="E151" i="34"/>
  <c r="I151" i="34" s="1"/>
  <c r="E159" i="34"/>
  <c r="I159" i="34" s="1"/>
  <c r="E167" i="34"/>
  <c r="I167" i="34" s="1"/>
  <c r="E175" i="34"/>
  <c r="I175" i="34" s="1"/>
  <c r="E183" i="34"/>
  <c r="I183" i="34" s="1"/>
  <c r="E191" i="34"/>
  <c r="I191" i="34" s="1"/>
  <c r="E199" i="34"/>
  <c r="I199" i="34" s="1"/>
  <c r="E207" i="34"/>
  <c r="I207" i="34" s="1"/>
  <c r="E215" i="34"/>
  <c r="I215" i="34" s="1"/>
  <c r="E223" i="34"/>
  <c r="I223" i="34" s="1"/>
  <c r="E231" i="34"/>
  <c r="I231" i="34" s="1"/>
  <c r="E239" i="34"/>
  <c r="I239" i="34" s="1"/>
  <c r="E22" i="34"/>
  <c r="I22" i="34" s="1"/>
  <c r="E30" i="34"/>
  <c r="I30" i="34" s="1"/>
  <c r="E38" i="34"/>
  <c r="I38" i="34" s="1"/>
  <c r="E46" i="34"/>
  <c r="I46" i="34" s="1"/>
  <c r="E54" i="34"/>
  <c r="I54" i="34" s="1"/>
  <c r="E62" i="34"/>
  <c r="I62" i="34" s="1"/>
  <c r="E70" i="34"/>
  <c r="I70" i="34" s="1"/>
  <c r="E78" i="34"/>
  <c r="I78" i="34" s="1"/>
  <c r="E86" i="34"/>
  <c r="I86" i="34" s="1"/>
  <c r="E94" i="34"/>
  <c r="I94" i="34" s="1"/>
  <c r="E102" i="34"/>
  <c r="I102" i="34" s="1"/>
  <c r="E110" i="34"/>
  <c r="I110" i="34" s="1"/>
  <c r="E118" i="34"/>
  <c r="I118" i="34" s="1"/>
  <c r="E126" i="34"/>
  <c r="I126" i="34" s="1"/>
  <c r="E134" i="34"/>
  <c r="I134" i="34" s="1"/>
  <c r="E142" i="34"/>
  <c r="I142" i="34" s="1"/>
  <c r="E150" i="34"/>
  <c r="I150" i="34" s="1"/>
  <c r="E158" i="34"/>
  <c r="I158" i="34" s="1"/>
  <c r="E166" i="34"/>
  <c r="I166" i="34" s="1"/>
  <c r="E174" i="34"/>
  <c r="I174" i="34" s="1"/>
  <c r="E182" i="34"/>
  <c r="I182" i="34" s="1"/>
  <c r="E190" i="34"/>
  <c r="I190" i="34" s="1"/>
  <c r="E198" i="34"/>
  <c r="I198" i="34" s="1"/>
  <c r="E206" i="34"/>
  <c r="I206" i="34" s="1"/>
  <c r="E21" i="34"/>
  <c r="I21" i="34" s="1"/>
  <c r="E29" i="34"/>
  <c r="I29" i="34" s="1"/>
  <c r="E37" i="34"/>
  <c r="I37" i="34" s="1"/>
  <c r="E45" i="34"/>
  <c r="I45" i="34" s="1"/>
  <c r="E53" i="34"/>
  <c r="I53" i="34" s="1"/>
  <c r="E61" i="34"/>
  <c r="I61" i="34" s="1"/>
  <c r="E69" i="34"/>
  <c r="I69" i="34" s="1"/>
  <c r="E77" i="34"/>
  <c r="I77" i="34" s="1"/>
  <c r="E85" i="34"/>
  <c r="I85" i="34" s="1"/>
  <c r="E93" i="34"/>
  <c r="I93" i="34" s="1"/>
  <c r="E101" i="34"/>
  <c r="I101" i="34" s="1"/>
  <c r="E109" i="34"/>
  <c r="I109" i="34" s="1"/>
  <c r="E117" i="34"/>
  <c r="I117" i="34" s="1"/>
  <c r="E125" i="34"/>
  <c r="I125" i="34" s="1"/>
  <c r="E133" i="34"/>
  <c r="I133" i="34" s="1"/>
  <c r="E141" i="34"/>
  <c r="I141" i="34" s="1"/>
  <c r="E149" i="34"/>
  <c r="I149" i="34" s="1"/>
  <c r="E157" i="34"/>
  <c r="I157" i="34" s="1"/>
  <c r="E165" i="34"/>
  <c r="I165" i="34" s="1"/>
  <c r="E173" i="34"/>
  <c r="I173" i="34" s="1"/>
  <c r="E181" i="34"/>
  <c r="I181" i="34" s="1"/>
  <c r="E189" i="34"/>
  <c r="I189" i="34" s="1"/>
  <c r="E197" i="34"/>
  <c r="I197" i="34" s="1"/>
  <c r="E205" i="34"/>
  <c r="I205" i="34" s="1"/>
  <c r="E213" i="34"/>
  <c r="I213" i="34" s="1"/>
  <c r="E222" i="34"/>
  <c r="I222" i="34" s="1"/>
  <c r="E249" i="34"/>
  <c r="I249" i="34" s="1"/>
  <c r="E257" i="34"/>
  <c r="I257" i="34" s="1"/>
  <c r="E265" i="34"/>
  <c r="I265" i="34" s="1"/>
  <c r="E273" i="34"/>
  <c r="I273" i="34" s="1"/>
  <c r="E281" i="34"/>
  <c r="I281" i="34" s="1"/>
  <c r="E289" i="34"/>
  <c r="I289" i="34" s="1"/>
  <c r="E297" i="34"/>
  <c r="I297" i="34" s="1"/>
  <c r="E234" i="34"/>
  <c r="I234" i="34" s="1"/>
  <c r="E250" i="34"/>
  <c r="I250" i="34" s="1"/>
  <c r="E298" i="34"/>
  <c r="I298" i="34" s="1"/>
  <c r="E322" i="34"/>
  <c r="I322" i="34" s="1"/>
  <c r="E210" i="34"/>
  <c r="I210" i="34" s="1"/>
  <c r="E242" i="34"/>
  <c r="I242" i="34" s="1"/>
  <c r="E266" i="34"/>
  <c r="I266" i="34" s="1"/>
  <c r="E274" i="34"/>
  <c r="I274" i="34" s="1"/>
  <c r="E221" i="34"/>
  <c r="I221" i="34" s="1"/>
  <c r="E230" i="34"/>
  <c r="I230" i="34" s="1"/>
  <c r="E258" i="34"/>
  <c r="I258" i="34" s="1"/>
  <c r="E290" i="34"/>
  <c r="I290" i="34" s="1"/>
  <c r="E314" i="34"/>
  <c r="I314" i="34" s="1"/>
  <c r="E218" i="34"/>
  <c r="I218" i="34" s="1"/>
  <c r="E246" i="34"/>
  <c r="I246" i="34" s="1"/>
  <c r="E254" i="34"/>
  <c r="I254" i="34" s="1"/>
  <c r="E262" i="34"/>
  <c r="I262" i="34" s="1"/>
  <c r="E270" i="34"/>
  <c r="I270" i="34" s="1"/>
  <c r="E278" i="34"/>
  <c r="I278" i="34" s="1"/>
  <c r="E286" i="34"/>
  <c r="I286" i="34" s="1"/>
  <c r="E294" i="34"/>
  <c r="I294" i="34" s="1"/>
  <c r="E302" i="34"/>
  <c r="I302" i="34" s="1"/>
  <c r="E229" i="34"/>
  <c r="I229" i="34" s="1"/>
  <c r="E238" i="34"/>
  <c r="I238" i="34" s="1"/>
  <c r="E245" i="34"/>
  <c r="I245" i="34" s="1"/>
  <c r="E253" i="34"/>
  <c r="I253" i="34" s="1"/>
  <c r="E261" i="34"/>
  <c r="I261" i="34" s="1"/>
  <c r="E269" i="34"/>
  <c r="I269" i="34" s="1"/>
  <c r="E277" i="34"/>
  <c r="I277" i="34" s="1"/>
  <c r="E285" i="34"/>
  <c r="I285" i="34" s="1"/>
  <c r="E293" i="34"/>
  <c r="I293" i="34" s="1"/>
  <c r="E301" i="34"/>
  <c r="I301" i="34" s="1"/>
  <c r="E309" i="34"/>
  <c r="I309" i="34" s="1"/>
  <c r="E317" i="34"/>
  <c r="I317" i="34" s="1"/>
  <c r="E306" i="34"/>
  <c r="I306" i="34" s="1"/>
  <c r="E226" i="34"/>
  <c r="I226" i="34" s="1"/>
  <c r="E252" i="34"/>
  <c r="I252" i="34" s="1"/>
  <c r="E260" i="34"/>
  <c r="I260" i="34" s="1"/>
  <c r="E268" i="34"/>
  <c r="I268" i="34" s="1"/>
  <c r="E276" i="34"/>
  <c r="I276" i="34" s="1"/>
  <c r="E316" i="34"/>
  <c r="I316" i="34" s="1"/>
  <c r="E324" i="34"/>
  <c r="I324" i="34" s="1"/>
  <c r="E214" i="34"/>
  <c r="I214" i="34" s="1"/>
  <c r="E237" i="34"/>
  <c r="I237" i="34" s="1"/>
  <c r="E323" i="34"/>
  <c r="I323" i="34" s="1"/>
  <c r="E282" i="34"/>
  <c r="I282" i="34" s="1"/>
  <c r="E321" i="34"/>
  <c r="I321" i="34" s="1"/>
  <c r="E313" i="34"/>
  <c r="I313" i="34" s="1"/>
  <c r="E292" i="34"/>
  <c r="I292" i="34" s="1"/>
  <c r="E279" i="34"/>
  <c r="I279" i="34" s="1"/>
  <c r="E284" i="34"/>
  <c r="I284" i="34" s="1"/>
  <c r="E65" i="34"/>
  <c r="I65" i="34" s="1"/>
  <c r="E184" i="34"/>
  <c r="I184" i="34" s="1"/>
  <c r="E56" i="34"/>
  <c r="I56" i="34" s="1"/>
  <c r="E180" i="34"/>
  <c r="I180" i="34" s="1"/>
  <c r="E116" i="34"/>
  <c r="I116" i="34" s="1"/>
  <c r="E52" i="34"/>
  <c r="I52" i="34" s="1"/>
  <c r="E208" i="34"/>
  <c r="I208" i="34" s="1"/>
  <c r="E137" i="34"/>
  <c r="I137" i="34" s="1"/>
  <c r="E232" i="34"/>
  <c r="I232" i="34" s="1"/>
  <c r="E144" i="34"/>
  <c r="I144" i="34" s="1"/>
  <c r="E28" i="34"/>
  <c r="I28" i="34" s="1"/>
  <c r="E163" i="34"/>
  <c r="I163" i="34" s="1"/>
  <c r="E99" i="34"/>
  <c r="I99" i="34" s="1"/>
  <c r="E97" i="34"/>
  <c r="I97" i="34" s="1"/>
  <c r="E319" i="34"/>
  <c r="I319" i="34" s="1"/>
  <c r="E300" i="34"/>
  <c r="I300" i="34" s="1"/>
  <c r="E272" i="34"/>
  <c r="I272" i="34" s="1"/>
  <c r="E248" i="34"/>
  <c r="I248" i="34" s="1"/>
  <c r="E264" i="34"/>
  <c r="I264" i="34" s="1"/>
  <c r="E243" i="34"/>
  <c r="I243" i="34" s="1"/>
  <c r="E168" i="34"/>
  <c r="I168" i="34" s="1"/>
  <c r="E47" i="34"/>
  <c r="I47" i="34" s="1"/>
  <c r="E171" i="34"/>
  <c r="I171" i="34" s="1"/>
  <c r="E107" i="34"/>
  <c r="I107" i="34" s="1"/>
  <c r="E43" i="34"/>
  <c r="I43" i="34" s="1"/>
  <c r="E41" i="34"/>
  <c r="I41" i="34" s="1"/>
  <c r="E121" i="34"/>
  <c r="I121" i="34" s="1"/>
  <c r="E227" i="34"/>
  <c r="I227" i="34" s="1"/>
  <c r="E128" i="34"/>
  <c r="I128" i="34" s="1"/>
  <c r="E19" i="34"/>
  <c r="I19" i="34" s="1"/>
  <c r="E156" i="34"/>
  <c r="I156" i="34" s="1"/>
  <c r="E92" i="34"/>
  <c r="I92" i="34" s="1"/>
  <c r="E81" i="34"/>
  <c r="I81" i="34" s="1"/>
  <c r="E308" i="34"/>
  <c r="I308" i="34" s="1"/>
  <c r="E287" i="34"/>
  <c r="I287" i="34" s="1"/>
  <c r="E259" i="34"/>
  <c r="I259" i="34" s="1"/>
  <c r="E312" i="34"/>
  <c r="I312" i="34" s="1"/>
  <c r="E251" i="34"/>
  <c r="I251" i="34" s="1"/>
  <c r="E228" i="34"/>
  <c r="I228" i="34" s="1"/>
  <c r="E152" i="34"/>
  <c r="I152" i="34" s="1"/>
  <c r="E36" i="34"/>
  <c r="I36" i="34" s="1"/>
  <c r="E164" i="34"/>
  <c r="I164" i="34" s="1"/>
  <c r="E100" i="34"/>
  <c r="I100" i="34" s="1"/>
  <c r="E193" i="34"/>
  <c r="I193" i="34" s="1"/>
  <c r="E25" i="34"/>
  <c r="I25" i="34" s="1"/>
  <c r="E105" i="34"/>
  <c r="I105" i="34" s="1"/>
  <c r="E212" i="34"/>
  <c r="I212" i="34" s="1"/>
  <c r="E112" i="34"/>
  <c r="I112" i="34" s="1"/>
  <c r="E145" i="34"/>
  <c r="I145" i="34" s="1"/>
  <c r="E147" i="34"/>
  <c r="I147" i="34" s="1"/>
  <c r="E83" i="34"/>
  <c r="I83" i="34" s="1"/>
  <c r="E49" i="34"/>
  <c r="I49" i="34" s="1"/>
  <c r="E304" i="34"/>
  <c r="I304" i="34" s="1"/>
  <c r="E256" i="34"/>
  <c r="I256" i="34" s="1"/>
  <c r="E320" i="34"/>
  <c r="I320" i="34" s="1"/>
  <c r="E299" i="34"/>
  <c r="I299" i="34" s="1"/>
  <c r="E310" i="34"/>
  <c r="I310" i="34" s="1"/>
  <c r="E136" i="34"/>
  <c r="I136" i="34" s="1"/>
  <c r="E27" i="34"/>
  <c r="I27" i="34" s="1"/>
  <c r="E155" i="34"/>
  <c r="I155" i="34" s="1"/>
  <c r="E91" i="34"/>
  <c r="I91" i="34" s="1"/>
  <c r="E24" i="34"/>
  <c r="I24" i="34" s="1"/>
  <c r="E129" i="34"/>
  <c r="I129" i="34" s="1"/>
  <c r="E89" i="34"/>
  <c r="I89" i="34" s="1"/>
  <c r="E96" i="34"/>
  <c r="I96" i="34" s="1"/>
  <c r="E113" i="34"/>
  <c r="I113" i="34" s="1"/>
  <c r="E140" i="34"/>
  <c r="I140" i="34" s="1"/>
  <c r="E76" i="34"/>
  <c r="I76" i="34" s="1"/>
  <c r="E236" i="34"/>
  <c r="I236" i="34" s="1"/>
  <c r="E280" i="34"/>
  <c r="I280" i="34" s="1"/>
  <c r="E311" i="34"/>
  <c r="I311" i="34" s="1"/>
  <c r="E318" i="34"/>
  <c r="I318" i="34" s="1"/>
  <c r="E288" i="34"/>
  <c r="I288" i="34" s="1"/>
  <c r="E291" i="34"/>
  <c r="I291" i="34" s="1"/>
  <c r="E216" i="34"/>
  <c r="I216" i="34" s="1"/>
  <c r="E120" i="34"/>
  <c r="I120" i="34" s="1"/>
  <c r="E20" i="34"/>
  <c r="I20" i="34" s="1"/>
  <c r="E148" i="34"/>
  <c r="I148" i="34" s="1"/>
  <c r="E84" i="34"/>
  <c r="I84" i="34" s="1"/>
  <c r="E244" i="34"/>
  <c r="I244" i="34" s="1"/>
  <c r="E201" i="34"/>
  <c r="I201" i="34" s="1"/>
  <c r="E73" i="34"/>
  <c r="I73" i="34" s="1"/>
  <c r="E204" i="34"/>
  <c r="I204" i="34" s="1"/>
  <c r="E80" i="34"/>
  <c r="I80" i="34" s="1"/>
  <c r="E195" i="34"/>
  <c r="I195" i="34" s="1"/>
  <c r="E131" i="34"/>
  <c r="I131" i="34" s="1"/>
  <c r="E67" i="34"/>
  <c r="I67" i="34" s="1"/>
  <c r="E224" i="34"/>
  <c r="I224" i="34" s="1"/>
  <c r="E267" i="34"/>
  <c r="I267" i="34" s="1"/>
  <c r="E296" i="34"/>
  <c r="I296" i="34" s="1"/>
  <c r="E307" i="34"/>
  <c r="I307" i="34" s="1"/>
  <c r="E275" i="34"/>
  <c r="I275" i="34" s="1"/>
  <c r="E271" i="34"/>
  <c r="I271" i="34" s="1"/>
  <c r="E211" i="34"/>
  <c r="I211" i="34" s="1"/>
  <c r="E104" i="34"/>
  <c r="I104" i="34" s="1"/>
  <c r="E40" i="34"/>
  <c r="I40" i="34" s="1"/>
  <c r="E139" i="34"/>
  <c r="I139" i="34" s="1"/>
  <c r="E75" i="34"/>
  <c r="I75" i="34" s="1"/>
  <c r="E240" i="34"/>
  <c r="I240" i="34" s="1"/>
  <c r="E185" i="34"/>
  <c r="I185" i="34" s="1"/>
  <c r="E57" i="34"/>
  <c r="I57" i="34" s="1"/>
  <c r="E192" i="34"/>
  <c r="I192" i="34" s="1"/>
  <c r="E64" i="34"/>
  <c r="I64" i="34" s="1"/>
  <c r="E188" i="34"/>
  <c r="I188" i="34" s="1"/>
  <c r="E124" i="34"/>
  <c r="I124" i="34" s="1"/>
  <c r="E60" i="34"/>
  <c r="I60" i="34" s="1"/>
  <c r="E219" i="34"/>
  <c r="I219" i="34" s="1"/>
  <c r="E247" i="34"/>
  <c r="I247" i="34" s="1"/>
  <c r="E283" i="34"/>
  <c r="I283" i="34" s="1"/>
  <c r="E305" i="34"/>
  <c r="I305" i="34" s="1"/>
  <c r="E255" i="34"/>
  <c r="I255" i="34" s="1"/>
  <c r="E177" i="34"/>
  <c r="I177" i="34" s="1"/>
  <c r="E203" i="34"/>
  <c r="I203" i="34" s="1"/>
  <c r="E88" i="34"/>
  <c r="I88" i="34" s="1"/>
  <c r="E196" i="34"/>
  <c r="I196" i="34" s="1"/>
  <c r="E132" i="34"/>
  <c r="I132" i="34" s="1"/>
  <c r="E68" i="34"/>
  <c r="I68" i="34" s="1"/>
  <c r="E235" i="34"/>
  <c r="I235" i="34" s="1"/>
  <c r="E169" i="34"/>
  <c r="I169" i="34" s="1"/>
  <c r="E32" i="34"/>
  <c r="I32" i="34" s="1"/>
  <c r="E176" i="34"/>
  <c r="I176" i="34" s="1"/>
  <c r="E48" i="34"/>
  <c r="I48" i="34" s="1"/>
  <c r="E179" i="34"/>
  <c r="I179" i="34" s="1"/>
  <c r="E115" i="34"/>
  <c r="I115" i="34" s="1"/>
  <c r="E51" i="34"/>
  <c r="I51" i="34" s="1"/>
  <c r="E33" i="34"/>
  <c r="I33" i="34" s="1"/>
  <c r="E315" i="34"/>
  <c r="I315" i="34" s="1"/>
  <c r="E263" i="34"/>
  <c r="I263" i="34" s="1"/>
  <c r="E303" i="34"/>
  <c r="I303" i="34" s="1"/>
  <c r="E295" i="34"/>
  <c r="I295" i="34" s="1"/>
  <c r="E161" i="34"/>
  <c r="I161" i="34" s="1"/>
  <c r="E200" i="34"/>
  <c r="I200" i="34" s="1"/>
  <c r="E72" i="34"/>
  <c r="I72" i="34" s="1"/>
  <c r="E187" i="34"/>
  <c r="I187" i="34" s="1"/>
  <c r="E123" i="34"/>
  <c r="I123" i="34" s="1"/>
  <c r="E59" i="34"/>
  <c r="I59" i="34" s="1"/>
  <c r="E220" i="34"/>
  <c r="I220" i="34" s="1"/>
  <c r="E153" i="34"/>
  <c r="I153" i="34" s="1"/>
  <c r="E160" i="34"/>
  <c r="I160" i="34" s="1"/>
  <c r="E35" i="34"/>
  <c r="I35" i="34" s="1"/>
  <c r="E172" i="34"/>
  <c r="I172" i="34" s="1"/>
  <c r="E108" i="34"/>
  <c r="I108" i="34" s="1"/>
  <c r="E44" i="34"/>
  <c r="I44" i="34" s="1"/>
  <c r="E17" i="34"/>
  <c r="I17" i="34" s="1"/>
  <c r="E16" i="34"/>
  <c r="E33" i="39" l="1"/>
  <c r="G33" i="39" s="1"/>
  <c r="H33" i="39" s="1"/>
  <c r="I33" i="39" s="1"/>
  <c r="J33" i="39" s="1"/>
  <c r="E33" i="12"/>
  <c r="G33" i="12" s="1"/>
  <c r="E158" i="12"/>
  <c r="G158" i="12" s="1"/>
  <c r="E158" i="39"/>
  <c r="G158" i="39" s="1"/>
  <c r="H158" i="39" s="1"/>
  <c r="I158" i="39" s="1"/>
  <c r="J158" i="39" s="1"/>
  <c r="E93" i="39"/>
  <c r="G93" i="39" s="1"/>
  <c r="H93" i="39" s="1"/>
  <c r="I93" i="39" s="1"/>
  <c r="J93" i="39" s="1"/>
  <c r="E93" i="12"/>
  <c r="G93" i="12" s="1"/>
  <c r="E300" i="39"/>
  <c r="G300" i="39" s="1"/>
  <c r="H300" i="39" s="1"/>
  <c r="I300" i="39" s="1"/>
  <c r="J300" i="39" s="1"/>
  <c r="E300" i="12"/>
  <c r="G300" i="12" s="1"/>
  <c r="E160" i="39"/>
  <c r="G160" i="39" s="1"/>
  <c r="H160" i="39" s="1"/>
  <c r="I160" i="39" s="1"/>
  <c r="J160" i="39" s="1"/>
  <c r="E160" i="12"/>
  <c r="G160" i="12" s="1"/>
  <c r="E24" i="39"/>
  <c r="G24" i="39" s="1"/>
  <c r="H24" i="39" s="1"/>
  <c r="I24" i="39" s="1"/>
  <c r="J24" i="39" s="1"/>
  <c r="E24" i="12"/>
  <c r="G24" i="12" s="1"/>
  <c r="E189" i="12"/>
  <c r="G189" i="12" s="1"/>
  <c r="E189" i="39"/>
  <c r="G189" i="39" s="1"/>
  <c r="H189" i="39" s="1"/>
  <c r="I189" i="39" s="1"/>
  <c r="J189" i="39" s="1"/>
  <c r="E104" i="39"/>
  <c r="G104" i="39" s="1"/>
  <c r="H104" i="39" s="1"/>
  <c r="I104" i="39" s="1"/>
  <c r="J104" i="39" s="1"/>
  <c r="E104" i="12"/>
  <c r="G104" i="12" s="1"/>
  <c r="E121" i="39"/>
  <c r="G121" i="39" s="1"/>
  <c r="H121" i="39" s="1"/>
  <c r="I121" i="39" s="1"/>
  <c r="J121" i="39" s="1"/>
  <c r="E121" i="12"/>
  <c r="G121" i="12" s="1"/>
  <c r="E236" i="39"/>
  <c r="G236" i="39" s="1"/>
  <c r="H236" i="39" s="1"/>
  <c r="I236" i="39" s="1"/>
  <c r="J236" i="39" s="1"/>
  <c r="E236" i="12"/>
  <c r="G236" i="12" s="1"/>
  <c r="E174" i="39"/>
  <c r="G174" i="39" s="1"/>
  <c r="H174" i="39" s="1"/>
  <c r="I174" i="39" s="1"/>
  <c r="J174" i="39" s="1"/>
  <c r="E174" i="12"/>
  <c r="G174" i="12" s="1"/>
  <c r="E264" i="39"/>
  <c r="G264" i="39" s="1"/>
  <c r="H264" i="39" s="1"/>
  <c r="I264" i="39" s="1"/>
  <c r="J264" i="39" s="1"/>
  <c r="E264" i="12"/>
  <c r="G264" i="12" s="1"/>
  <c r="E69" i="12"/>
  <c r="G69" i="12" s="1"/>
  <c r="E69" i="39"/>
  <c r="G69" i="39" s="1"/>
  <c r="H69" i="39" s="1"/>
  <c r="I69" i="39" s="1"/>
  <c r="J69" i="39" s="1"/>
  <c r="E109" i="39"/>
  <c r="G109" i="39" s="1"/>
  <c r="H109" i="39" s="1"/>
  <c r="I109" i="39" s="1"/>
  <c r="J109" i="39" s="1"/>
  <c r="E109" i="12"/>
  <c r="G109" i="12" s="1"/>
  <c r="E65" i="12"/>
  <c r="G65" i="12" s="1"/>
  <c r="E65" i="39"/>
  <c r="G65" i="39" s="1"/>
  <c r="H65" i="39" s="1"/>
  <c r="I65" i="39" s="1"/>
  <c r="J65" i="39" s="1"/>
  <c r="E144" i="39"/>
  <c r="G144" i="39" s="1"/>
  <c r="H144" i="39" s="1"/>
  <c r="I144" i="39" s="1"/>
  <c r="J144" i="39" s="1"/>
  <c r="E144" i="12"/>
  <c r="G144" i="12" s="1"/>
  <c r="E38" i="39"/>
  <c r="G38" i="39" s="1"/>
  <c r="H38" i="39" s="1"/>
  <c r="I38" i="39" s="1"/>
  <c r="J38" i="39" s="1"/>
  <c r="E38" i="12"/>
  <c r="G38" i="12" s="1"/>
  <c r="E182" i="39"/>
  <c r="G182" i="39" s="1"/>
  <c r="H182" i="39" s="1"/>
  <c r="I182" i="39" s="1"/>
  <c r="J182" i="39" s="1"/>
  <c r="E182" i="12"/>
  <c r="G182" i="12" s="1"/>
  <c r="E248" i="39"/>
  <c r="G248" i="39" s="1"/>
  <c r="H248" i="39" s="1"/>
  <c r="I248" i="39" s="1"/>
  <c r="J248" i="39" s="1"/>
  <c r="E248" i="12"/>
  <c r="G248" i="12" s="1"/>
  <c r="E216" i="39"/>
  <c r="G216" i="39" s="1"/>
  <c r="H216" i="39" s="1"/>
  <c r="I216" i="39" s="1"/>
  <c r="J216" i="39" s="1"/>
  <c r="E216" i="12"/>
  <c r="G216" i="12" s="1"/>
  <c r="E232" i="39"/>
  <c r="G232" i="39" s="1"/>
  <c r="H232" i="39" s="1"/>
  <c r="I232" i="39" s="1"/>
  <c r="J232" i="39" s="1"/>
  <c r="E232" i="12"/>
  <c r="G232" i="12" s="1"/>
  <c r="E152" i="39"/>
  <c r="G152" i="39" s="1"/>
  <c r="H152" i="39" s="1"/>
  <c r="I152" i="39" s="1"/>
  <c r="J152" i="39" s="1"/>
  <c r="E152" i="12"/>
  <c r="G152" i="12" s="1"/>
  <c r="E169" i="12"/>
  <c r="G169" i="12" s="1"/>
  <c r="E169" i="39"/>
  <c r="G169" i="39" s="1"/>
  <c r="H169" i="39" s="1"/>
  <c r="I169" i="39" s="1"/>
  <c r="J169" i="39" s="1"/>
  <c r="E310" i="39"/>
  <c r="G310" i="39" s="1"/>
  <c r="H310" i="39" s="1"/>
  <c r="I310" i="39" s="1"/>
  <c r="J310" i="39" s="1"/>
  <c r="E310" i="12"/>
  <c r="G310" i="12" s="1"/>
  <c r="E257" i="39"/>
  <c r="G257" i="39" s="1"/>
  <c r="H257" i="39" s="1"/>
  <c r="I257" i="39" s="1"/>
  <c r="J257" i="39" s="1"/>
  <c r="E257" i="12"/>
  <c r="G257" i="12" s="1"/>
  <c r="E282" i="12"/>
  <c r="G282" i="12" s="1"/>
  <c r="E282" i="39"/>
  <c r="G282" i="39" s="1"/>
  <c r="H282" i="39" s="1"/>
  <c r="I282" i="39" s="1"/>
  <c r="J282" i="39" s="1"/>
  <c r="E218" i="39"/>
  <c r="G218" i="39" s="1"/>
  <c r="H218" i="39" s="1"/>
  <c r="I218" i="39" s="1"/>
  <c r="J218" i="39" s="1"/>
  <c r="E218" i="12"/>
  <c r="G218" i="12" s="1"/>
  <c r="E235" i="12"/>
  <c r="G235" i="12" s="1"/>
  <c r="E235" i="39"/>
  <c r="G235" i="39" s="1"/>
  <c r="H235" i="39" s="1"/>
  <c r="I235" i="39" s="1"/>
  <c r="J235" i="39" s="1"/>
  <c r="E255" i="39"/>
  <c r="G255" i="39" s="1"/>
  <c r="H255" i="39" s="1"/>
  <c r="I255" i="39" s="1"/>
  <c r="J255" i="39" s="1"/>
  <c r="E255" i="12"/>
  <c r="G255" i="12" s="1"/>
  <c r="E278" i="39"/>
  <c r="G278" i="39" s="1"/>
  <c r="H278" i="39" s="1"/>
  <c r="I278" i="39" s="1"/>
  <c r="J278" i="39" s="1"/>
  <c r="E278" i="12"/>
  <c r="G278" i="12" s="1"/>
  <c r="E194" i="12"/>
  <c r="G194" i="12" s="1"/>
  <c r="E194" i="39"/>
  <c r="G194" i="39" s="1"/>
  <c r="H194" i="39" s="1"/>
  <c r="I194" i="39" s="1"/>
  <c r="J194" i="39" s="1"/>
  <c r="E130" i="39"/>
  <c r="G130" i="39" s="1"/>
  <c r="H130" i="39" s="1"/>
  <c r="I130" i="39" s="1"/>
  <c r="J130" i="39" s="1"/>
  <c r="E130" i="12"/>
  <c r="G130" i="12" s="1"/>
  <c r="E66" i="39"/>
  <c r="G66" i="39" s="1"/>
  <c r="H66" i="39" s="1"/>
  <c r="I66" i="39" s="1"/>
  <c r="J66" i="39" s="1"/>
  <c r="E66" i="12"/>
  <c r="G66" i="12" s="1"/>
  <c r="E195" i="39"/>
  <c r="G195" i="39" s="1"/>
  <c r="H195" i="39" s="1"/>
  <c r="I195" i="39" s="1"/>
  <c r="J195" i="39" s="1"/>
  <c r="E195" i="12"/>
  <c r="G195" i="12" s="1"/>
  <c r="E131" i="39"/>
  <c r="G131" i="39" s="1"/>
  <c r="H131" i="39" s="1"/>
  <c r="I131" i="39" s="1"/>
  <c r="J131" i="39" s="1"/>
  <c r="E131" i="12"/>
  <c r="G131" i="12" s="1"/>
  <c r="E67" i="39"/>
  <c r="G67" i="39" s="1"/>
  <c r="H67" i="39" s="1"/>
  <c r="I67" i="39" s="1"/>
  <c r="J67" i="39" s="1"/>
  <c r="E67" i="12"/>
  <c r="G67" i="12" s="1"/>
  <c r="E228" i="39"/>
  <c r="G228" i="39" s="1"/>
  <c r="H228" i="39" s="1"/>
  <c r="I228" i="39" s="1"/>
  <c r="J228" i="39" s="1"/>
  <c r="E228" i="12"/>
  <c r="G228" i="12" s="1"/>
  <c r="E164" i="39"/>
  <c r="G164" i="39" s="1"/>
  <c r="H164" i="39" s="1"/>
  <c r="I164" i="39" s="1"/>
  <c r="J164" i="39" s="1"/>
  <c r="E164" i="12"/>
  <c r="G164" i="12" s="1"/>
  <c r="E100" i="39"/>
  <c r="G100" i="39" s="1"/>
  <c r="H100" i="39" s="1"/>
  <c r="I100" i="39" s="1"/>
  <c r="J100" i="39" s="1"/>
  <c r="E100" i="12"/>
  <c r="G100" i="12" s="1"/>
  <c r="E28" i="39"/>
  <c r="G28" i="39" s="1"/>
  <c r="H28" i="39" s="1"/>
  <c r="I28" i="39" s="1"/>
  <c r="J28" i="39" s="1"/>
  <c r="E28" i="12"/>
  <c r="G28" i="12" s="1"/>
  <c r="E191" i="39"/>
  <c r="G191" i="39" s="1"/>
  <c r="H191" i="39" s="1"/>
  <c r="I191" i="39" s="1"/>
  <c r="J191" i="39" s="1"/>
  <c r="E191" i="12"/>
  <c r="G191" i="12" s="1"/>
  <c r="E127" i="39"/>
  <c r="G127" i="39" s="1"/>
  <c r="H127" i="39" s="1"/>
  <c r="I127" i="39" s="1"/>
  <c r="J127" i="39" s="1"/>
  <c r="E127" i="12"/>
  <c r="G127" i="12" s="1"/>
  <c r="E63" i="39"/>
  <c r="G63" i="39" s="1"/>
  <c r="H63" i="39" s="1"/>
  <c r="I63" i="39" s="1"/>
  <c r="J63" i="39" s="1"/>
  <c r="E63" i="12"/>
  <c r="G63" i="12" s="1"/>
  <c r="E208" i="12"/>
  <c r="G208" i="12" s="1"/>
  <c r="E208" i="39"/>
  <c r="G208" i="39" s="1"/>
  <c r="H208" i="39" s="1"/>
  <c r="I208" i="39" s="1"/>
  <c r="J208" i="39" s="1"/>
  <c r="E16" i="39"/>
  <c r="G16" i="39" s="1"/>
  <c r="H16" i="39" s="1"/>
  <c r="I16" i="39" s="1"/>
  <c r="J16" i="39" s="1"/>
  <c r="E16" i="12"/>
  <c r="G16" i="12" s="1"/>
  <c r="E89" i="12"/>
  <c r="G89" i="12" s="1"/>
  <c r="E89" i="39"/>
  <c r="G89" i="39" s="1"/>
  <c r="H89" i="39" s="1"/>
  <c r="I89" i="39" s="1"/>
  <c r="J89" i="39" s="1"/>
  <c r="E253" i="39"/>
  <c r="G253" i="39" s="1"/>
  <c r="H253" i="39" s="1"/>
  <c r="I253" i="39" s="1"/>
  <c r="J253" i="39" s="1"/>
  <c r="E253" i="12"/>
  <c r="G253" i="12" s="1"/>
  <c r="E17" i="39"/>
  <c r="G17" i="39" s="1"/>
  <c r="H17" i="39" s="1"/>
  <c r="I17" i="39" s="1"/>
  <c r="J17" i="39" s="1"/>
  <c r="E17" i="12"/>
  <c r="G17" i="12" s="1"/>
  <c r="E45" i="39"/>
  <c r="G45" i="39" s="1"/>
  <c r="H45" i="39" s="1"/>
  <c r="I45" i="39" s="1"/>
  <c r="J45" i="39" s="1"/>
  <c r="E45" i="12"/>
  <c r="G45" i="12" s="1"/>
  <c r="E271" i="39"/>
  <c r="G271" i="39" s="1"/>
  <c r="H271" i="39" s="1"/>
  <c r="I271" i="39" s="1"/>
  <c r="J271" i="39" s="1"/>
  <c r="E271" i="12"/>
  <c r="G271" i="12" s="1"/>
  <c r="E249" i="12"/>
  <c r="G249" i="12" s="1"/>
  <c r="E249" i="39"/>
  <c r="G249" i="39" s="1"/>
  <c r="H249" i="39" s="1"/>
  <c r="I249" i="39" s="1"/>
  <c r="J249" i="39" s="1"/>
  <c r="E274" i="12"/>
  <c r="G274" i="12" s="1"/>
  <c r="E274" i="39"/>
  <c r="G274" i="39" s="1"/>
  <c r="H274" i="39" s="1"/>
  <c r="I274" i="39" s="1"/>
  <c r="J274" i="39" s="1"/>
  <c r="E291" i="12"/>
  <c r="G291" i="12" s="1"/>
  <c r="E291" i="39"/>
  <c r="G291" i="39" s="1"/>
  <c r="H291" i="39" s="1"/>
  <c r="I291" i="39" s="1"/>
  <c r="J291" i="39" s="1"/>
  <c r="E207" i="39"/>
  <c r="G207" i="39" s="1"/>
  <c r="H207" i="39" s="1"/>
  <c r="I207" i="39" s="1"/>
  <c r="J207" i="39" s="1"/>
  <c r="E207" i="12"/>
  <c r="G207" i="12" s="1"/>
  <c r="E231" i="39"/>
  <c r="G231" i="39" s="1"/>
  <c r="H231" i="39" s="1"/>
  <c r="I231" i="39" s="1"/>
  <c r="J231" i="39" s="1"/>
  <c r="E231" i="12"/>
  <c r="G231" i="12" s="1"/>
  <c r="E270" i="39"/>
  <c r="G270" i="39" s="1"/>
  <c r="H270" i="39" s="1"/>
  <c r="I270" i="39" s="1"/>
  <c r="J270" i="39" s="1"/>
  <c r="E270" i="12"/>
  <c r="G270" i="12" s="1"/>
  <c r="E186" i="39"/>
  <c r="G186" i="39" s="1"/>
  <c r="H186" i="39" s="1"/>
  <c r="I186" i="39" s="1"/>
  <c r="J186" i="39" s="1"/>
  <c r="E186" i="12"/>
  <c r="G186" i="12" s="1"/>
  <c r="E122" i="12"/>
  <c r="G122" i="12" s="1"/>
  <c r="E122" i="39"/>
  <c r="G122" i="39" s="1"/>
  <c r="H122" i="39" s="1"/>
  <c r="I122" i="39" s="1"/>
  <c r="J122" i="39" s="1"/>
  <c r="E58" i="39"/>
  <c r="G58" i="39" s="1"/>
  <c r="H58" i="39" s="1"/>
  <c r="I58" i="39" s="1"/>
  <c r="J58" i="39" s="1"/>
  <c r="E58" i="12"/>
  <c r="G58" i="12" s="1"/>
  <c r="E187" i="39"/>
  <c r="G187" i="39" s="1"/>
  <c r="H187" i="39" s="1"/>
  <c r="I187" i="39" s="1"/>
  <c r="J187" i="39" s="1"/>
  <c r="E187" i="12"/>
  <c r="G187" i="12" s="1"/>
  <c r="E123" i="39"/>
  <c r="G123" i="39" s="1"/>
  <c r="H123" i="39" s="1"/>
  <c r="I123" i="39" s="1"/>
  <c r="J123" i="39" s="1"/>
  <c r="E123" i="12"/>
  <c r="G123" i="12" s="1"/>
  <c r="E59" i="39"/>
  <c r="G59" i="39" s="1"/>
  <c r="H59" i="39" s="1"/>
  <c r="I59" i="39" s="1"/>
  <c r="J59" i="39" s="1"/>
  <c r="E59" i="12"/>
  <c r="G59" i="12" s="1"/>
  <c r="E220" i="12"/>
  <c r="G220" i="12" s="1"/>
  <c r="E220" i="39"/>
  <c r="G220" i="39" s="1"/>
  <c r="H220" i="39" s="1"/>
  <c r="I220" i="39" s="1"/>
  <c r="J220" i="39" s="1"/>
  <c r="E156" i="39"/>
  <c r="G156" i="39" s="1"/>
  <c r="H156" i="39" s="1"/>
  <c r="I156" i="39" s="1"/>
  <c r="J156" i="39" s="1"/>
  <c r="E156" i="12"/>
  <c r="G156" i="12" s="1"/>
  <c r="E92" i="39"/>
  <c r="G92" i="39" s="1"/>
  <c r="H92" i="39" s="1"/>
  <c r="I92" i="39" s="1"/>
  <c r="J92" i="39" s="1"/>
  <c r="E92" i="12"/>
  <c r="G92" i="12" s="1"/>
  <c r="E20" i="39"/>
  <c r="G20" i="39" s="1"/>
  <c r="H20" i="39" s="1"/>
  <c r="I20" i="39" s="1"/>
  <c r="J20" i="39" s="1"/>
  <c r="E20" i="12"/>
  <c r="G20" i="12" s="1"/>
  <c r="E183" i="39"/>
  <c r="G183" i="39" s="1"/>
  <c r="H183" i="39" s="1"/>
  <c r="I183" i="39" s="1"/>
  <c r="J183" i="39" s="1"/>
  <c r="E183" i="12"/>
  <c r="G183" i="12" s="1"/>
  <c r="E119" i="39"/>
  <c r="G119" i="39" s="1"/>
  <c r="H119" i="39" s="1"/>
  <c r="I119" i="39" s="1"/>
  <c r="J119" i="39" s="1"/>
  <c r="E119" i="12"/>
  <c r="G119" i="12" s="1"/>
  <c r="E55" i="39"/>
  <c r="G55" i="39" s="1"/>
  <c r="H55" i="39" s="1"/>
  <c r="I55" i="39" s="1"/>
  <c r="J55" i="39" s="1"/>
  <c r="E55" i="12"/>
  <c r="G55" i="12" s="1"/>
  <c r="E149" i="39"/>
  <c r="G149" i="39" s="1"/>
  <c r="H149" i="39" s="1"/>
  <c r="I149" i="39" s="1"/>
  <c r="J149" i="39" s="1"/>
  <c r="E149" i="12"/>
  <c r="G149" i="12" s="1"/>
  <c r="E185" i="39"/>
  <c r="G185" i="39" s="1"/>
  <c r="H185" i="39" s="1"/>
  <c r="I185" i="39" s="1"/>
  <c r="J185" i="39" s="1"/>
  <c r="E185" i="12"/>
  <c r="G185" i="12" s="1"/>
  <c r="E193" i="39"/>
  <c r="G193" i="39" s="1"/>
  <c r="H193" i="39" s="1"/>
  <c r="I193" i="39" s="1"/>
  <c r="J193" i="39" s="1"/>
  <c r="E193" i="12"/>
  <c r="G193" i="12" s="1"/>
  <c r="E72" i="39"/>
  <c r="G72" i="39" s="1"/>
  <c r="H72" i="39" s="1"/>
  <c r="I72" i="39" s="1"/>
  <c r="J72" i="39" s="1"/>
  <c r="E72" i="12"/>
  <c r="G72" i="12" s="1"/>
  <c r="E142" i="39"/>
  <c r="G142" i="39" s="1"/>
  <c r="H142" i="39" s="1"/>
  <c r="I142" i="39" s="1"/>
  <c r="J142" i="39" s="1"/>
  <c r="E142" i="12"/>
  <c r="G142" i="12" s="1"/>
  <c r="E284" i="39"/>
  <c r="G284" i="39" s="1"/>
  <c r="H284" i="39" s="1"/>
  <c r="I284" i="39" s="1"/>
  <c r="J284" i="39" s="1"/>
  <c r="E284" i="12"/>
  <c r="G284" i="12" s="1"/>
  <c r="E37" i="39"/>
  <c r="G37" i="39" s="1"/>
  <c r="H37" i="39" s="1"/>
  <c r="I37" i="39" s="1"/>
  <c r="J37" i="39" s="1"/>
  <c r="E37" i="12"/>
  <c r="G37" i="12" s="1"/>
  <c r="E77" i="12"/>
  <c r="G77" i="12" s="1"/>
  <c r="E77" i="39"/>
  <c r="G77" i="39" s="1"/>
  <c r="H77" i="39" s="1"/>
  <c r="I77" i="39" s="1"/>
  <c r="J77" i="39" s="1"/>
  <c r="E49" i="39"/>
  <c r="G49" i="39" s="1"/>
  <c r="H49" i="39" s="1"/>
  <c r="I49" i="39" s="1"/>
  <c r="J49" i="39" s="1"/>
  <c r="E49" i="12"/>
  <c r="G49" i="12" s="1"/>
  <c r="E64" i="39"/>
  <c r="G64" i="39" s="1"/>
  <c r="H64" i="39" s="1"/>
  <c r="I64" i="39" s="1"/>
  <c r="J64" i="39" s="1"/>
  <c r="E64" i="12"/>
  <c r="G64" i="12" s="1"/>
  <c r="E285" i="12"/>
  <c r="G285" i="12" s="1"/>
  <c r="E285" i="39"/>
  <c r="G285" i="39" s="1"/>
  <c r="H285" i="39" s="1"/>
  <c r="I285" i="39" s="1"/>
  <c r="J285" i="39" s="1"/>
  <c r="E62" i="39"/>
  <c r="G62" i="39" s="1"/>
  <c r="H62" i="39" s="1"/>
  <c r="I62" i="39" s="1"/>
  <c r="J62" i="39" s="1"/>
  <c r="E62" i="12"/>
  <c r="G62" i="12" s="1"/>
  <c r="E280" i="39"/>
  <c r="G280" i="39" s="1"/>
  <c r="H280" i="39" s="1"/>
  <c r="I280" i="39" s="1"/>
  <c r="J280" i="39" s="1"/>
  <c r="E280" i="12"/>
  <c r="G280" i="12" s="1"/>
  <c r="E102" i="39"/>
  <c r="G102" i="39" s="1"/>
  <c r="H102" i="39" s="1"/>
  <c r="I102" i="39" s="1"/>
  <c r="J102" i="39" s="1"/>
  <c r="E102" i="12"/>
  <c r="G102" i="12" s="1"/>
  <c r="E125" i="39"/>
  <c r="G125" i="39" s="1"/>
  <c r="H125" i="39" s="1"/>
  <c r="I125" i="39" s="1"/>
  <c r="J125" i="39" s="1"/>
  <c r="E125" i="12"/>
  <c r="G125" i="12" s="1"/>
  <c r="E136" i="39"/>
  <c r="G136" i="39" s="1"/>
  <c r="H136" i="39" s="1"/>
  <c r="I136" i="39" s="1"/>
  <c r="J136" i="39" s="1"/>
  <c r="E136" i="12"/>
  <c r="G136" i="12" s="1"/>
  <c r="E153" i="39"/>
  <c r="G153" i="39" s="1"/>
  <c r="H153" i="39" s="1"/>
  <c r="I153" i="39" s="1"/>
  <c r="J153" i="39" s="1"/>
  <c r="E153" i="12"/>
  <c r="G153" i="12" s="1"/>
  <c r="E297" i="39"/>
  <c r="G297" i="39" s="1"/>
  <c r="H297" i="39" s="1"/>
  <c r="I297" i="39" s="1"/>
  <c r="J297" i="39" s="1"/>
  <c r="E297" i="12"/>
  <c r="G297" i="12" s="1"/>
  <c r="E30" i="39"/>
  <c r="G30" i="39" s="1"/>
  <c r="H30" i="39" s="1"/>
  <c r="I30" i="39" s="1"/>
  <c r="J30" i="39" s="1"/>
  <c r="E30" i="12"/>
  <c r="G30" i="12" s="1"/>
  <c r="E237" i="12"/>
  <c r="G237" i="12" s="1"/>
  <c r="E237" i="39"/>
  <c r="G237" i="39" s="1"/>
  <c r="H237" i="39" s="1"/>
  <c r="I237" i="39" s="1"/>
  <c r="J237" i="39" s="1"/>
  <c r="E133" i="12"/>
  <c r="G133" i="12" s="1"/>
  <c r="E133" i="39"/>
  <c r="G133" i="39" s="1"/>
  <c r="H133" i="39" s="1"/>
  <c r="I133" i="39" s="1"/>
  <c r="J133" i="39" s="1"/>
  <c r="E173" i="12"/>
  <c r="G173" i="12" s="1"/>
  <c r="E173" i="39"/>
  <c r="G173" i="39" s="1"/>
  <c r="H173" i="39" s="1"/>
  <c r="I173" i="39" s="1"/>
  <c r="J173" i="39" s="1"/>
  <c r="E312" i="39"/>
  <c r="G312" i="39" s="1"/>
  <c r="H312" i="39" s="1"/>
  <c r="I312" i="39" s="1"/>
  <c r="J312" i="39" s="1"/>
  <c r="E312" i="12"/>
  <c r="G312" i="12" s="1"/>
  <c r="E241" i="12"/>
  <c r="G241" i="12" s="1"/>
  <c r="E241" i="39"/>
  <c r="G241" i="39" s="1"/>
  <c r="H241" i="39" s="1"/>
  <c r="I241" i="39" s="1"/>
  <c r="J241" i="39" s="1"/>
  <c r="E266" i="39"/>
  <c r="G266" i="39" s="1"/>
  <c r="H266" i="39" s="1"/>
  <c r="I266" i="39" s="1"/>
  <c r="J266" i="39" s="1"/>
  <c r="E266" i="12"/>
  <c r="G266" i="12" s="1"/>
  <c r="E283" i="39"/>
  <c r="G283" i="39" s="1"/>
  <c r="H283" i="39" s="1"/>
  <c r="I283" i="39" s="1"/>
  <c r="J283" i="39" s="1"/>
  <c r="E283" i="12"/>
  <c r="G283" i="12" s="1"/>
  <c r="E303" i="12"/>
  <c r="G303" i="12" s="1"/>
  <c r="E303" i="39"/>
  <c r="G303" i="39" s="1"/>
  <c r="H303" i="39" s="1"/>
  <c r="I303" i="39" s="1"/>
  <c r="J303" i="39" s="1"/>
  <c r="E199" i="39"/>
  <c r="G199" i="39" s="1"/>
  <c r="H199" i="39" s="1"/>
  <c r="I199" i="39" s="1"/>
  <c r="J199" i="39" s="1"/>
  <c r="E199" i="12"/>
  <c r="G199" i="12" s="1"/>
  <c r="E262" i="39"/>
  <c r="G262" i="39" s="1"/>
  <c r="H262" i="39" s="1"/>
  <c r="I262" i="39" s="1"/>
  <c r="J262" i="39" s="1"/>
  <c r="E262" i="12"/>
  <c r="G262" i="12" s="1"/>
  <c r="E178" i="12"/>
  <c r="G178" i="12" s="1"/>
  <c r="E178" i="39"/>
  <c r="G178" i="39" s="1"/>
  <c r="H178" i="39" s="1"/>
  <c r="I178" i="39" s="1"/>
  <c r="J178" i="39" s="1"/>
  <c r="E114" i="39"/>
  <c r="G114" i="39" s="1"/>
  <c r="H114" i="39" s="1"/>
  <c r="I114" i="39" s="1"/>
  <c r="J114" i="39" s="1"/>
  <c r="E114" i="12"/>
  <c r="G114" i="12" s="1"/>
  <c r="E50" i="39"/>
  <c r="G50" i="39" s="1"/>
  <c r="H50" i="39" s="1"/>
  <c r="I50" i="39" s="1"/>
  <c r="J50" i="39" s="1"/>
  <c r="E50" i="12"/>
  <c r="G50" i="12" s="1"/>
  <c r="E179" i="12"/>
  <c r="G179" i="12" s="1"/>
  <c r="E179" i="39"/>
  <c r="G179" i="39" s="1"/>
  <c r="H179" i="39" s="1"/>
  <c r="I179" i="39" s="1"/>
  <c r="J179" i="39" s="1"/>
  <c r="E115" i="39"/>
  <c r="G115" i="39" s="1"/>
  <c r="H115" i="39" s="1"/>
  <c r="I115" i="39" s="1"/>
  <c r="J115" i="39" s="1"/>
  <c r="E115" i="12"/>
  <c r="G115" i="12" s="1"/>
  <c r="E51" i="12"/>
  <c r="G51" i="12" s="1"/>
  <c r="E51" i="39"/>
  <c r="G51" i="39" s="1"/>
  <c r="H51" i="39" s="1"/>
  <c r="I51" i="39" s="1"/>
  <c r="J51" i="39" s="1"/>
  <c r="E212" i="12"/>
  <c r="G212" i="12" s="1"/>
  <c r="E212" i="39"/>
  <c r="G212" i="39" s="1"/>
  <c r="H212" i="39" s="1"/>
  <c r="I212" i="39" s="1"/>
  <c r="J212" i="39" s="1"/>
  <c r="E148" i="39"/>
  <c r="G148" i="39" s="1"/>
  <c r="H148" i="39" s="1"/>
  <c r="I148" i="39" s="1"/>
  <c r="J148" i="39" s="1"/>
  <c r="E148" i="12"/>
  <c r="G148" i="12" s="1"/>
  <c r="E84" i="12"/>
  <c r="G84" i="12" s="1"/>
  <c r="E84" i="39"/>
  <c r="G84" i="39" s="1"/>
  <c r="H84" i="39" s="1"/>
  <c r="I84" i="39" s="1"/>
  <c r="J84" i="39" s="1"/>
  <c r="E12" i="39"/>
  <c r="G12" i="39" s="1"/>
  <c r="H12" i="39" s="1"/>
  <c r="I12" i="39" s="1"/>
  <c r="J12" i="39" s="1"/>
  <c r="E12" i="12"/>
  <c r="G12" i="12" s="1"/>
  <c r="E175" i="39"/>
  <c r="G175" i="39" s="1"/>
  <c r="H175" i="39" s="1"/>
  <c r="I175" i="39" s="1"/>
  <c r="J175" i="39" s="1"/>
  <c r="E175" i="12"/>
  <c r="G175" i="12" s="1"/>
  <c r="E111" i="39"/>
  <c r="G111" i="39" s="1"/>
  <c r="H111" i="39" s="1"/>
  <c r="I111" i="39" s="1"/>
  <c r="J111" i="39" s="1"/>
  <c r="E111" i="12"/>
  <c r="G111" i="12" s="1"/>
  <c r="E47" i="12"/>
  <c r="G47" i="12" s="1"/>
  <c r="E47" i="39"/>
  <c r="G47" i="39" s="1"/>
  <c r="H47" i="39" s="1"/>
  <c r="I47" i="39" s="1"/>
  <c r="J47" i="39" s="1"/>
  <c r="E150" i="12"/>
  <c r="G150" i="12" s="1"/>
  <c r="E150" i="39"/>
  <c r="G150" i="39" s="1"/>
  <c r="H150" i="39" s="1"/>
  <c r="I150" i="39" s="1"/>
  <c r="J150" i="39" s="1"/>
  <c r="E296" i="39"/>
  <c r="G296" i="39" s="1"/>
  <c r="H296" i="39" s="1"/>
  <c r="I296" i="39" s="1"/>
  <c r="J296" i="39" s="1"/>
  <c r="E296" i="12"/>
  <c r="G296" i="12" s="1"/>
  <c r="E129" i="39"/>
  <c r="G129" i="39" s="1"/>
  <c r="H129" i="39" s="1"/>
  <c r="I129" i="39" s="1"/>
  <c r="J129" i="39" s="1"/>
  <c r="E129" i="12"/>
  <c r="G129" i="12" s="1"/>
  <c r="E110" i="39"/>
  <c r="G110" i="39" s="1"/>
  <c r="H110" i="39" s="1"/>
  <c r="I110" i="39" s="1"/>
  <c r="J110" i="39" s="1"/>
  <c r="E110" i="12"/>
  <c r="G110" i="12" s="1"/>
  <c r="E209" i="39"/>
  <c r="G209" i="39" s="1"/>
  <c r="H209" i="39" s="1"/>
  <c r="I209" i="39" s="1"/>
  <c r="J209" i="39" s="1"/>
  <c r="E209" i="12"/>
  <c r="G209" i="12" s="1"/>
  <c r="E292" i="39"/>
  <c r="G292" i="39" s="1"/>
  <c r="H292" i="39" s="1"/>
  <c r="I292" i="39" s="1"/>
  <c r="J292" i="39" s="1"/>
  <c r="E292" i="12"/>
  <c r="G292" i="12" s="1"/>
  <c r="E165" i="12"/>
  <c r="G165" i="12" s="1"/>
  <c r="E165" i="39"/>
  <c r="G165" i="39" s="1"/>
  <c r="H165" i="39" s="1"/>
  <c r="I165" i="39" s="1"/>
  <c r="J165" i="39" s="1"/>
  <c r="E192" i="39"/>
  <c r="G192" i="39" s="1"/>
  <c r="H192" i="39" s="1"/>
  <c r="I192" i="39" s="1"/>
  <c r="J192" i="39" s="1"/>
  <c r="E192" i="12"/>
  <c r="G192" i="12" s="1"/>
  <c r="E113" i="39"/>
  <c r="G113" i="39" s="1"/>
  <c r="H113" i="39" s="1"/>
  <c r="I113" i="39" s="1"/>
  <c r="J113" i="39" s="1"/>
  <c r="E113" i="12"/>
  <c r="G113" i="12" s="1"/>
  <c r="E128" i="39"/>
  <c r="G128" i="39" s="1"/>
  <c r="H128" i="39" s="1"/>
  <c r="I128" i="39" s="1"/>
  <c r="J128" i="39" s="1"/>
  <c r="E128" i="12"/>
  <c r="G128" i="12" s="1"/>
  <c r="E256" i="39"/>
  <c r="G256" i="39" s="1"/>
  <c r="H256" i="39" s="1"/>
  <c r="I256" i="39" s="1"/>
  <c r="J256" i="39" s="1"/>
  <c r="E256" i="12"/>
  <c r="G256" i="12" s="1"/>
  <c r="E190" i="39"/>
  <c r="G190" i="39" s="1"/>
  <c r="H190" i="39" s="1"/>
  <c r="I190" i="39" s="1"/>
  <c r="J190" i="39" s="1"/>
  <c r="E190" i="12"/>
  <c r="G190" i="12" s="1"/>
  <c r="E277" i="12"/>
  <c r="G277" i="12" s="1"/>
  <c r="E277" i="39"/>
  <c r="G277" i="39" s="1"/>
  <c r="H277" i="39" s="1"/>
  <c r="I277" i="39" s="1"/>
  <c r="J277" i="39" s="1"/>
  <c r="E85" i="12"/>
  <c r="G85" i="12" s="1"/>
  <c r="E85" i="39"/>
  <c r="G85" i="39" s="1"/>
  <c r="H85" i="39" s="1"/>
  <c r="I85" i="39" s="1"/>
  <c r="J85" i="39" s="1"/>
  <c r="E299" i="39"/>
  <c r="G299" i="39" s="1"/>
  <c r="H299" i="39" s="1"/>
  <c r="I299" i="39" s="1"/>
  <c r="J299" i="39" s="1"/>
  <c r="E299" i="12"/>
  <c r="G299" i="12" s="1"/>
  <c r="E134" i="39"/>
  <c r="G134" i="39" s="1"/>
  <c r="H134" i="39" s="1"/>
  <c r="I134" i="39" s="1"/>
  <c r="J134" i="39" s="1"/>
  <c r="E134" i="12"/>
  <c r="G134" i="12" s="1"/>
  <c r="E25" i="39"/>
  <c r="G25" i="39" s="1"/>
  <c r="H25" i="39" s="1"/>
  <c r="I25" i="39" s="1"/>
  <c r="J25" i="39" s="1"/>
  <c r="E25" i="12"/>
  <c r="G25" i="12" s="1"/>
  <c r="E70" i="12"/>
  <c r="G70" i="12" s="1"/>
  <c r="E70" i="39"/>
  <c r="G70" i="39" s="1"/>
  <c r="H70" i="39" s="1"/>
  <c r="I70" i="39" s="1"/>
  <c r="J70" i="39" s="1"/>
  <c r="E32" i="39"/>
  <c r="G32" i="39" s="1"/>
  <c r="H32" i="39" s="1"/>
  <c r="I32" i="39" s="1"/>
  <c r="J32" i="39" s="1"/>
  <c r="E32" i="12"/>
  <c r="G32" i="12" s="1"/>
  <c r="E261" i="12"/>
  <c r="G261" i="12" s="1"/>
  <c r="E261" i="39"/>
  <c r="G261" i="39" s="1"/>
  <c r="H261" i="39" s="1"/>
  <c r="I261" i="39" s="1"/>
  <c r="J261" i="39" s="1"/>
  <c r="E221" i="12"/>
  <c r="G221" i="12" s="1"/>
  <c r="E221" i="39"/>
  <c r="G221" i="39" s="1"/>
  <c r="H221" i="39" s="1"/>
  <c r="I221" i="39" s="1"/>
  <c r="J221" i="39" s="1"/>
  <c r="E54" i="12"/>
  <c r="G54" i="12" s="1"/>
  <c r="E54" i="39"/>
  <c r="G54" i="39" s="1"/>
  <c r="H54" i="39" s="1"/>
  <c r="I54" i="39" s="1"/>
  <c r="J54" i="39" s="1"/>
  <c r="E226" i="39"/>
  <c r="G226" i="39" s="1"/>
  <c r="H226" i="39" s="1"/>
  <c r="I226" i="39" s="1"/>
  <c r="J226" i="39" s="1"/>
  <c r="E226" i="12"/>
  <c r="G226" i="12" s="1"/>
  <c r="E215" i="39"/>
  <c r="G215" i="39" s="1"/>
  <c r="H215" i="39" s="1"/>
  <c r="I215" i="39" s="1"/>
  <c r="J215" i="39" s="1"/>
  <c r="E215" i="12"/>
  <c r="G215" i="12" s="1"/>
  <c r="E258" i="39"/>
  <c r="G258" i="39" s="1"/>
  <c r="H258" i="39" s="1"/>
  <c r="I258" i="39" s="1"/>
  <c r="J258" i="39" s="1"/>
  <c r="E258" i="12"/>
  <c r="G258" i="12" s="1"/>
  <c r="E275" i="12"/>
  <c r="G275" i="12" s="1"/>
  <c r="E275" i="39"/>
  <c r="G275" i="39" s="1"/>
  <c r="H275" i="39" s="1"/>
  <c r="I275" i="39" s="1"/>
  <c r="J275" i="39" s="1"/>
  <c r="E279" i="39"/>
  <c r="G279" i="39" s="1"/>
  <c r="H279" i="39" s="1"/>
  <c r="I279" i="39" s="1"/>
  <c r="J279" i="39" s="1"/>
  <c r="E279" i="12"/>
  <c r="G279" i="12" s="1"/>
  <c r="E311" i="39"/>
  <c r="G311" i="39" s="1"/>
  <c r="H311" i="39" s="1"/>
  <c r="I311" i="39" s="1"/>
  <c r="J311" i="39" s="1"/>
  <c r="E311" i="12"/>
  <c r="G311" i="12" s="1"/>
  <c r="E254" i="39"/>
  <c r="G254" i="39" s="1"/>
  <c r="H254" i="39" s="1"/>
  <c r="I254" i="39" s="1"/>
  <c r="J254" i="39" s="1"/>
  <c r="E254" i="12"/>
  <c r="G254" i="12" s="1"/>
  <c r="E170" i="12"/>
  <c r="G170" i="12" s="1"/>
  <c r="E170" i="39"/>
  <c r="G170" i="39" s="1"/>
  <c r="H170" i="39" s="1"/>
  <c r="I170" i="39" s="1"/>
  <c r="J170" i="39" s="1"/>
  <c r="E106" i="39"/>
  <c r="G106" i="39" s="1"/>
  <c r="H106" i="39" s="1"/>
  <c r="I106" i="39" s="1"/>
  <c r="J106" i="39" s="1"/>
  <c r="E106" i="12"/>
  <c r="G106" i="12" s="1"/>
  <c r="E42" i="39"/>
  <c r="G42" i="39" s="1"/>
  <c r="H42" i="39" s="1"/>
  <c r="I42" i="39" s="1"/>
  <c r="J42" i="39" s="1"/>
  <c r="E42" i="12"/>
  <c r="G42" i="12" s="1"/>
  <c r="E171" i="12"/>
  <c r="G171" i="12" s="1"/>
  <c r="E171" i="39"/>
  <c r="G171" i="39" s="1"/>
  <c r="H171" i="39" s="1"/>
  <c r="I171" i="39" s="1"/>
  <c r="J171" i="39" s="1"/>
  <c r="E107" i="39"/>
  <c r="G107" i="39" s="1"/>
  <c r="H107" i="39" s="1"/>
  <c r="I107" i="39" s="1"/>
  <c r="J107" i="39" s="1"/>
  <c r="E107" i="12"/>
  <c r="G107" i="12" s="1"/>
  <c r="E43" i="12"/>
  <c r="G43" i="12" s="1"/>
  <c r="E43" i="39"/>
  <c r="G43" i="39" s="1"/>
  <c r="H43" i="39" s="1"/>
  <c r="I43" i="39" s="1"/>
  <c r="J43" i="39" s="1"/>
  <c r="E204" i="12"/>
  <c r="G204" i="12" s="1"/>
  <c r="E204" i="39"/>
  <c r="G204" i="39" s="1"/>
  <c r="H204" i="39" s="1"/>
  <c r="I204" i="39" s="1"/>
  <c r="J204" i="39" s="1"/>
  <c r="E140" i="39"/>
  <c r="G140" i="39" s="1"/>
  <c r="H140" i="39" s="1"/>
  <c r="I140" i="39" s="1"/>
  <c r="J140" i="39" s="1"/>
  <c r="E140" i="12"/>
  <c r="G140" i="12" s="1"/>
  <c r="E76" i="39"/>
  <c r="G76" i="39" s="1"/>
  <c r="H76" i="39" s="1"/>
  <c r="I76" i="39" s="1"/>
  <c r="J76" i="39" s="1"/>
  <c r="E76" i="12"/>
  <c r="G76" i="12" s="1"/>
  <c r="E230" i="12"/>
  <c r="G230" i="12" s="1"/>
  <c r="E230" i="39"/>
  <c r="G230" i="39" s="1"/>
  <c r="H230" i="39" s="1"/>
  <c r="I230" i="39" s="1"/>
  <c r="J230" i="39" s="1"/>
  <c r="E167" i="39"/>
  <c r="G167" i="39" s="1"/>
  <c r="H167" i="39" s="1"/>
  <c r="I167" i="39" s="1"/>
  <c r="J167" i="39" s="1"/>
  <c r="E167" i="12"/>
  <c r="G167" i="12" s="1"/>
  <c r="E103" i="39"/>
  <c r="G103" i="39" s="1"/>
  <c r="H103" i="39" s="1"/>
  <c r="I103" i="39" s="1"/>
  <c r="J103" i="39" s="1"/>
  <c r="E103" i="12"/>
  <c r="G103" i="12" s="1"/>
  <c r="E39" i="39"/>
  <c r="G39" i="39" s="1"/>
  <c r="H39" i="39" s="1"/>
  <c r="I39" i="39" s="1"/>
  <c r="J39" i="39" s="1"/>
  <c r="E39" i="12"/>
  <c r="G39" i="12" s="1"/>
  <c r="E168" i="39"/>
  <c r="G168" i="39" s="1"/>
  <c r="H168" i="39" s="1"/>
  <c r="I168" i="39" s="1"/>
  <c r="J168" i="39" s="1"/>
  <c r="E168" i="12"/>
  <c r="G168" i="12" s="1"/>
  <c r="E229" i="39"/>
  <c r="G229" i="39" s="1"/>
  <c r="H229" i="39" s="1"/>
  <c r="I229" i="39" s="1"/>
  <c r="J229" i="39" s="1"/>
  <c r="E229" i="12"/>
  <c r="G229" i="12" s="1"/>
  <c r="E205" i="12"/>
  <c r="G205" i="12" s="1"/>
  <c r="E205" i="39"/>
  <c r="G205" i="39" s="1"/>
  <c r="H205" i="39" s="1"/>
  <c r="I205" i="39" s="1"/>
  <c r="J205" i="39" s="1"/>
  <c r="E276" i="39"/>
  <c r="G276" i="39" s="1"/>
  <c r="H276" i="39" s="1"/>
  <c r="I276" i="39" s="1"/>
  <c r="J276" i="39" s="1"/>
  <c r="E276" i="12"/>
  <c r="G276" i="12" s="1"/>
  <c r="E6" i="39"/>
  <c r="G6" i="39" s="1"/>
  <c r="H6" i="39" s="1"/>
  <c r="I6" i="39" s="1"/>
  <c r="J6" i="39" s="1"/>
  <c r="E6" i="12"/>
  <c r="G6" i="12" s="1"/>
  <c r="E48" i="39"/>
  <c r="G48" i="39" s="1"/>
  <c r="H48" i="39" s="1"/>
  <c r="I48" i="39" s="1"/>
  <c r="J48" i="39" s="1"/>
  <c r="E48" i="12"/>
  <c r="G48" i="12" s="1"/>
  <c r="E252" i="39"/>
  <c r="G252" i="39" s="1"/>
  <c r="H252" i="39" s="1"/>
  <c r="I252" i="39" s="1"/>
  <c r="J252" i="39" s="1"/>
  <c r="E252" i="12"/>
  <c r="G252" i="12" s="1"/>
  <c r="E21" i="39"/>
  <c r="G21" i="39" s="1"/>
  <c r="H21" i="39" s="1"/>
  <c r="I21" i="39" s="1"/>
  <c r="J21" i="39" s="1"/>
  <c r="E21" i="12"/>
  <c r="G21" i="12" s="1"/>
  <c r="E166" i="12"/>
  <c r="G166" i="12" s="1"/>
  <c r="E166" i="39"/>
  <c r="G166" i="39" s="1"/>
  <c r="H166" i="39" s="1"/>
  <c r="I166" i="39" s="1"/>
  <c r="J166" i="39" s="1"/>
  <c r="E177" i="39"/>
  <c r="G177" i="39" s="1"/>
  <c r="H177" i="39" s="1"/>
  <c r="I177" i="39" s="1"/>
  <c r="J177" i="39" s="1"/>
  <c r="E177" i="12"/>
  <c r="G177" i="12" s="1"/>
  <c r="E29" i="39"/>
  <c r="G29" i="39" s="1"/>
  <c r="H29" i="39" s="1"/>
  <c r="I29" i="39" s="1"/>
  <c r="J29" i="39" s="1"/>
  <c r="E29" i="12"/>
  <c r="G29" i="12" s="1"/>
  <c r="E213" i="12"/>
  <c r="G213" i="12" s="1"/>
  <c r="E213" i="39"/>
  <c r="G213" i="39" s="1"/>
  <c r="H213" i="39" s="1"/>
  <c r="I213" i="39" s="1"/>
  <c r="J213" i="39" s="1"/>
  <c r="E233" i="39"/>
  <c r="G233" i="39" s="1"/>
  <c r="H233" i="39" s="1"/>
  <c r="I233" i="39" s="1"/>
  <c r="J233" i="39" s="1"/>
  <c r="E233" i="12"/>
  <c r="G233" i="12" s="1"/>
  <c r="E307" i="12"/>
  <c r="G307" i="12" s="1"/>
  <c r="E307" i="39"/>
  <c r="G307" i="39" s="1"/>
  <c r="H307" i="39" s="1"/>
  <c r="I307" i="39" s="1"/>
  <c r="J307" i="39" s="1"/>
  <c r="E78" i="39"/>
  <c r="G78" i="39" s="1"/>
  <c r="H78" i="39" s="1"/>
  <c r="I78" i="39" s="1"/>
  <c r="J78" i="39" s="1"/>
  <c r="E78" i="12"/>
  <c r="G78" i="12" s="1"/>
  <c r="E288" i="39"/>
  <c r="G288" i="39" s="1"/>
  <c r="H288" i="39" s="1"/>
  <c r="I288" i="39" s="1"/>
  <c r="J288" i="39" s="1"/>
  <c r="E288" i="12"/>
  <c r="G288" i="12" s="1"/>
  <c r="E101" i="39"/>
  <c r="G101" i="39" s="1"/>
  <c r="H101" i="39" s="1"/>
  <c r="I101" i="39" s="1"/>
  <c r="J101" i="39" s="1"/>
  <c r="E101" i="12"/>
  <c r="G101" i="12" s="1"/>
  <c r="E141" i="39"/>
  <c r="G141" i="39" s="1"/>
  <c r="H141" i="39" s="1"/>
  <c r="I141" i="39" s="1"/>
  <c r="J141" i="39" s="1"/>
  <c r="E141" i="12"/>
  <c r="G141" i="12" s="1"/>
  <c r="E81" i="12"/>
  <c r="G81" i="12" s="1"/>
  <c r="E81" i="39"/>
  <c r="G81" i="39" s="1"/>
  <c r="H81" i="39" s="1"/>
  <c r="I81" i="39" s="1"/>
  <c r="J81" i="39" s="1"/>
  <c r="E96" i="39"/>
  <c r="G96" i="39" s="1"/>
  <c r="H96" i="39" s="1"/>
  <c r="I96" i="39" s="1"/>
  <c r="J96" i="39" s="1"/>
  <c r="E96" i="12"/>
  <c r="G96" i="12" s="1"/>
  <c r="E289" i="12"/>
  <c r="G289" i="12" s="1"/>
  <c r="E289" i="39"/>
  <c r="G289" i="39" s="1"/>
  <c r="H289" i="39" s="1"/>
  <c r="I289" i="39" s="1"/>
  <c r="J289" i="39" s="1"/>
  <c r="E126" i="39"/>
  <c r="G126" i="39" s="1"/>
  <c r="H126" i="39" s="1"/>
  <c r="I126" i="39" s="1"/>
  <c r="J126" i="39" s="1"/>
  <c r="E126" i="12"/>
  <c r="G126" i="12" s="1"/>
  <c r="E273" i="12"/>
  <c r="G273" i="12" s="1"/>
  <c r="E273" i="39"/>
  <c r="G273" i="39" s="1"/>
  <c r="H273" i="39" s="1"/>
  <c r="I273" i="39" s="1"/>
  <c r="J273" i="39" s="1"/>
  <c r="E203" i="39"/>
  <c r="G203" i="39" s="1"/>
  <c r="H203" i="39" s="1"/>
  <c r="I203" i="39" s="1"/>
  <c r="J203" i="39" s="1"/>
  <c r="E203" i="12"/>
  <c r="G203" i="12" s="1"/>
  <c r="E295" i="12"/>
  <c r="G295" i="12" s="1"/>
  <c r="E295" i="39"/>
  <c r="G295" i="39" s="1"/>
  <c r="H295" i="39" s="1"/>
  <c r="I295" i="39" s="1"/>
  <c r="J295" i="39" s="1"/>
  <c r="E250" i="39"/>
  <c r="G250" i="39" s="1"/>
  <c r="H250" i="39" s="1"/>
  <c r="I250" i="39" s="1"/>
  <c r="J250" i="39" s="1"/>
  <c r="E250" i="12"/>
  <c r="G250" i="12" s="1"/>
  <c r="E267" i="12"/>
  <c r="G267" i="12" s="1"/>
  <c r="E267" i="39"/>
  <c r="G267" i="39" s="1"/>
  <c r="H267" i="39" s="1"/>
  <c r="I267" i="39" s="1"/>
  <c r="J267" i="39" s="1"/>
  <c r="E247" i="12"/>
  <c r="G247" i="12" s="1"/>
  <c r="E247" i="39"/>
  <c r="G247" i="39" s="1"/>
  <c r="H247" i="39" s="1"/>
  <c r="I247" i="39" s="1"/>
  <c r="J247" i="39" s="1"/>
  <c r="E287" i="39"/>
  <c r="G287" i="39" s="1"/>
  <c r="H287" i="39" s="1"/>
  <c r="I287" i="39" s="1"/>
  <c r="J287" i="39" s="1"/>
  <c r="E287" i="12"/>
  <c r="G287" i="12" s="1"/>
  <c r="E246" i="39"/>
  <c r="G246" i="39" s="1"/>
  <c r="H246" i="39" s="1"/>
  <c r="I246" i="39" s="1"/>
  <c r="J246" i="39" s="1"/>
  <c r="E246" i="12"/>
  <c r="G246" i="12" s="1"/>
  <c r="E162" i="12"/>
  <c r="G162" i="12" s="1"/>
  <c r="E162" i="39"/>
  <c r="G162" i="39" s="1"/>
  <c r="H162" i="39" s="1"/>
  <c r="I162" i="39" s="1"/>
  <c r="J162" i="39" s="1"/>
  <c r="E98" i="39"/>
  <c r="G98" i="39" s="1"/>
  <c r="H98" i="39" s="1"/>
  <c r="I98" i="39" s="1"/>
  <c r="J98" i="39" s="1"/>
  <c r="E98" i="12"/>
  <c r="G98" i="12" s="1"/>
  <c r="E34" i="39"/>
  <c r="G34" i="39" s="1"/>
  <c r="H34" i="39" s="1"/>
  <c r="I34" i="39" s="1"/>
  <c r="J34" i="39" s="1"/>
  <c r="E34" i="12"/>
  <c r="G34" i="12" s="1"/>
  <c r="E163" i="12"/>
  <c r="G163" i="12" s="1"/>
  <c r="E163" i="39"/>
  <c r="G163" i="39" s="1"/>
  <c r="H163" i="39" s="1"/>
  <c r="I163" i="39" s="1"/>
  <c r="J163" i="39" s="1"/>
  <c r="E99" i="39"/>
  <c r="G99" i="39" s="1"/>
  <c r="H99" i="39" s="1"/>
  <c r="I99" i="39" s="1"/>
  <c r="J99" i="39" s="1"/>
  <c r="E99" i="12"/>
  <c r="G99" i="12" s="1"/>
  <c r="E35" i="39"/>
  <c r="G35" i="39" s="1"/>
  <c r="H35" i="39" s="1"/>
  <c r="I35" i="39" s="1"/>
  <c r="J35" i="39" s="1"/>
  <c r="E35" i="12"/>
  <c r="G35" i="12" s="1"/>
  <c r="E196" i="39"/>
  <c r="G196" i="39" s="1"/>
  <c r="H196" i="39" s="1"/>
  <c r="I196" i="39" s="1"/>
  <c r="J196" i="39" s="1"/>
  <c r="E196" i="12"/>
  <c r="G196" i="12" s="1"/>
  <c r="E132" i="39"/>
  <c r="G132" i="39" s="1"/>
  <c r="H132" i="39" s="1"/>
  <c r="I132" i="39" s="1"/>
  <c r="J132" i="39" s="1"/>
  <c r="E132" i="12"/>
  <c r="G132" i="12" s="1"/>
  <c r="E68" i="12"/>
  <c r="G68" i="12" s="1"/>
  <c r="E68" i="39"/>
  <c r="G68" i="39" s="1"/>
  <c r="H68" i="39" s="1"/>
  <c r="I68" i="39" s="1"/>
  <c r="J68" i="39" s="1"/>
  <c r="E222" i="39"/>
  <c r="G222" i="39" s="1"/>
  <c r="H222" i="39" s="1"/>
  <c r="I222" i="39" s="1"/>
  <c r="J222" i="39" s="1"/>
  <c r="E222" i="12"/>
  <c r="G222" i="12" s="1"/>
  <c r="E159" i="39"/>
  <c r="G159" i="39" s="1"/>
  <c r="H159" i="39" s="1"/>
  <c r="I159" i="39" s="1"/>
  <c r="J159" i="39" s="1"/>
  <c r="E159" i="12"/>
  <c r="G159" i="12" s="1"/>
  <c r="E95" i="39"/>
  <c r="G95" i="39" s="1"/>
  <c r="H95" i="39" s="1"/>
  <c r="I95" i="39" s="1"/>
  <c r="J95" i="39" s="1"/>
  <c r="E95" i="12"/>
  <c r="G95" i="12" s="1"/>
  <c r="E31" i="39"/>
  <c r="G31" i="39" s="1"/>
  <c r="H31" i="39" s="1"/>
  <c r="I31" i="39" s="1"/>
  <c r="J31" i="39" s="1"/>
  <c r="E31" i="12"/>
  <c r="G31" i="12" s="1"/>
  <c r="E53" i="39"/>
  <c r="G53" i="39" s="1"/>
  <c r="H53" i="39" s="1"/>
  <c r="I53" i="39" s="1"/>
  <c r="J53" i="39" s="1"/>
  <c r="E53" i="12"/>
  <c r="G53" i="12" s="1"/>
  <c r="E118" i="12"/>
  <c r="G118" i="12" s="1"/>
  <c r="E118" i="39"/>
  <c r="G118" i="39" s="1"/>
  <c r="H118" i="39" s="1"/>
  <c r="I118" i="39" s="1"/>
  <c r="J118" i="39" s="1"/>
  <c r="E201" i="12"/>
  <c r="G201" i="12" s="1"/>
  <c r="E201" i="39"/>
  <c r="G201" i="39" s="1"/>
  <c r="H201" i="39" s="1"/>
  <c r="I201" i="39" s="1"/>
  <c r="J201" i="39" s="1"/>
  <c r="E145" i="39"/>
  <c r="G145" i="39" s="1"/>
  <c r="H145" i="39" s="1"/>
  <c r="I145" i="39" s="1"/>
  <c r="J145" i="39" s="1"/>
  <c r="E145" i="12"/>
  <c r="G145" i="12" s="1"/>
  <c r="E197" i="12"/>
  <c r="G197" i="12" s="1"/>
  <c r="E197" i="39"/>
  <c r="G197" i="39" s="1"/>
  <c r="H197" i="39" s="1"/>
  <c r="I197" i="39" s="1"/>
  <c r="J197" i="39" s="1"/>
  <c r="E268" i="39"/>
  <c r="G268" i="39" s="1"/>
  <c r="H268" i="39" s="1"/>
  <c r="I268" i="39" s="1"/>
  <c r="J268" i="39" s="1"/>
  <c r="E268" i="12"/>
  <c r="G268" i="12" s="1"/>
  <c r="E313" i="39"/>
  <c r="G313" i="39" s="1"/>
  <c r="H313" i="39" s="1"/>
  <c r="I313" i="39" s="1"/>
  <c r="J313" i="39" s="1"/>
  <c r="E313" i="12"/>
  <c r="G313" i="12" s="1"/>
  <c r="E306" i="39"/>
  <c r="G306" i="39" s="1"/>
  <c r="H306" i="39" s="1"/>
  <c r="I306" i="39" s="1"/>
  <c r="J306" i="39" s="1"/>
  <c r="E306" i="12"/>
  <c r="G306" i="12" s="1"/>
  <c r="E242" i="39"/>
  <c r="G242" i="39" s="1"/>
  <c r="H242" i="39" s="1"/>
  <c r="I242" i="39" s="1"/>
  <c r="J242" i="39" s="1"/>
  <c r="E242" i="12"/>
  <c r="G242" i="12" s="1"/>
  <c r="E259" i="12"/>
  <c r="G259" i="12" s="1"/>
  <c r="E259" i="39"/>
  <c r="G259" i="39" s="1"/>
  <c r="H259" i="39" s="1"/>
  <c r="I259" i="39" s="1"/>
  <c r="J259" i="39" s="1"/>
  <c r="E219" i="39"/>
  <c r="G219" i="39" s="1"/>
  <c r="H219" i="39" s="1"/>
  <c r="I219" i="39" s="1"/>
  <c r="J219" i="39" s="1"/>
  <c r="E219" i="12"/>
  <c r="G219" i="12" s="1"/>
  <c r="E239" i="12"/>
  <c r="G239" i="12" s="1"/>
  <c r="E239" i="39"/>
  <c r="G239" i="39" s="1"/>
  <c r="H239" i="39" s="1"/>
  <c r="I239" i="39" s="1"/>
  <c r="J239" i="39" s="1"/>
  <c r="E238" i="39"/>
  <c r="G238" i="39" s="1"/>
  <c r="H238" i="39" s="1"/>
  <c r="I238" i="39" s="1"/>
  <c r="J238" i="39" s="1"/>
  <c r="E238" i="12"/>
  <c r="G238" i="12" s="1"/>
  <c r="E154" i="12"/>
  <c r="G154" i="12" s="1"/>
  <c r="E154" i="39"/>
  <c r="G154" i="39" s="1"/>
  <c r="H154" i="39" s="1"/>
  <c r="I154" i="39" s="1"/>
  <c r="J154" i="39" s="1"/>
  <c r="E90" i="39"/>
  <c r="G90" i="39" s="1"/>
  <c r="H90" i="39" s="1"/>
  <c r="I90" i="39" s="1"/>
  <c r="J90" i="39" s="1"/>
  <c r="E90" i="12"/>
  <c r="G90" i="12" s="1"/>
  <c r="E26" i="12"/>
  <c r="G26" i="12" s="1"/>
  <c r="E26" i="39"/>
  <c r="G26" i="39" s="1"/>
  <c r="H26" i="39" s="1"/>
  <c r="I26" i="39" s="1"/>
  <c r="J26" i="39" s="1"/>
  <c r="E155" i="12"/>
  <c r="G155" i="12" s="1"/>
  <c r="E155" i="39"/>
  <c r="G155" i="39" s="1"/>
  <c r="H155" i="39" s="1"/>
  <c r="I155" i="39" s="1"/>
  <c r="J155" i="39" s="1"/>
  <c r="E91" i="39"/>
  <c r="G91" i="39" s="1"/>
  <c r="H91" i="39" s="1"/>
  <c r="I91" i="39" s="1"/>
  <c r="J91" i="39" s="1"/>
  <c r="E91" i="12"/>
  <c r="G91" i="12" s="1"/>
  <c r="E27" i="39"/>
  <c r="G27" i="39" s="1"/>
  <c r="H27" i="39" s="1"/>
  <c r="I27" i="39" s="1"/>
  <c r="J27" i="39" s="1"/>
  <c r="E27" i="12"/>
  <c r="G27" i="12" s="1"/>
  <c r="E188" i="39"/>
  <c r="G188" i="39" s="1"/>
  <c r="H188" i="39" s="1"/>
  <c r="I188" i="39" s="1"/>
  <c r="J188" i="39" s="1"/>
  <c r="E188" i="12"/>
  <c r="G188" i="12" s="1"/>
  <c r="E124" i="39"/>
  <c r="G124" i="39" s="1"/>
  <c r="H124" i="39" s="1"/>
  <c r="I124" i="39" s="1"/>
  <c r="J124" i="39" s="1"/>
  <c r="E124" i="12"/>
  <c r="G124" i="12" s="1"/>
  <c r="E60" i="39"/>
  <c r="G60" i="39" s="1"/>
  <c r="H60" i="39" s="1"/>
  <c r="I60" i="39" s="1"/>
  <c r="J60" i="39" s="1"/>
  <c r="E60" i="12"/>
  <c r="G60" i="12" s="1"/>
  <c r="E214" i="39"/>
  <c r="G214" i="39" s="1"/>
  <c r="H214" i="39" s="1"/>
  <c r="I214" i="39" s="1"/>
  <c r="J214" i="39" s="1"/>
  <c r="E214" i="12"/>
  <c r="G214" i="12" s="1"/>
  <c r="E151" i="39"/>
  <c r="G151" i="39" s="1"/>
  <c r="H151" i="39" s="1"/>
  <c r="I151" i="39" s="1"/>
  <c r="J151" i="39" s="1"/>
  <c r="E151" i="12"/>
  <c r="G151" i="12" s="1"/>
  <c r="E87" i="39"/>
  <c r="G87" i="39" s="1"/>
  <c r="H87" i="39" s="1"/>
  <c r="I87" i="39" s="1"/>
  <c r="J87" i="39" s="1"/>
  <c r="E87" i="12"/>
  <c r="G87" i="12" s="1"/>
  <c r="E23" i="39"/>
  <c r="G23" i="39" s="1"/>
  <c r="H23" i="39" s="1"/>
  <c r="I23" i="39" s="1"/>
  <c r="J23" i="39" s="1"/>
  <c r="E23" i="12"/>
  <c r="G23" i="12" s="1"/>
  <c r="E304" i="39"/>
  <c r="G304" i="39" s="1"/>
  <c r="H304" i="39" s="1"/>
  <c r="I304" i="39" s="1"/>
  <c r="J304" i="39" s="1"/>
  <c r="E304" i="12"/>
  <c r="G304" i="12" s="1"/>
  <c r="E56" i="39"/>
  <c r="G56" i="39" s="1"/>
  <c r="H56" i="39" s="1"/>
  <c r="I56" i="39" s="1"/>
  <c r="J56" i="39" s="1"/>
  <c r="E56" i="12"/>
  <c r="G56" i="12" s="1"/>
  <c r="E309" i="39"/>
  <c r="G309" i="39" s="1"/>
  <c r="H309" i="39" s="1"/>
  <c r="I309" i="39" s="1"/>
  <c r="J309" i="39" s="1"/>
  <c r="E309" i="12"/>
  <c r="G309" i="12" s="1"/>
  <c r="E217" i="12"/>
  <c r="G217" i="12" s="1"/>
  <c r="E217" i="39"/>
  <c r="G217" i="39" s="1"/>
  <c r="H217" i="39" s="1"/>
  <c r="I217" i="39" s="1"/>
  <c r="J217" i="39" s="1"/>
  <c r="E97" i="39"/>
  <c r="G97" i="39" s="1"/>
  <c r="H97" i="39" s="1"/>
  <c r="I97" i="39" s="1"/>
  <c r="J97" i="39" s="1"/>
  <c r="E97" i="12"/>
  <c r="G97" i="12" s="1"/>
  <c r="E176" i="12"/>
  <c r="G176" i="12" s="1"/>
  <c r="E176" i="39"/>
  <c r="G176" i="39" s="1"/>
  <c r="H176" i="39" s="1"/>
  <c r="I176" i="39" s="1"/>
  <c r="J176" i="39" s="1"/>
  <c r="E22" i="39"/>
  <c r="G22" i="39" s="1"/>
  <c r="H22" i="39" s="1"/>
  <c r="I22" i="39" s="1"/>
  <c r="J22" i="39" s="1"/>
  <c r="E22" i="12"/>
  <c r="G22" i="12" s="1"/>
  <c r="E224" i="39"/>
  <c r="G224" i="39" s="1"/>
  <c r="H224" i="39" s="1"/>
  <c r="I224" i="39" s="1"/>
  <c r="J224" i="39" s="1"/>
  <c r="E224" i="12"/>
  <c r="G224" i="12" s="1"/>
  <c r="E294" i="39"/>
  <c r="G294" i="39" s="1"/>
  <c r="H294" i="39" s="1"/>
  <c r="I294" i="39" s="1"/>
  <c r="J294" i="39" s="1"/>
  <c r="E294" i="12"/>
  <c r="G294" i="12" s="1"/>
  <c r="E181" i="39"/>
  <c r="G181" i="39" s="1"/>
  <c r="H181" i="39" s="1"/>
  <c r="I181" i="39" s="1"/>
  <c r="J181" i="39" s="1"/>
  <c r="E181" i="12"/>
  <c r="G181" i="12" s="1"/>
  <c r="E200" i="12"/>
  <c r="G200" i="12" s="1"/>
  <c r="E200" i="39"/>
  <c r="G200" i="39" s="1"/>
  <c r="H200" i="39" s="1"/>
  <c r="I200" i="39" s="1"/>
  <c r="J200" i="39" s="1"/>
  <c r="E120" i="12"/>
  <c r="G120" i="12" s="1"/>
  <c r="E120" i="39"/>
  <c r="G120" i="39" s="1"/>
  <c r="H120" i="39" s="1"/>
  <c r="I120" i="39" s="1"/>
  <c r="J120" i="39" s="1"/>
  <c r="E137" i="39"/>
  <c r="G137" i="39" s="1"/>
  <c r="H137" i="39" s="1"/>
  <c r="I137" i="39" s="1"/>
  <c r="J137" i="39" s="1"/>
  <c r="E137" i="12"/>
  <c r="G137" i="12" s="1"/>
  <c r="E269" i="12"/>
  <c r="G269" i="12" s="1"/>
  <c r="E269" i="39"/>
  <c r="G269" i="39" s="1"/>
  <c r="H269" i="39" s="1"/>
  <c r="I269" i="39" s="1"/>
  <c r="J269" i="39" s="1"/>
  <c r="E13" i="39"/>
  <c r="G13" i="39" s="1"/>
  <c r="H13" i="39" s="1"/>
  <c r="I13" i="39" s="1"/>
  <c r="J13" i="39" s="1"/>
  <c r="E13" i="12"/>
  <c r="G13" i="12" s="1"/>
  <c r="E245" i="12"/>
  <c r="G245" i="12" s="1"/>
  <c r="E245" i="39"/>
  <c r="G245" i="39" s="1"/>
  <c r="H245" i="39" s="1"/>
  <c r="I245" i="39" s="1"/>
  <c r="J245" i="39" s="1"/>
  <c r="E94" i="39"/>
  <c r="G94" i="39" s="1"/>
  <c r="H94" i="39" s="1"/>
  <c r="I94" i="39" s="1"/>
  <c r="J94" i="39" s="1"/>
  <c r="E94" i="12"/>
  <c r="G94" i="12" s="1"/>
  <c r="E240" i="39"/>
  <c r="G240" i="39" s="1"/>
  <c r="H240" i="39" s="1"/>
  <c r="I240" i="39" s="1"/>
  <c r="J240" i="39" s="1"/>
  <c r="E240" i="12"/>
  <c r="G240" i="12" s="1"/>
  <c r="E8" i="39"/>
  <c r="G8" i="39" s="1"/>
  <c r="H8" i="39" s="1"/>
  <c r="I8" i="39" s="1"/>
  <c r="J8" i="39" s="1"/>
  <c r="E8" i="12"/>
  <c r="G8" i="12" s="1"/>
  <c r="E36" i="39"/>
  <c r="G36" i="39" s="1"/>
  <c r="H36" i="39" s="1"/>
  <c r="I36" i="39" s="1"/>
  <c r="J36" i="39" s="1"/>
  <c r="E36" i="12"/>
  <c r="G36" i="12" s="1"/>
  <c r="E86" i="12"/>
  <c r="G86" i="12" s="1"/>
  <c r="E86" i="39"/>
  <c r="G86" i="39" s="1"/>
  <c r="H86" i="39" s="1"/>
  <c r="I86" i="39" s="1"/>
  <c r="J86" i="39" s="1"/>
  <c r="E41" i="39"/>
  <c r="G41" i="39" s="1"/>
  <c r="H41" i="39" s="1"/>
  <c r="I41" i="39" s="1"/>
  <c r="J41" i="39" s="1"/>
  <c r="E41" i="12"/>
  <c r="G41" i="12" s="1"/>
  <c r="E281" i="12"/>
  <c r="G281" i="12" s="1"/>
  <c r="E281" i="39"/>
  <c r="G281" i="39" s="1"/>
  <c r="H281" i="39" s="1"/>
  <c r="I281" i="39" s="1"/>
  <c r="J281" i="39" s="1"/>
  <c r="E305" i="39"/>
  <c r="G305" i="39" s="1"/>
  <c r="H305" i="39" s="1"/>
  <c r="I305" i="39" s="1"/>
  <c r="J305" i="39" s="1"/>
  <c r="E305" i="12"/>
  <c r="G305" i="12" s="1"/>
  <c r="E298" i="39"/>
  <c r="G298" i="39" s="1"/>
  <c r="H298" i="39" s="1"/>
  <c r="I298" i="39" s="1"/>
  <c r="J298" i="39" s="1"/>
  <c r="E298" i="12"/>
  <c r="G298" i="12" s="1"/>
  <c r="E234" i="12"/>
  <c r="G234" i="12" s="1"/>
  <c r="E234" i="39"/>
  <c r="G234" i="39" s="1"/>
  <c r="H234" i="39" s="1"/>
  <c r="I234" i="39" s="1"/>
  <c r="J234" i="39" s="1"/>
  <c r="E251" i="12"/>
  <c r="G251" i="12" s="1"/>
  <c r="E251" i="39"/>
  <c r="G251" i="39" s="1"/>
  <c r="H251" i="39" s="1"/>
  <c r="I251" i="39" s="1"/>
  <c r="J251" i="39" s="1"/>
  <c r="E210" i="39"/>
  <c r="G210" i="39" s="1"/>
  <c r="H210" i="39" s="1"/>
  <c r="I210" i="39" s="1"/>
  <c r="J210" i="39" s="1"/>
  <c r="E210" i="12"/>
  <c r="G210" i="12" s="1"/>
  <c r="E223" i="39"/>
  <c r="G223" i="39" s="1"/>
  <c r="H223" i="39" s="1"/>
  <c r="I223" i="39" s="1"/>
  <c r="J223" i="39" s="1"/>
  <c r="E223" i="12"/>
  <c r="G223" i="12" s="1"/>
  <c r="E211" i="39"/>
  <c r="G211" i="39" s="1"/>
  <c r="H211" i="39" s="1"/>
  <c r="I211" i="39" s="1"/>
  <c r="J211" i="39" s="1"/>
  <c r="E211" i="12"/>
  <c r="G211" i="12" s="1"/>
  <c r="E146" i="39"/>
  <c r="G146" i="39" s="1"/>
  <c r="H146" i="39" s="1"/>
  <c r="I146" i="39" s="1"/>
  <c r="J146" i="39" s="1"/>
  <c r="E146" i="12"/>
  <c r="G146" i="12" s="1"/>
  <c r="E82" i="39"/>
  <c r="G82" i="39" s="1"/>
  <c r="H82" i="39" s="1"/>
  <c r="I82" i="39" s="1"/>
  <c r="J82" i="39" s="1"/>
  <c r="E82" i="12"/>
  <c r="G82" i="12" s="1"/>
  <c r="E18" i="12"/>
  <c r="G18" i="12" s="1"/>
  <c r="E18" i="39"/>
  <c r="G18" i="39" s="1"/>
  <c r="H18" i="39" s="1"/>
  <c r="I18" i="39" s="1"/>
  <c r="J18" i="39" s="1"/>
  <c r="E147" i="39"/>
  <c r="G147" i="39" s="1"/>
  <c r="H147" i="39" s="1"/>
  <c r="I147" i="39" s="1"/>
  <c r="J147" i="39" s="1"/>
  <c r="E147" i="12"/>
  <c r="G147" i="12" s="1"/>
  <c r="E83" i="39"/>
  <c r="G83" i="39" s="1"/>
  <c r="H83" i="39" s="1"/>
  <c r="I83" i="39" s="1"/>
  <c r="J83" i="39" s="1"/>
  <c r="E83" i="12"/>
  <c r="G83" i="12" s="1"/>
  <c r="E19" i="39"/>
  <c r="G19" i="39" s="1"/>
  <c r="H19" i="39" s="1"/>
  <c r="I19" i="39" s="1"/>
  <c r="J19" i="39" s="1"/>
  <c r="E19" i="12"/>
  <c r="G19" i="12" s="1"/>
  <c r="E180" i="39"/>
  <c r="G180" i="39" s="1"/>
  <c r="H180" i="39" s="1"/>
  <c r="I180" i="39" s="1"/>
  <c r="J180" i="39" s="1"/>
  <c r="E180" i="12"/>
  <c r="G180" i="12" s="1"/>
  <c r="E116" i="12"/>
  <c r="G116" i="12" s="1"/>
  <c r="E116" i="39"/>
  <c r="G116" i="39" s="1"/>
  <c r="H116" i="39" s="1"/>
  <c r="I116" i="39" s="1"/>
  <c r="J116" i="39" s="1"/>
  <c r="E52" i="39"/>
  <c r="G52" i="39" s="1"/>
  <c r="H52" i="39" s="1"/>
  <c r="I52" i="39" s="1"/>
  <c r="J52" i="39" s="1"/>
  <c r="E52" i="12"/>
  <c r="G52" i="12" s="1"/>
  <c r="E206" i="39"/>
  <c r="G206" i="39" s="1"/>
  <c r="H206" i="39" s="1"/>
  <c r="I206" i="39" s="1"/>
  <c r="J206" i="39" s="1"/>
  <c r="E206" i="12"/>
  <c r="G206" i="12" s="1"/>
  <c r="E143" i="39"/>
  <c r="G143" i="39" s="1"/>
  <c r="H143" i="39" s="1"/>
  <c r="I143" i="39" s="1"/>
  <c r="J143" i="39" s="1"/>
  <c r="E143" i="12"/>
  <c r="G143" i="12" s="1"/>
  <c r="E79" i="39"/>
  <c r="G79" i="39" s="1"/>
  <c r="H79" i="39" s="1"/>
  <c r="I79" i="39" s="1"/>
  <c r="J79" i="39" s="1"/>
  <c r="E79" i="12"/>
  <c r="G79" i="12" s="1"/>
  <c r="E15" i="39"/>
  <c r="G15" i="39" s="1"/>
  <c r="H15" i="39" s="1"/>
  <c r="I15" i="39" s="1"/>
  <c r="J15" i="39" s="1"/>
  <c r="E15" i="12"/>
  <c r="G15" i="12" s="1"/>
  <c r="E112" i="39"/>
  <c r="G112" i="39" s="1"/>
  <c r="H112" i="39" s="1"/>
  <c r="I112" i="39" s="1"/>
  <c r="J112" i="39" s="1"/>
  <c r="E112" i="12"/>
  <c r="G112" i="12" s="1"/>
  <c r="E244" i="39"/>
  <c r="G244" i="39" s="1"/>
  <c r="H244" i="39" s="1"/>
  <c r="I244" i="39" s="1"/>
  <c r="J244" i="39" s="1"/>
  <c r="E244" i="12"/>
  <c r="G244" i="12" s="1"/>
  <c r="E73" i="12"/>
  <c r="G73" i="12" s="1"/>
  <c r="E73" i="39"/>
  <c r="G73" i="39" s="1"/>
  <c r="H73" i="39" s="1"/>
  <c r="I73" i="39" s="1"/>
  <c r="J73" i="39" s="1"/>
  <c r="E308" i="39"/>
  <c r="G308" i="39" s="1"/>
  <c r="H308" i="39" s="1"/>
  <c r="I308" i="39" s="1"/>
  <c r="J308" i="39" s="1"/>
  <c r="E308" i="12"/>
  <c r="G308" i="12" s="1"/>
  <c r="E161" i="39"/>
  <c r="G161" i="39" s="1"/>
  <c r="H161" i="39" s="1"/>
  <c r="I161" i="39" s="1"/>
  <c r="J161" i="39" s="1"/>
  <c r="E161" i="12"/>
  <c r="G161" i="12" s="1"/>
  <c r="E61" i="12"/>
  <c r="G61" i="12" s="1"/>
  <c r="E61" i="39"/>
  <c r="G61" i="39" s="1"/>
  <c r="H61" i="39" s="1"/>
  <c r="I61" i="39" s="1"/>
  <c r="J61" i="39" s="1"/>
  <c r="E40" i="39"/>
  <c r="G40" i="39" s="1"/>
  <c r="H40" i="39" s="1"/>
  <c r="I40" i="39" s="1"/>
  <c r="J40" i="39" s="1"/>
  <c r="E40" i="12"/>
  <c r="G40" i="12" s="1"/>
  <c r="E57" i="12"/>
  <c r="G57" i="12" s="1"/>
  <c r="E57" i="39"/>
  <c r="G57" i="39" s="1"/>
  <c r="H57" i="39" s="1"/>
  <c r="I57" i="39" s="1"/>
  <c r="J57" i="39" s="1"/>
  <c r="E272" i="39"/>
  <c r="G272" i="39" s="1"/>
  <c r="H272" i="39" s="1"/>
  <c r="I272" i="39" s="1"/>
  <c r="J272" i="39" s="1"/>
  <c r="E272" i="12"/>
  <c r="G272" i="12" s="1"/>
  <c r="E46" i="39"/>
  <c r="G46" i="39" s="1"/>
  <c r="H46" i="39" s="1"/>
  <c r="I46" i="39" s="1"/>
  <c r="J46" i="39" s="1"/>
  <c r="E46" i="12"/>
  <c r="G46" i="12" s="1"/>
  <c r="E260" i="39"/>
  <c r="G260" i="39" s="1"/>
  <c r="H260" i="39" s="1"/>
  <c r="I260" i="39" s="1"/>
  <c r="J260" i="39" s="1"/>
  <c r="E260" i="12"/>
  <c r="G260" i="12" s="1"/>
  <c r="E184" i="39"/>
  <c r="G184" i="39" s="1"/>
  <c r="H184" i="39" s="1"/>
  <c r="I184" i="39" s="1"/>
  <c r="J184" i="39" s="1"/>
  <c r="E184" i="12"/>
  <c r="G184" i="12" s="1"/>
  <c r="E9" i="39"/>
  <c r="G9" i="39" s="1"/>
  <c r="H9" i="39" s="1"/>
  <c r="I9" i="39" s="1"/>
  <c r="J9" i="39" s="1"/>
  <c r="E9" i="12"/>
  <c r="G9" i="12" s="1"/>
  <c r="E225" i="12"/>
  <c r="G225" i="12" s="1"/>
  <c r="E225" i="39"/>
  <c r="G225" i="39" s="1"/>
  <c r="H225" i="39" s="1"/>
  <c r="I225" i="39" s="1"/>
  <c r="J225" i="39" s="1"/>
  <c r="E80" i="39"/>
  <c r="G80" i="39" s="1"/>
  <c r="H80" i="39" s="1"/>
  <c r="I80" i="39" s="1"/>
  <c r="J80" i="39" s="1"/>
  <c r="E80" i="12"/>
  <c r="G80" i="12" s="1"/>
  <c r="E293" i="39"/>
  <c r="G293" i="39" s="1"/>
  <c r="H293" i="39" s="1"/>
  <c r="I293" i="39" s="1"/>
  <c r="J293" i="39" s="1"/>
  <c r="E293" i="12"/>
  <c r="G293" i="12" s="1"/>
  <c r="E14" i="39"/>
  <c r="G14" i="39" s="1"/>
  <c r="H14" i="39" s="1"/>
  <c r="I14" i="39" s="1"/>
  <c r="J14" i="39" s="1"/>
  <c r="E14" i="12"/>
  <c r="G14" i="12" s="1"/>
  <c r="E301" i="39"/>
  <c r="G301" i="39" s="1"/>
  <c r="H301" i="39" s="1"/>
  <c r="I301" i="39" s="1"/>
  <c r="J301" i="39" s="1"/>
  <c r="E301" i="12"/>
  <c r="G301" i="12" s="1"/>
  <c r="E117" i="39"/>
  <c r="G117" i="39" s="1"/>
  <c r="H117" i="39" s="1"/>
  <c r="I117" i="39" s="1"/>
  <c r="J117" i="39" s="1"/>
  <c r="E117" i="12"/>
  <c r="G117" i="12" s="1"/>
  <c r="E157" i="12"/>
  <c r="G157" i="12" s="1"/>
  <c r="E157" i="39"/>
  <c r="G157" i="39" s="1"/>
  <c r="H157" i="39" s="1"/>
  <c r="I157" i="39" s="1"/>
  <c r="J157" i="39" s="1"/>
  <c r="E88" i="39"/>
  <c r="G88" i="39" s="1"/>
  <c r="H88" i="39" s="1"/>
  <c r="I88" i="39" s="1"/>
  <c r="J88" i="39" s="1"/>
  <c r="E88" i="12"/>
  <c r="G88" i="12" s="1"/>
  <c r="E105" i="39"/>
  <c r="G105" i="39" s="1"/>
  <c r="H105" i="39" s="1"/>
  <c r="I105" i="39" s="1"/>
  <c r="J105" i="39" s="1"/>
  <c r="E105" i="12"/>
  <c r="G105" i="12" s="1"/>
  <c r="E302" i="39"/>
  <c r="G302" i="39" s="1"/>
  <c r="H302" i="39" s="1"/>
  <c r="I302" i="39" s="1"/>
  <c r="J302" i="39" s="1"/>
  <c r="E302" i="12"/>
  <c r="G302" i="12" s="1"/>
  <c r="E265" i="12"/>
  <c r="G265" i="12" s="1"/>
  <c r="E265" i="39"/>
  <c r="G265" i="39" s="1"/>
  <c r="H265" i="39" s="1"/>
  <c r="I265" i="39" s="1"/>
  <c r="J265" i="39" s="1"/>
  <c r="E290" i="39"/>
  <c r="G290" i="39" s="1"/>
  <c r="H290" i="39" s="1"/>
  <c r="I290" i="39" s="1"/>
  <c r="J290" i="39" s="1"/>
  <c r="E290" i="12"/>
  <c r="G290" i="12" s="1"/>
  <c r="E227" i="39"/>
  <c r="G227" i="39" s="1"/>
  <c r="H227" i="39" s="1"/>
  <c r="I227" i="39" s="1"/>
  <c r="J227" i="39" s="1"/>
  <c r="E227" i="12"/>
  <c r="G227" i="12" s="1"/>
  <c r="E243" i="12"/>
  <c r="G243" i="12" s="1"/>
  <c r="E243" i="39"/>
  <c r="G243" i="39" s="1"/>
  <c r="H243" i="39" s="1"/>
  <c r="I243" i="39" s="1"/>
  <c r="J243" i="39" s="1"/>
  <c r="E263" i="39"/>
  <c r="G263" i="39" s="1"/>
  <c r="H263" i="39" s="1"/>
  <c r="I263" i="39" s="1"/>
  <c r="J263" i="39" s="1"/>
  <c r="E263" i="12"/>
  <c r="G263" i="12" s="1"/>
  <c r="E286" i="39"/>
  <c r="G286" i="39" s="1"/>
  <c r="H286" i="39" s="1"/>
  <c r="I286" i="39" s="1"/>
  <c r="J286" i="39" s="1"/>
  <c r="E286" i="12"/>
  <c r="G286" i="12" s="1"/>
  <c r="E202" i="12"/>
  <c r="G202" i="12" s="1"/>
  <c r="E202" i="39"/>
  <c r="G202" i="39" s="1"/>
  <c r="H202" i="39" s="1"/>
  <c r="I202" i="39" s="1"/>
  <c r="J202" i="39" s="1"/>
  <c r="E138" i="39"/>
  <c r="G138" i="39" s="1"/>
  <c r="H138" i="39" s="1"/>
  <c r="I138" i="39" s="1"/>
  <c r="J138" i="39" s="1"/>
  <c r="E138" i="12"/>
  <c r="G138" i="12" s="1"/>
  <c r="E74" i="39"/>
  <c r="G74" i="39" s="1"/>
  <c r="H74" i="39" s="1"/>
  <c r="I74" i="39" s="1"/>
  <c r="J74" i="39" s="1"/>
  <c r="E74" i="12"/>
  <c r="G74" i="12" s="1"/>
  <c r="E10" i="39"/>
  <c r="G10" i="39" s="1"/>
  <c r="H10" i="39" s="1"/>
  <c r="I10" i="39" s="1"/>
  <c r="J10" i="39" s="1"/>
  <c r="E10" i="12"/>
  <c r="G10" i="12" s="1"/>
  <c r="E139" i="39"/>
  <c r="G139" i="39" s="1"/>
  <c r="H139" i="39" s="1"/>
  <c r="I139" i="39" s="1"/>
  <c r="J139" i="39" s="1"/>
  <c r="E139" i="12"/>
  <c r="G139" i="12" s="1"/>
  <c r="E75" i="39"/>
  <c r="G75" i="39" s="1"/>
  <c r="H75" i="39" s="1"/>
  <c r="I75" i="39" s="1"/>
  <c r="J75" i="39" s="1"/>
  <c r="E75" i="12"/>
  <c r="G75" i="12" s="1"/>
  <c r="E11" i="39"/>
  <c r="G11" i="39" s="1"/>
  <c r="H11" i="39" s="1"/>
  <c r="I11" i="39" s="1"/>
  <c r="J11" i="39" s="1"/>
  <c r="E11" i="12"/>
  <c r="G11" i="12" s="1"/>
  <c r="E172" i="39"/>
  <c r="G172" i="39" s="1"/>
  <c r="H172" i="39" s="1"/>
  <c r="I172" i="39" s="1"/>
  <c r="J172" i="39" s="1"/>
  <c r="E172" i="12"/>
  <c r="G172" i="12" s="1"/>
  <c r="E108" i="39"/>
  <c r="G108" i="39" s="1"/>
  <c r="H108" i="39" s="1"/>
  <c r="I108" i="39" s="1"/>
  <c r="J108" i="39" s="1"/>
  <c r="E108" i="12"/>
  <c r="G108" i="12" s="1"/>
  <c r="E44" i="39"/>
  <c r="G44" i="39" s="1"/>
  <c r="H44" i="39" s="1"/>
  <c r="I44" i="39" s="1"/>
  <c r="J44" i="39" s="1"/>
  <c r="E44" i="12"/>
  <c r="G44" i="12" s="1"/>
  <c r="E198" i="39"/>
  <c r="G198" i="39" s="1"/>
  <c r="H198" i="39" s="1"/>
  <c r="I198" i="39" s="1"/>
  <c r="J198" i="39" s="1"/>
  <c r="E198" i="12"/>
  <c r="G198" i="12" s="1"/>
  <c r="E135" i="12"/>
  <c r="G135" i="12" s="1"/>
  <c r="E135" i="39"/>
  <c r="G135" i="39" s="1"/>
  <c r="H135" i="39" s="1"/>
  <c r="I135" i="39" s="1"/>
  <c r="J135" i="39" s="1"/>
  <c r="E71" i="39"/>
  <c r="G71" i="39" s="1"/>
  <c r="H71" i="39" s="1"/>
  <c r="I71" i="39" s="1"/>
  <c r="J71" i="39" s="1"/>
  <c r="E71" i="12"/>
  <c r="G71" i="12" s="1"/>
  <c r="E7" i="39"/>
  <c r="G7" i="39" s="1"/>
  <c r="H7" i="39" s="1"/>
  <c r="I7" i="39" s="1"/>
  <c r="J7" i="39" s="1"/>
  <c r="E7" i="12"/>
  <c r="G7" i="12" s="1"/>
  <c r="G253" i="25"/>
  <c r="G52" i="25"/>
  <c r="G150" i="25"/>
  <c r="G156" i="25"/>
  <c r="G245" i="25"/>
  <c r="G48" i="25"/>
  <c r="G117" i="25"/>
  <c r="G260" i="25"/>
  <c r="G159" i="25"/>
  <c r="G199" i="25"/>
  <c r="G314" i="25"/>
  <c r="G250" i="25"/>
  <c r="G186" i="25"/>
  <c r="G122" i="25"/>
  <c r="G275" i="25"/>
  <c r="G83" i="25"/>
  <c r="G17" i="25"/>
  <c r="G14" i="25"/>
  <c r="G7" i="25"/>
  <c r="G289" i="25"/>
  <c r="G247" i="25"/>
  <c r="G155" i="25"/>
  <c r="G160" i="25"/>
  <c r="G91" i="25"/>
  <c r="G50" i="25"/>
  <c r="G23" i="25"/>
  <c r="G173" i="25"/>
  <c r="G273" i="25"/>
  <c r="G100" i="25"/>
  <c r="G101" i="25"/>
  <c r="G104" i="25"/>
  <c r="G62" i="25"/>
  <c r="G177" i="25"/>
  <c r="G300" i="25"/>
  <c r="G185" i="25"/>
  <c r="G56" i="25"/>
  <c r="G65" i="25"/>
  <c r="G72" i="25"/>
  <c r="G73" i="25"/>
  <c r="G77" i="25"/>
  <c r="G108" i="25"/>
  <c r="G182" i="25"/>
  <c r="G142" i="25"/>
  <c r="G292" i="25"/>
  <c r="G189" i="25"/>
  <c r="G238" i="25"/>
  <c r="G224" i="25"/>
  <c r="G279" i="25"/>
  <c r="G303" i="25"/>
  <c r="G127" i="25"/>
  <c r="G79" i="25"/>
  <c r="G167" i="25"/>
  <c r="G306" i="25"/>
  <c r="G242" i="25"/>
  <c r="G178" i="25"/>
  <c r="G114" i="25"/>
  <c r="G41" i="25"/>
  <c r="G267" i="25"/>
  <c r="G203" i="25"/>
  <c r="G139" i="25"/>
  <c r="G75" i="25"/>
  <c r="G13" i="25"/>
  <c r="G10" i="25"/>
  <c r="G55" i="25"/>
  <c r="G285" i="25"/>
  <c r="G227" i="25"/>
  <c r="G258" i="25"/>
  <c r="G149" i="25"/>
  <c r="G152" i="25"/>
  <c r="G42" i="25"/>
  <c r="G21" i="25"/>
  <c r="G209" i="25"/>
  <c r="G228" i="25"/>
  <c r="G172" i="25"/>
  <c r="G249" i="25"/>
  <c r="G168" i="25"/>
  <c r="G126" i="25"/>
  <c r="G254" i="25"/>
  <c r="G193" i="25"/>
  <c r="G197" i="25"/>
  <c r="G28" i="25"/>
  <c r="G165" i="25"/>
  <c r="G136" i="25"/>
  <c r="G244" i="25"/>
  <c r="G246" i="25"/>
  <c r="G76" i="25"/>
  <c r="G81" i="25"/>
  <c r="G206" i="25"/>
  <c r="G121" i="25"/>
  <c r="G222" i="25"/>
  <c r="G280" i="25"/>
  <c r="G293" i="25"/>
  <c r="G294" i="25"/>
  <c r="G271" i="25"/>
  <c r="G95" i="25"/>
  <c r="G295" i="25"/>
  <c r="G135" i="25"/>
  <c r="G298" i="25"/>
  <c r="G234" i="25"/>
  <c r="G170" i="25"/>
  <c r="G106" i="25"/>
  <c r="G58" i="25"/>
  <c r="G259" i="25"/>
  <c r="G195" i="25"/>
  <c r="G131" i="25"/>
  <c r="G67" i="25"/>
  <c r="G38" i="25"/>
  <c r="G59" i="25"/>
  <c r="G47" i="25"/>
  <c r="G305" i="25"/>
  <c r="G97" i="25"/>
  <c r="G109" i="25"/>
  <c r="G308" i="25"/>
  <c r="G261" i="25"/>
  <c r="G32" i="25"/>
  <c r="G78" i="25"/>
  <c r="G310" i="25"/>
  <c r="G211" i="25"/>
  <c r="G225" i="25"/>
  <c r="G143" i="25"/>
  <c r="G26" i="25"/>
  <c r="G124" i="25"/>
  <c r="G190" i="25"/>
  <c r="G70" i="25"/>
  <c r="G12" i="25"/>
  <c r="G241" i="25"/>
  <c r="G80" i="25"/>
  <c r="G223" i="25"/>
  <c r="G103" i="25"/>
  <c r="G98" i="25"/>
  <c r="G187" i="25"/>
  <c r="G54" i="25"/>
  <c r="G51" i="25"/>
  <c r="G221" i="25"/>
  <c r="G132" i="25"/>
  <c r="G86" i="25"/>
  <c r="G166" i="25"/>
  <c r="G257" i="25"/>
  <c r="G196" i="25"/>
  <c r="G181" i="25"/>
  <c r="G94" i="25"/>
  <c r="G141" i="25"/>
  <c r="G153" i="25"/>
  <c r="G286" i="25"/>
  <c r="G282" i="25"/>
  <c r="G90" i="25"/>
  <c r="G179" i="25"/>
  <c r="G35" i="25"/>
  <c r="G269" i="25"/>
  <c r="G219" i="25"/>
  <c r="G210" i="25"/>
  <c r="G119" i="25"/>
  <c r="G130" i="25"/>
  <c r="G18" i="25"/>
  <c r="G148" i="25"/>
  <c r="G220" i="25"/>
  <c r="G157" i="25"/>
  <c r="G120" i="25"/>
  <c r="G252" i="25"/>
  <c r="G176" i="25"/>
  <c r="G301" i="25"/>
  <c r="G8" i="25"/>
  <c r="G201" i="25"/>
  <c r="G205" i="25"/>
  <c r="G88" i="25"/>
  <c r="G198" i="25"/>
  <c r="G112" i="25"/>
  <c r="G40" i="25"/>
  <c r="G272" i="25"/>
  <c r="G158" i="25"/>
  <c r="G256" i="25"/>
  <c r="G278" i="25"/>
  <c r="G44" i="25"/>
  <c r="G92" i="25"/>
  <c r="G85" i="25"/>
  <c r="G233" i="25"/>
  <c r="G183" i="25"/>
  <c r="G270" i="25"/>
  <c r="G215" i="25"/>
  <c r="G311" i="25"/>
  <c r="G287" i="25"/>
  <c r="G146" i="25"/>
  <c r="G82" i="25"/>
  <c r="G299" i="25"/>
  <c r="G235" i="25"/>
  <c r="G171" i="25"/>
  <c r="G107" i="25"/>
  <c r="G33" i="25"/>
  <c r="G31" i="25"/>
  <c r="G19" i="25"/>
  <c r="G175" i="25"/>
  <c r="G29" i="25"/>
  <c r="G297" i="25"/>
  <c r="G214" i="25"/>
  <c r="G276" i="25"/>
  <c r="G69" i="25"/>
  <c r="G169" i="25"/>
  <c r="G111" i="25"/>
  <c r="G46" i="25"/>
  <c r="G283" i="25"/>
  <c r="G144" i="25"/>
  <c r="G284" i="25"/>
  <c r="G208" i="25"/>
  <c r="G188" i="25"/>
  <c r="G36" i="25"/>
  <c r="G64" i="25"/>
  <c r="G268" i="25"/>
  <c r="G89" i="25"/>
  <c r="G63" i="25"/>
  <c r="G226" i="25"/>
  <c r="G251" i="25"/>
  <c r="G43" i="25"/>
  <c r="G277" i="25"/>
  <c r="G125" i="25"/>
  <c r="G24" i="25"/>
  <c r="G93" i="25"/>
  <c r="G240" i="25"/>
  <c r="G180" i="25"/>
  <c r="G264" i="25"/>
  <c r="G217" i="25"/>
  <c r="G216" i="25"/>
  <c r="G231" i="25"/>
  <c r="G207" i="25"/>
  <c r="G154" i="25"/>
  <c r="G243" i="25"/>
  <c r="G37" i="25"/>
  <c r="G30" i="25"/>
  <c r="G312" i="25"/>
  <c r="G213" i="25"/>
  <c r="G204" i="25"/>
  <c r="G105" i="25"/>
  <c r="G110" i="25"/>
  <c r="G57" i="25"/>
  <c r="G116" i="25"/>
  <c r="G96" i="25"/>
  <c r="G237" i="25"/>
  <c r="G184" i="25"/>
  <c r="G129" i="25"/>
  <c r="G49" i="25"/>
  <c r="G161" i="25"/>
  <c r="G229" i="25"/>
  <c r="G313" i="25"/>
  <c r="G236" i="25"/>
  <c r="G20" i="25"/>
  <c r="G137" i="25"/>
  <c r="G128" i="25"/>
  <c r="G281" i="25"/>
  <c r="G151" i="25"/>
  <c r="G239" i="25"/>
  <c r="G255" i="25"/>
  <c r="G266" i="25"/>
  <c r="G202" i="25"/>
  <c r="G138" i="25"/>
  <c r="G74" i="25"/>
  <c r="G291" i="25"/>
  <c r="G163" i="25"/>
  <c r="G25" i="25"/>
  <c r="G22" i="25"/>
  <c r="G27" i="25"/>
  <c r="G15" i="25"/>
  <c r="G174" i="25"/>
  <c r="G248" i="25"/>
  <c r="G113" i="25"/>
  <c r="G265" i="25"/>
  <c r="G60" i="25"/>
  <c r="G61" i="25"/>
  <c r="G87" i="25"/>
  <c r="G147" i="25"/>
  <c r="G232" i="25"/>
  <c r="G11" i="25"/>
  <c r="G304" i="25"/>
  <c r="G102" i="25"/>
  <c r="G288" i="25"/>
  <c r="G212" i="25"/>
  <c r="G200" i="25"/>
  <c r="G133" i="25"/>
  <c r="G145" i="25"/>
  <c r="G68" i="25"/>
  <c r="G262" i="25"/>
  <c r="G263" i="25"/>
  <c r="G290" i="25"/>
  <c r="G162" i="25"/>
  <c r="G53" i="25"/>
  <c r="G123" i="25"/>
  <c r="G34" i="25"/>
  <c r="G230" i="25"/>
  <c r="G84" i="25"/>
  <c r="G16" i="25"/>
  <c r="G296" i="25"/>
  <c r="G164" i="25"/>
  <c r="G134" i="25"/>
  <c r="G192" i="25"/>
  <c r="G118" i="25"/>
  <c r="G140" i="25"/>
  <c r="G302" i="25"/>
  <c r="G71" i="25"/>
  <c r="G218" i="25"/>
  <c r="G307" i="25"/>
  <c r="G115" i="25"/>
  <c r="G39" i="25"/>
  <c r="G309" i="25"/>
  <c r="G274" i="25"/>
  <c r="G191" i="25"/>
  <c r="G194" i="25"/>
  <c r="G99" i="25"/>
  <c r="G66" i="25"/>
  <c r="G45" i="25"/>
  <c r="G9" i="25"/>
  <c r="F41" i="48"/>
  <c r="E325" i="34"/>
  <c r="I325" i="34" s="1"/>
  <c r="E314" i="39" s="1"/>
  <c r="G314" i="39" s="1"/>
  <c r="H314" i="39" s="1"/>
  <c r="I16" i="34"/>
  <c r="H157" i="12" l="1"/>
  <c r="I157" i="12" s="1"/>
  <c r="H7" i="12"/>
  <c r="I7" i="12" s="1"/>
  <c r="J8" i="25" s="1"/>
  <c r="H44" i="12"/>
  <c r="I44" i="12" s="1"/>
  <c r="J45" i="25" s="1"/>
  <c r="H75" i="12"/>
  <c r="I75" i="12" s="1"/>
  <c r="J76" i="25" s="1"/>
  <c r="H138" i="12"/>
  <c r="I138" i="12" s="1"/>
  <c r="H302" i="12"/>
  <c r="I302" i="12" s="1"/>
  <c r="H117" i="12"/>
  <c r="I117" i="12" s="1"/>
  <c r="J118" i="25" s="1"/>
  <c r="H80" i="12"/>
  <c r="I80" i="12" s="1"/>
  <c r="H260" i="12"/>
  <c r="I260" i="12" s="1"/>
  <c r="H40" i="12"/>
  <c r="I40" i="12" s="1"/>
  <c r="J41" i="25" s="1"/>
  <c r="H79" i="12"/>
  <c r="I79" i="12" s="1"/>
  <c r="J80" i="25" s="1"/>
  <c r="H147" i="12"/>
  <c r="I147" i="12" s="1"/>
  <c r="H211" i="12"/>
  <c r="I211" i="12" s="1"/>
  <c r="H41" i="12"/>
  <c r="I41" i="12" s="1"/>
  <c r="J42" i="25" s="1"/>
  <c r="H240" i="12"/>
  <c r="I240" i="12" s="1"/>
  <c r="J241" i="25" s="1"/>
  <c r="H181" i="12"/>
  <c r="I181" i="12" s="1"/>
  <c r="H56" i="12"/>
  <c r="I56" i="12" s="1"/>
  <c r="J57" i="25" s="1"/>
  <c r="H151" i="12"/>
  <c r="I151" i="12" s="1"/>
  <c r="J152" i="25" s="1"/>
  <c r="H188" i="12"/>
  <c r="I188" i="12" s="1"/>
  <c r="J189" i="25" s="1"/>
  <c r="H306" i="12"/>
  <c r="I306" i="12" s="1"/>
  <c r="J307" i="25" s="1"/>
  <c r="H145" i="12"/>
  <c r="I145" i="12" s="1"/>
  <c r="H31" i="12"/>
  <c r="I31" i="12" s="1"/>
  <c r="J32" i="25" s="1"/>
  <c r="H99" i="12"/>
  <c r="I99" i="12" s="1"/>
  <c r="J100" i="25" s="1"/>
  <c r="H78" i="12"/>
  <c r="I78" i="12" s="1"/>
  <c r="H29" i="12"/>
  <c r="I29" i="12" s="1"/>
  <c r="J30" i="25" s="1"/>
  <c r="H252" i="12"/>
  <c r="I252" i="12" s="1"/>
  <c r="J253" i="25" s="1"/>
  <c r="H103" i="12"/>
  <c r="I103" i="12" s="1"/>
  <c r="J104" i="25" s="1"/>
  <c r="H140" i="12"/>
  <c r="I140" i="12" s="1"/>
  <c r="H254" i="12"/>
  <c r="I254" i="12" s="1"/>
  <c r="H258" i="12"/>
  <c r="I258" i="12" s="1"/>
  <c r="J259" i="25" s="1"/>
  <c r="H25" i="12"/>
  <c r="I25" i="12" s="1"/>
  <c r="J26" i="25" s="1"/>
  <c r="H113" i="12"/>
  <c r="I113" i="12" s="1"/>
  <c r="J114" i="25" s="1"/>
  <c r="H209" i="12"/>
  <c r="I209" i="12" s="1"/>
  <c r="H12" i="12"/>
  <c r="I12" i="12" s="1"/>
  <c r="J13" i="25" s="1"/>
  <c r="H114" i="12"/>
  <c r="I114" i="12" s="1"/>
  <c r="J115" i="25" s="1"/>
  <c r="H312" i="12"/>
  <c r="I312" i="12" s="1"/>
  <c r="J313" i="25" s="1"/>
  <c r="H30" i="12"/>
  <c r="I30" i="12" s="1"/>
  <c r="H125" i="12"/>
  <c r="I125" i="12" s="1"/>
  <c r="J126" i="25" s="1"/>
  <c r="H37" i="12"/>
  <c r="I37" i="12" s="1"/>
  <c r="J38" i="25" s="1"/>
  <c r="H193" i="12"/>
  <c r="I193" i="12" s="1"/>
  <c r="J194" i="25" s="1"/>
  <c r="H119" i="12"/>
  <c r="I119" i="12" s="1"/>
  <c r="J120" i="25" s="1"/>
  <c r="H156" i="12"/>
  <c r="I156" i="12" s="1"/>
  <c r="J157" i="25" s="1"/>
  <c r="H187" i="12"/>
  <c r="I187" i="12" s="1"/>
  <c r="J188" i="25" s="1"/>
  <c r="H270" i="12"/>
  <c r="I270" i="12" s="1"/>
  <c r="J271" i="25" s="1"/>
  <c r="H17" i="12"/>
  <c r="I17" i="12" s="1"/>
  <c r="H28" i="12"/>
  <c r="I28" i="12" s="1"/>
  <c r="H67" i="12"/>
  <c r="I67" i="12" s="1"/>
  <c r="J68" i="25" s="1"/>
  <c r="H130" i="12"/>
  <c r="I130" i="12" s="1"/>
  <c r="H310" i="12"/>
  <c r="I310" i="12" s="1"/>
  <c r="H216" i="12"/>
  <c r="I216" i="12" s="1"/>
  <c r="J217" i="25" s="1"/>
  <c r="H144" i="12"/>
  <c r="I144" i="12" s="1"/>
  <c r="J145" i="25" s="1"/>
  <c r="H264" i="12"/>
  <c r="I264" i="12" s="1"/>
  <c r="J265" i="25" s="1"/>
  <c r="H104" i="12"/>
  <c r="I104" i="12" s="1"/>
  <c r="H300" i="12"/>
  <c r="I300" i="12" s="1"/>
  <c r="J301" i="25" s="1"/>
  <c r="H243" i="12"/>
  <c r="I243" i="12" s="1"/>
  <c r="J244" i="25" s="1"/>
  <c r="H73" i="12"/>
  <c r="I73" i="12" s="1"/>
  <c r="H116" i="12"/>
  <c r="I116" i="12" s="1"/>
  <c r="H234" i="12"/>
  <c r="I234" i="12" s="1"/>
  <c r="J235" i="25" s="1"/>
  <c r="H269" i="12"/>
  <c r="I269" i="12" s="1"/>
  <c r="J270" i="25" s="1"/>
  <c r="H176" i="12"/>
  <c r="I176" i="12" s="1"/>
  <c r="J177" i="25" s="1"/>
  <c r="H26" i="12"/>
  <c r="I26" i="12" s="1"/>
  <c r="H239" i="12"/>
  <c r="I239" i="12" s="1"/>
  <c r="J240" i="25" s="1"/>
  <c r="H68" i="12"/>
  <c r="I68" i="12" s="1"/>
  <c r="J69" i="25" s="1"/>
  <c r="H162" i="12"/>
  <c r="I162" i="12" s="1"/>
  <c r="J163" i="25" s="1"/>
  <c r="H267" i="12"/>
  <c r="I267" i="12" s="1"/>
  <c r="J268" i="25" s="1"/>
  <c r="H273" i="12"/>
  <c r="I273" i="12" s="1"/>
  <c r="J274" i="25" s="1"/>
  <c r="H81" i="12"/>
  <c r="I81" i="12" s="1"/>
  <c r="J82" i="25" s="1"/>
  <c r="H205" i="12"/>
  <c r="I205" i="12" s="1"/>
  <c r="H171" i="12"/>
  <c r="I171" i="12" s="1"/>
  <c r="H221" i="12"/>
  <c r="I221" i="12" s="1"/>
  <c r="J222" i="25" s="1"/>
  <c r="H277" i="12"/>
  <c r="I277" i="12" s="1"/>
  <c r="J278" i="25" s="1"/>
  <c r="H150" i="12"/>
  <c r="I150" i="12" s="1"/>
  <c r="H51" i="12"/>
  <c r="I51" i="12" s="1"/>
  <c r="J52" i="25" s="1"/>
  <c r="H303" i="12"/>
  <c r="I303" i="12" s="1"/>
  <c r="J304" i="25" s="1"/>
  <c r="H285" i="12"/>
  <c r="I285" i="12" s="1"/>
  <c r="J286" i="25" s="1"/>
  <c r="H274" i="12"/>
  <c r="I274" i="12" s="1"/>
  <c r="H208" i="12"/>
  <c r="I208" i="12" s="1"/>
  <c r="J209" i="25" s="1"/>
  <c r="H235" i="12"/>
  <c r="I235" i="12" s="1"/>
  <c r="J236" i="25" s="1"/>
  <c r="H71" i="12"/>
  <c r="I71" i="12" s="1"/>
  <c r="J72" i="25" s="1"/>
  <c r="H108" i="12"/>
  <c r="I108" i="12" s="1"/>
  <c r="H139" i="12"/>
  <c r="I139" i="12" s="1"/>
  <c r="J140" i="25" s="1"/>
  <c r="H227" i="12"/>
  <c r="I227" i="12" s="1"/>
  <c r="J228" i="25" s="1"/>
  <c r="H105" i="12"/>
  <c r="I105" i="12" s="1"/>
  <c r="J106" i="25" s="1"/>
  <c r="H301" i="12"/>
  <c r="I301" i="12" s="1"/>
  <c r="J302" i="25" s="1"/>
  <c r="H46" i="12"/>
  <c r="I46" i="12" s="1"/>
  <c r="J47" i="25" s="1"/>
  <c r="H244" i="12"/>
  <c r="I244" i="12" s="1"/>
  <c r="J245" i="25" s="1"/>
  <c r="H143" i="12"/>
  <c r="I143" i="12" s="1"/>
  <c r="J144" i="25" s="1"/>
  <c r="H180" i="12"/>
  <c r="I180" i="12" s="1"/>
  <c r="H223" i="12"/>
  <c r="I223" i="12" s="1"/>
  <c r="H298" i="12"/>
  <c r="I298" i="12" s="1"/>
  <c r="J299" i="25" s="1"/>
  <c r="H94" i="12"/>
  <c r="I94" i="12" s="1"/>
  <c r="J95" i="25" s="1"/>
  <c r="H137" i="12"/>
  <c r="I137" i="12" s="1"/>
  <c r="J138" i="25" s="1"/>
  <c r="H294" i="12"/>
  <c r="I294" i="12" s="1"/>
  <c r="J295" i="25" s="1"/>
  <c r="H97" i="12"/>
  <c r="I97" i="12" s="1"/>
  <c r="J98" i="25" s="1"/>
  <c r="H304" i="12"/>
  <c r="I304" i="12" s="1"/>
  <c r="J305" i="25" s="1"/>
  <c r="H214" i="12"/>
  <c r="I214" i="12" s="1"/>
  <c r="H27" i="12"/>
  <c r="I27" i="12" s="1"/>
  <c r="J28" i="25" s="1"/>
  <c r="H90" i="12"/>
  <c r="I90" i="12" s="1"/>
  <c r="J91" i="25" s="1"/>
  <c r="H219" i="12"/>
  <c r="I219" i="12" s="1"/>
  <c r="J220" i="25" s="1"/>
  <c r="H313" i="12"/>
  <c r="I313" i="12" s="1"/>
  <c r="J314" i="25" s="1"/>
  <c r="H95" i="12"/>
  <c r="I95" i="12" s="1"/>
  <c r="H132" i="12"/>
  <c r="I132" i="12" s="1"/>
  <c r="J133" i="25" s="1"/>
  <c r="H246" i="12"/>
  <c r="I246" i="12" s="1"/>
  <c r="J247" i="25" s="1"/>
  <c r="H250" i="12"/>
  <c r="I250" i="12" s="1"/>
  <c r="J251" i="25" s="1"/>
  <c r="H126" i="12"/>
  <c r="I126" i="12" s="1"/>
  <c r="J127" i="25" s="1"/>
  <c r="H141" i="12"/>
  <c r="I141" i="12" s="1"/>
  <c r="J142" i="25" s="1"/>
  <c r="H177" i="12"/>
  <c r="I177" i="12" s="1"/>
  <c r="J178" i="25" s="1"/>
  <c r="H48" i="12"/>
  <c r="I48" i="12" s="1"/>
  <c r="J49" i="25" s="1"/>
  <c r="H229" i="12"/>
  <c r="I229" i="12" s="1"/>
  <c r="H167" i="12"/>
  <c r="I167" i="12" s="1"/>
  <c r="J168" i="25" s="1"/>
  <c r="H42" i="12"/>
  <c r="I42" i="12" s="1"/>
  <c r="J43" i="25" s="1"/>
  <c r="H311" i="12"/>
  <c r="I311" i="12" s="1"/>
  <c r="H215" i="12"/>
  <c r="I215" i="12" s="1"/>
  <c r="J216" i="25" s="1"/>
  <c r="H134" i="12"/>
  <c r="I134" i="12" s="1"/>
  <c r="J135" i="25" s="1"/>
  <c r="H190" i="12"/>
  <c r="I190" i="12" s="1"/>
  <c r="J191" i="25" s="1"/>
  <c r="H192" i="12"/>
  <c r="I192" i="12" s="1"/>
  <c r="J193" i="25" s="1"/>
  <c r="H110" i="12"/>
  <c r="I110" i="12" s="1"/>
  <c r="J111" i="25" s="1"/>
  <c r="H115" i="12"/>
  <c r="I115" i="12" s="1"/>
  <c r="J116" i="25" s="1"/>
  <c r="H283" i="12"/>
  <c r="I283" i="12" s="1"/>
  <c r="J284" i="25" s="1"/>
  <c r="H297" i="12"/>
  <c r="I297" i="12" s="1"/>
  <c r="J298" i="25" s="1"/>
  <c r="H102" i="12"/>
  <c r="I102" i="12" s="1"/>
  <c r="J103" i="25" s="1"/>
  <c r="H64" i="12"/>
  <c r="I64" i="12" s="1"/>
  <c r="J65" i="25" s="1"/>
  <c r="H284" i="12"/>
  <c r="I284" i="12" s="1"/>
  <c r="J285" i="25" s="1"/>
  <c r="H185" i="12"/>
  <c r="I185" i="12" s="1"/>
  <c r="J186" i="25" s="1"/>
  <c r="H183" i="12"/>
  <c r="I183" i="12" s="1"/>
  <c r="J184" i="25" s="1"/>
  <c r="H58" i="12"/>
  <c r="I58" i="12" s="1"/>
  <c r="J59" i="25" s="1"/>
  <c r="H231" i="12"/>
  <c r="I231" i="12" s="1"/>
  <c r="J232" i="25" s="1"/>
  <c r="H253" i="12"/>
  <c r="I253" i="12" s="1"/>
  <c r="H63" i="12"/>
  <c r="I63" i="12" s="1"/>
  <c r="J64" i="25" s="1"/>
  <c r="H100" i="12"/>
  <c r="I100" i="12" s="1"/>
  <c r="J101" i="25" s="1"/>
  <c r="H131" i="12"/>
  <c r="I131" i="12" s="1"/>
  <c r="J132" i="25" s="1"/>
  <c r="H218" i="12"/>
  <c r="I218" i="12" s="1"/>
  <c r="H248" i="12"/>
  <c r="I248" i="12" s="1"/>
  <c r="H174" i="12"/>
  <c r="I174" i="12" s="1"/>
  <c r="J175" i="25" s="1"/>
  <c r="H93" i="12"/>
  <c r="I93" i="12" s="1"/>
  <c r="J94" i="25" s="1"/>
  <c r="H225" i="12"/>
  <c r="I225" i="12" s="1"/>
  <c r="H86" i="12"/>
  <c r="I86" i="12" s="1"/>
  <c r="J87" i="25" s="1"/>
  <c r="H201" i="12"/>
  <c r="I201" i="12" s="1"/>
  <c r="J202" i="25" s="1"/>
  <c r="H163" i="12"/>
  <c r="I163" i="12" s="1"/>
  <c r="J164" i="25" s="1"/>
  <c r="H307" i="12"/>
  <c r="I307" i="12" s="1"/>
  <c r="H204" i="12"/>
  <c r="I204" i="12" s="1"/>
  <c r="J205" i="25" s="1"/>
  <c r="H261" i="12"/>
  <c r="I261" i="12" s="1"/>
  <c r="J262" i="25" s="1"/>
  <c r="H47" i="12"/>
  <c r="I47" i="12" s="1"/>
  <c r="J48" i="25" s="1"/>
  <c r="H84" i="12"/>
  <c r="I84" i="12" s="1"/>
  <c r="H178" i="12"/>
  <c r="I178" i="12" s="1"/>
  <c r="J179" i="25" s="1"/>
  <c r="H173" i="12"/>
  <c r="I173" i="12" s="1"/>
  <c r="J174" i="25" s="1"/>
  <c r="H220" i="12"/>
  <c r="I220" i="12" s="1"/>
  <c r="J221" i="25" s="1"/>
  <c r="H249" i="12"/>
  <c r="I249" i="12" s="1"/>
  <c r="J250" i="25" s="1"/>
  <c r="H194" i="12"/>
  <c r="I194" i="12" s="1"/>
  <c r="J195" i="25" s="1"/>
  <c r="H169" i="12"/>
  <c r="I169" i="12" s="1"/>
  <c r="J170" i="25" s="1"/>
  <c r="H65" i="12"/>
  <c r="I65" i="12" s="1"/>
  <c r="J66" i="25" s="1"/>
  <c r="H189" i="12"/>
  <c r="I189" i="12" s="1"/>
  <c r="H202" i="12"/>
  <c r="I202" i="12" s="1"/>
  <c r="J203" i="25" s="1"/>
  <c r="H61" i="12"/>
  <c r="I61" i="12" s="1"/>
  <c r="J62" i="25" s="1"/>
  <c r="H18" i="12"/>
  <c r="I18" i="12" s="1"/>
  <c r="J19" i="25" s="1"/>
  <c r="H172" i="12"/>
  <c r="I172" i="12" s="1"/>
  <c r="J173" i="25" s="1"/>
  <c r="H10" i="12"/>
  <c r="I10" i="12" s="1"/>
  <c r="H286" i="12"/>
  <c r="I286" i="12" s="1"/>
  <c r="J287" i="25" s="1"/>
  <c r="H290" i="12"/>
  <c r="I290" i="12" s="1"/>
  <c r="J291" i="25" s="1"/>
  <c r="H88" i="12"/>
  <c r="I88" i="12" s="1"/>
  <c r="H14" i="12"/>
  <c r="I14" i="12" s="1"/>
  <c r="J15" i="25" s="1"/>
  <c r="H9" i="12"/>
  <c r="I9" i="12" s="1"/>
  <c r="J10" i="25" s="1"/>
  <c r="H272" i="12"/>
  <c r="I272" i="12" s="1"/>
  <c r="J273" i="25" s="1"/>
  <c r="H161" i="12"/>
  <c r="I161" i="12" s="1"/>
  <c r="J162" i="25" s="1"/>
  <c r="H112" i="12"/>
  <c r="I112" i="12" s="1"/>
  <c r="J113" i="25" s="1"/>
  <c r="H206" i="12"/>
  <c r="I206" i="12" s="1"/>
  <c r="J207" i="25" s="1"/>
  <c r="H19" i="12"/>
  <c r="I19" i="12" s="1"/>
  <c r="J20" i="25" s="1"/>
  <c r="H82" i="12"/>
  <c r="I82" i="12" s="1"/>
  <c r="H210" i="12"/>
  <c r="I210" i="12" s="1"/>
  <c r="J211" i="25" s="1"/>
  <c r="J210" i="12"/>
  <c r="H305" i="12"/>
  <c r="I305" i="12" s="1"/>
  <c r="J306" i="25" s="1"/>
  <c r="H36" i="12"/>
  <c r="I36" i="12" s="1"/>
  <c r="J37" i="25" s="1"/>
  <c r="H224" i="12"/>
  <c r="I224" i="12" s="1"/>
  <c r="J225" i="25" s="1"/>
  <c r="H23" i="12"/>
  <c r="I23" i="12" s="1"/>
  <c r="J24" i="25" s="1"/>
  <c r="H60" i="12"/>
  <c r="I60" i="12" s="1"/>
  <c r="J61" i="25" s="1"/>
  <c r="H91" i="12"/>
  <c r="I91" i="12" s="1"/>
  <c r="J92" i="25" s="1"/>
  <c r="H268" i="12"/>
  <c r="I268" i="12" s="1"/>
  <c r="J269" i="25" s="1"/>
  <c r="H159" i="12"/>
  <c r="I159" i="12" s="1"/>
  <c r="J160" i="25" s="1"/>
  <c r="H196" i="12"/>
  <c r="I196" i="12" s="1"/>
  <c r="J197" i="25" s="1"/>
  <c r="H34" i="12"/>
  <c r="I34" i="12" s="1"/>
  <c r="J35" i="25" s="1"/>
  <c r="H287" i="12"/>
  <c r="I287" i="12" s="1"/>
  <c r="J288" i="25" s="1"/>
  <c r="H101" i="12"/>
  <c r="I101" i="12" s="1"/>
  <c r="J102" i="25" s="1"/>
  <c r="H233" i="12"/>
  <c r="I233" i="12" s="1"/>
  <c r="J234" i="25" s="1"/>
  <c r="H6" i="12"/>
  <c r="I6" i="12" s="1"/>
  <c r="H168" i="12"/>
  <c r="I168" i="12" s="1"/>
  <c r="J169" i="25" s="1"/>
  <c r="H106" i="12"/>
  <c r="I106" i="12" s="1"/>
  <c r="J107" i="25" s="1"/>
  <c r="H279" i="12"/>
  <c r="I279" i="12" s="1"/>
  <c r="J280" i="25" s="1"/>
  <c r="H226" i="12"/>
  <c r="I226" i="12" s="1"/>
  <c r="J227" i="25" s="1"/>
  <c r="H32" i="12"/>
  <c r="I32" i="12" s="1"/>
  <c r="J33" i="25" s="1"/>
  <c r="H299" i="12"/>
  <c r="I299" i="12" s="1"/>
  <c r="J300" i="25" s="1"/>
  <c r="H256" i="12"/>
  <c r="I256" i="12" s="1"/>
  <c r="J257" i="25" s="1"/>
  <c r="H129" i="12"/>
  <c r="I129" i="12" s="1"/>
  <c r="H111" i="12"/>
  <c r="I111" i="12" s="1"/>
  <c r="J112" i="25" s="1"/>
  <c r="H148" i="12"/>
  <c r="I148" i="12" s="1"/>
  <c r="J149" i="25" s="1"/>
  <c r="H262" i="12"/>
  <c r="I262" i="12" s="1"/>
  <c r="J263" i="25" s="1"/>
  <c r="H266" i="12"/>
  <c r="I266" i="12" s="1"/>
  <c r="J267" i="25" s="1"/>
  <c r="H153" i="12"/>
  <c r="I153" i="12" s="1"/>
  <c r="J154" i="25" s="1"/>
  <c r="H280" i="12"/>
  <c r="I280" i="12" s="1"/>
  <c r="J281" i="25" s="1"/>
  <c r="H49" i="12"/>
  <c r="I49" i="12" s="1"/>
  <c r="J50" i="25" s="1"/>
  <c r="H142" i="12"/>
  <c r="I142" i="12" s="1"/>
  <c r="H149" i="12"/>
  <c r="I149" i="12" s="1"/>
  <c r="J150" i="25" s="1"/>
  <c r="H20" i="12"/>
  <c r="I20" i="12" s="1"/>
  <c r="J21" i="25" s="1"/>
  <c r="H59" i="12"/>
  <c r="I59" i="12" s="1"/>
  <c r="J60" i="25" s="1"/>
  <c r="H207" i="12"/>
  <c r="I207" i="12" s="1"/>
  <c r="J208" i="25" s="1"/>
  <c r="H271" i="12"/>
  <c r="I271" i="12" s="1"/>
  <c r="J272" i="25" s="1"/>
  <c r="H127" i="12"/>
  <c r="I127" i="12" s="1"/>
  <c r="J128" i="25" s="1"/>
  <c r="H164" i="12"/>
  <c r="I164" i="12" s="1"/>
  <c r="J165" i="25" s="1"/>
  <c r="H195" i="12"/>
  <c r="I195" i="12" s="1"/>
  <c r="J196" i="25" s="1"/>
  <c r="H278" i="12"/>
  <c r="I278" i="12" s="1"/>
  <c r="J279" i="25" s="1"/>
  <c r="H152" i="12"/>
  <c r="I152" i="12" s="1"/>
  <c r="J153" i="25" s="1"/>
  <c r="H182" i="12"/>
  <c r="I182" i="12" s="1"/>
  <c r="J183" i="25" s="1"/>
  <c r="H109" i="12"/>
  <c r="I109" i="12" s="1"/>
  <c r="J110" i="25" s="1"/>
  <c r="H236" i="12"/>
  <c r="I236" i="12" s="1"/>
  <c r="J237" i="25" s="1"/>
  <c r="H24" i="12"/>
  <c r="I24" i="12" s="1"/>
  <c r="J25" i="25" s="1"/>
  <c r="H135" i="12"/>
  <c r="I135" i="12" s="1"/>
  <c r="J136" i="25" s="1"/>
  <c r="H245" i="12"/>
  <c r="I245" i="12" s="1"/>
  <c r="H120" i="12"/>
  <c r="I120" i="12" s="1"/>
  <c r="J121" i="25" s="1"/>
  <c r="H217" i="12"/>
  <c r="I217" i="12" s="1"/>
  <c r="J218" i="25" s="1"/>
  <c r="H154" i="12"/>
  <c r="I154" i="12" s="1"/>
  <c r="J155" i="25" s="1"/>
  <c r="H259" i="12"/>
  <c r="I259" i="12" s="1"/>
  <c r="J260" i="25" s="1"/>
  <c r="H118" i="12"/>
  <c r="I118" i="12" s="1"/>
  <c r="J119" i="25" s="1"/>
  <c r="H295" i="12"/>
  <c r="I295" i="12" s="1"/>
  <c r="J296" i="25" s="1"/>
  <c r="H289" i="12"/>
  <c r="I289" i="12" s="1"/>
  <c r="J290" i="25" s="1"/>
  <c r="H166" i="12"/>
  <c r="I166" i="12" s="1"/>
  <c r="H230" i="12"/>
  <c r="I230" i="12" s="1"/>
  <c r="J231" i="25" s="1"/>
  <c r="H43" i="12"/>
  <c r="I43" i="12" s="1"/>
  <c r="J44" i="25" s="1"/>
  <c r="H165" i="12"/>
  <c r="I165" i="12" s="1"/>
  <c r="J166" i="25" s="1"/>
  <c r="H179" i="12"/>
  <c r="I179" i="12" s="1"/>
  <c r="J180" i="25" s="1"/>
  <c r="H133" i="12"/>
  <c r="I133" i="12" s="1"/>
  <c r="J134" i="25" s="1"/>
  <c r="H122" i="12"/>
  <c r="I122" i="12" s="1"/>
  <c r="J123" i="25" s="1"/>
  <c r="H89" i="12"/>
  <c r="I89" i="12" s="1"/>
  <c r="J90" i="25" s="1"/>
  <c r="H282" i="12"/>
  <c r="I282" i="12" s="1"/>
  <c r="J283" i="25" s="1"/>
  <c r="H158" i="12"/>
  <c r="I158" i="12" s="1"/>
  <c r="J159" i="25" s="1"/>
  <c r="H198" i="12"/>
  <c r="I198" i="12" s="1"/>
  <c r="J199" i="25" s="1"/>
  <c r="H11" i="12"/>
  <c r="I11" i="12" s="1"/>
  <c r="J12" i="25" s="1"/>
  <c r="H74" i="12"/>
  <c r="I74" i="12" s="1"/>
  <c r="J75" i="25" s="1"/>
  <c r="H263" i="12"/>
  <c r="I263" i="12" s="1"/>
  <c r="J264" i="25" s="1"/>
  <c r="H293" i="12"/>
  <c r="I293" i="12" s="1"/>
  <c r="J294" i="25" s="1"/>
  <c r="H184" i="12"/>
  <c r="I184" i="12" s="1"/>
  <c r="J185" i="25" s="1"/>
  <c r="H308" i="12"/>
  <c r="I308" i="12" s="1"/>
  <c r="J309" i="25" s="1"/>
  <c r="H15" i="12"/>
  <c r="I15" i="12" s="1"/>
  <c r="J16" i="25" s="1"/>
  <c r="H52" i="12"/>
  <c r="I52" i="12" s="1"/>
  <c r="J53" i="25" s="1"/>
  <c r="H83" i="12"/>
  <c r="I83" i="12" s="1"/>
  <c r="J84" i="25" s="1"/>
  <c r="H146" i="12"/>
  <c r="I146" i="12" s="1"/>
  <c r="J147" i="25" s="1"/>
  <c r="H8" i="12"/>
  <c r="I8" i="12" s="1"/>
  <c r="H13" i="12"/>
  <c r="I13" i="12" s="1"/>
  <c r="J14" i="25" s="1"/>
  <c r="H22" i="12"/>
  <c r="I22" i="12" s="1"/>
  <c r="J23" i="25" s="1"/>
  <c r="H309" i="12"/>
  <c r="I309" i="12" s="1"/>
  <c r="H87" i="12"/>
  <c r="I87" i="12" s="1"/>
  <c r="J88" i="25" s="1"/>
  <c r="H124" i="12"/>
  <c r="I124" i="12" s="1"/>
  <c r="J125" i="25" s="1"/>
  <c r="H238" i="12"/>
  <c r="I238" i="12" s="1"/>
  <c r="J239" i="25" s="1"/>
  <c r="H242" i="12"/>
  <c r="I242" i="12" s="1"/>
  <c r="J243" i="25" s="1"/>
  <c r="H53" i="12"/>
  <c r="I53" i="12" s="1"/>
  <c r="J54" i="25" s="1"/>
  <c r="H222" i="12"/>
  <c r="I222" i="12" s="1"/>
  <c r="J223" i="25" s="1"/>
  <c r="H35" i="12"/>
  <c r="I35" i="12" s="1"/>
  <c r="J36" i="25" s="1"/>
  <c r="H98" i="12"/>
  <c r="I98" i="12" s="1"/>
  <c r="H203" i="12"/>
  <c r="I203" i="12" s="1"/>
  <c r="J204" i="25" s="1"/>
  <c r="H96" i="12"/>
  <c r="I96" i="12" s="1"/>
  <c r="J97" i="25" s="1"/>
  <c r="H288" i="12"/>
  <c r="I288" i="12" s="1"/>
  <c r="J289" i="25" s="1"/>
  <c r="H21" i="12"/>
  <c r="I21" i="12" s="1"/>
  <c r="J22" i="25" s="1"/>
  <c r="H276" i="12"/>
  <c r="I276" i="12" s="1"/>
  <c r="J277" i="25" s="1"/>
  <c r="H39" i="12"/>
  <c r="I39" i="12" s="1"/>
  <c r="J40" i="25" s="1"/>
  <c r="H76" i="12"/>
  <c r="I76" i="12" s="1"/>
  <c r="J77" i="25" s="1"/>
  <c r="H107" i="12"/>
  <c r="I107" i="12" s="1"/>
  <c r="H128" i="12"/>
  <c r="I128" i="12" s="1"/>
  <c r="J129" i="25" s="1"/>
  <c r="H292" i="12"/>
  <c r="I292" i="12" s="1"/>
  <c r="J293" i="25" s="1"/>
  <c r="H296" i="12"/>
  <c r="I296" i="12" s="1"/>
  <c r="J297" i="25" s="1"/>
  <c r="H175" i="12"/>
  <c r="I175" i="12" s="1"/>
  <c r="J176" i="25" s="1"/>
  <c r="H50" i="12"/>
  <c r="I50" i="12" s="1"/>
  <c r="H199" i="12"/>
  <c r="I199" i="12" s="1"/>
  <c r="J200" i="25" s="1"/>
  <c r="H136" i="12"/>
  <c r="I136" i="12" s="1"/>
  <c r="J137" i="25" s="1"/>
  <c r="H62" i="12"/>
  <c r="I62" i="12" s="1"/>
  <c r="H72" i="12"/>
  <c r="I72" i="12" s="1"/>
  <c r="J73" i="25" s="1"/>
  <c r="H55" i="12"/>
  <c r="I55" i="12" s="1"/>
  <c r="J56" i="25" s="1"/>
  <c r="H92" i="12"/>
  <c r="I92" i="12" s="1"/>
  <c r="J93" i="25" s="1"/>
  <c r="H123" i="12"/>
  <c r="I123" i="12" s="1"/>
  <c r="J124" i="25" s="1"/>
  <c r="H186" i="12"/>
  <c r="I186" i="12" s="1"/>
  <c r="J187" i="25" s="1"/>
  <c r="H45" i="12"/>
  <c r="I45" i="12" s="1"/>
  <c r="J46" i="25" s="1"/>
  <c r="H16" i="12"/>
  <c r="I16" i="12" s="1"/>
  <c r="J17" i="25" s="1"/>
  <c r="H191" i="12"/>
  <c r="I191" i="12" s="1"/>
  <c r="J192" i="25" s="1"/>
  <c r="H228" i="12"/>
  <c r="I228" i="12" s="1"/>
  <c r="J229" i="25" s="1"/>
  <c r="H66" i="12"/>
  <c r="I66" i="12" s="1"/>
  <c r="J67" i="25" s="1"/>
  <c r="H255" i="12"/>
  <c r="I255" i="12" s="1"/>
  <c r="J256" i="25" s="1"/>
  <c r="H257" i="12"/>
  <c r="I257" i="12" s="1"/>
  <c r="J258" i="25" s="1"/>
  <c r="H232" i="12"/>
  <c r="I232" i="12" s="1"/>
  <c r="J233" i="25" s="1"/>
  <c r="H38" i="12"/>
  <c r="I38" i="12" s="1"/>
  <c r="J39" i="25" s="1"/>
  <c r="H121" i="12"/>
  <c r="I121" i="12" s="1"/>
  <c r="J122" i="25" s="1"/>
  <c r="H160" i="12"/>
  <c r="I160" i="12" s="1"/>
  <c r="J161" i="25" s="1"/>
  <c r="H33" i="12"/>
  <c r="I33" i="12" s="1"/>
  <c r="J34" i="25" s="1"/>
  <c r="H265" i="12"/>
  <c r="I265" i="12" s="1"/>
  <c r="J266" i="25" s="1"/>
  <c r="H57" i="12"/>
  <c r="I57" i="12" s="1"/>
  <c r="J58" i="25" s="1"/>
  <c r="H251" i="12"/>
  <c r="I251" i="12" s="1"/>
  <c r="J252" i="25" s="1"/>
  <c r="H281" i="12"/>
  <c r="I281" i="12" s="1"/>
  <c r="H200" i="12"/>
  <c r="I200" i="12" s="1"/>
  <c r="J201" i="25" s="1"/>
  <c r="H155" i="12"/>
  <c r="I155" i="12" s="1"/>
  <c r="J156" i="25" s="1"/>
  <c r="H197" i="12"/>
  <c r="I197" i="12" s="1"/>
  <c r="J198" i="25" s="1"/>
  <c r="H247" i="12"/>
  <c r="I247" i="12" s="1"/>
  <c r="J248" i="25" s="1"/>
  <c r="H213" i="12"/>
  <c r="I213" i="12" s="1"/>
  <c r="J214" i="25" s="1"/>
  <c r="H170" i="12"/>
  <c r="I170" i="12" s="1"/>
  <c r="J171" i="25" s="1"/>
  <c r="H275" i="12"/>
  <c r="I275" i="12" s="1"/>
  <c r="J276" i="25" s="1"/>
  <c r="H54" i="12"/>
  <c r="I54" i="12" s="1"/>
  <c r="J55" i="25" s="1"/>
  <c r="H70" i="12"/>
  <c r="I70" i="12" s="1"/>
  <c r="J71" i="25" s="1"/>
  <c r="H85" i="12"/>
  <c r="I85" i="12" s="1"/>
  <c r="J86" i="25" s="1"/>
  <c r="H212" i="12"/>
  <c r="I212" i="12" s="1"/>
  <c r="J213" i="25" s="1"/>
  <c r="H241" i="12"/>
  <c r="I241" i="12" s="1"/>
  <c r="J242" i="25" s="1"/>
  <c r="H237" i="12"/>
  <c r="I237" i="12" s="1"/>
  <c r="J238" i="25" s="1"/>
  <c r="H77" i="12"/>
  <c r="I77" i="12" s="1"/>
  <c r="J78" i="25" s="1"/>
  <c r="H291" i="12"/>
  <c r="I291" i="12" s="1"/>
  <c r="J292" i="25" s="1"/>
  <c r="H69" i="12"/>
  <c r="I69" i="12" s="1"/>
  <c r="J70" i="25" s="1"/>
  <c r="I191" i="25"/>
  <c r="I9" i="25"/>
  <c r="I194" i="25"/>
  <c r="I39" i="25"/>
  <c r="I140" i="25"/>
  <c r="I164" i="25"/>
  <c r="I230" i="25"/>
  <c r="I162" i="25"/>
  <c r="I68" i="25"/>
  <c r="I212" i="25"/>
  <c r="I147" i="25"/>
  <c r="I265" i="25"/>
  <c r="I22" i="25"/>
  <c r="I255" i="25"/>
  <c r="I20" i="25"/>
  <c r="I161" i="25"/>
  <c r="I204" i="25"/>
  <c r="I37" i="25"/>
  <c r="I231" i="25"/>
  <c r="I180" i="25"/>
  <c r="I43" i="25"/>
  <c r="I89" i="25"/>
  <c r="I188" i="25"/>
  <c r="I284" i="25"/>
  <c r="I283" i="25"/>
  <c r="I111" i="25"/>
  <c r="I214" i="25"/>
  <c r="I29" i="25"/>
  <c r="I19" i="25"/>
  <c r="I33" i="25"/>
  <c r="I171" i="25"/>
  <c r="I299" i="25"/>
  <c r="I146" i="25"/>
  <c r="I311" i="25"/>
  <c r="I270" i="25"/>
  <c r="I233" i="25"/>
  <c r="I92" i="25"/>
  <c r="I158" i="25"/>
  <c r="I40" i="25"/>
  <c r="I198" i="25"/>
  <c r="I205" i="25"/>
  <c r="I8" i="25"/>
  <c r="I176" i="25"/>
  <c r="I120" i="25"/>
  <c r="I220" i="25"/>
  <c r="I18" i="25"/>
  <c r="I119" i="25"/>
  <c r="I219" i="25"/>
  <c r="I35" i="25"/>
  <c r="I90" i="25"/>
  <c r="I286" i="25"/>
  <c r="I141" i="25"/>
  <c r="I181" i="25"/>
  <c r="I257" i="25"/>
  <c r="I86" i="25"/>
  <c r="I221" i="25"/>
  <c r="I54" i="25"/>
  <c r="I98" i="25"/>
  <c r="I223" i="25"/>
  <c r="I241" i="25"/>
  <c r="I70" i="25"/>
  <c r="I124" i="25"/>
  <c r="I211" i="25"/>
  <c r="I78" i="25"/>
  <c r="I261" i="25"/>
  <c r="I109" i="25"/>
  <c r="I305" i="25"/>
  <c r="I59" i="25"/>
  <c r="I67" i="25"/>
  <c r="I195" i="25"/>
  <c r="I58" i="25"/>
  <c r="I170" i="25"/>
  <c r="I298" i="25"/>
  <c r="I295" i="25"/>
  <c r="I271" i="25"/>
  <c r="I222" i="25"/>
  <c r="I206" i="25"/>
  <c r="I76" i="25"/>
  <c r="I244" i="25"/>
  <c r="I165" i="25"/>
  <c r="I197" i="25"/>
  <c r="I254" i="25"/>
  <c r="I168" i="25"/>
  <c r="I172" i="25"/>
  <c r="I209" i="25"/>
  <c r="I42" i="25"/>
  <c r="I149" i="25"/>
  <c r="I227" i="25"/>
  <c r="I55" i="25"/>
  <c r="I13" i="25"/>
  <c r="I139" i="25"/>
  <c r="I267" i="25"/>
  <c r="I114" i="25"/>
  <c r="I242" i="25"/>
  <c r="I167" i="25"/>
  <c r="I127" i="25"/>
  <c r="I279" i="25"/>
  <c r="I238" i="25"/>
  <c r="I292" i="25"/>
  <c r="I182" i="25"/>
  <c r="I77" i="25"/>
  <c r="I72" i="25"/>
  <c r="I56" i="25"/>
  <c r="I62" i="25"/>
  <c r="I101" i="25"/>
  <c r="I273" i="25"/>
  <c r="I23" i="25"/>
  <c r="I91" i="25"/>
  <c r="I155" i="25"/>
  <c r="I289" i="25"/>
  <c r="I14" i="25"/>
  <c r="I83" i="25"/>
  <c r="I122" i="25"/>
  <c r="I250" i="25"/>
  <c r="I199" i="25"/>
  <c r="I260" i="25"/>
  <c r="I48" i="25"/>
  <c r="I156" i="25"/>
  <c r="I52" i="25"/>
  <c r="I115" i="25"/>
  <c r="I66" i="25"/>
  <c r="I274" i="25"/>
  <c r="I307" i="25"/>
  <c r="I71" i="25"/>
  <c r="I192" i="25"/>
  <c r="I16" i="25"/>
  <c r="I123" i="25"/>
  <c r="I263" i="25"/>
  <c r="I133" i="25"/>
  <c r="I102" i="25"/>
  <c r="I61" i="25"/>
  <c r="I248" i="25"/>
  <c r="I15" i="25"/>
  <c r="I163" i="25"/>
  <c r="I202" i="25"/>
  <c r="I151" i="25"/>
  <c r="I128" i="25"/>
  <c r="I313" i="25"/>
  <c r="I129" i="25"/>
  <c r="I116" i="25"/>
  <c r="I110" i="25"/>
  <c r="I312" i="25"/>
  <c r="I154" i="25"/>
  <c r="I217" i="25"/>
  <c r="I93" i="25"/>
  <c r="I125" i="25"/>
  <c r="I226" i="25"/>
  <c r="I64" i="25"/>
  <c r="I69" i="25"/>
  <c r="I11" i="25"/>
  <c r="I74" i="25"/>
  <c r="I237" i="25"/>
  <c r="I278" i="25"/>
  <c r="I143" i="25"/>
  <c r="I293" i="25"/>
  <c r="I300" i="25"/>
  <c r="I99" i="25"/>
  <c r="I218" i="25"/>
  <c r="I118" i="25"/>
  <c r="I296" i="25"/>
  <c r="I53" i="25"/>
  <c r="I200" i="25"/>
  <c r="I304" i="25"/>
  <c r="I87" i="25"/>
  <c r="I113" i="25"/>
  <c r="I27" i="25"/>
  <c r="I291" i="25"/>
  <c r="I138" i="25"/>
  <c r="I266" i="25"/>
  <c r="I239" i="25"/>
  <c r="I281" i="25"/>
  <c r="I236" i="25"/>
  <c r="I229" i="25"/>
  <c r="I49" i="25"/>
  <c r="I184" i="25"/>
  <c r="I96" i="25"/>
  <c r="I57" i="25"/>
  <c r="I105" i="25"/>
  <c r="I213" i="25"/>
  <c r="I30" i="25"/>
  <c r="I243" i="25"/>
  <c r="I207" i="25"/>
  <c r="I216" i="25"/>
  <c r="I264" i="25"/>
  <c r="I240" i="25"/>
  <c r="I24" i="25"/>
  <c r="I251" i="25"/>
  <c r="I63" i="25"/>
  <c r="I36" i="25"/>
  <c r="I208" i="25"/>
  <c r="I144" i="25"/>
  <c r="I46" i="25"/>
  <c r="I169" i="25"/>
  <c r="I276" i="25"/>
  <c r="I297" i="25"/>
  <c r="I175" i="25"/>
  <c r="I31" i="25"/>
  <c r="I107" i="25"/>
  <c r="I235" i="25"/>
  <c r="I82" i="25"/>
  <c r="I287" i="25"/>
  <c r="I215" i="25"/>
  <c r="I183" i="25"/>
  <c r="I85" i="25"/>
  <c r="I44" i="25"/>
  <c r="I256" i="25"/>
  <c r="I112" i="25"/>
  <c r="I88" i="25"/>
  <c r="I301" i="25"/>
  <c r="I252" i="25"/>
  <c r="I157" i="25"/>
  <c r="I148" i="25"/>
  <c r="I130" i="25"/>
  <c r="I269" i="25"/>
  <c r="I179" i="25"/>
  <c r="I153" i="25"/>
  <c r="I94" i="25"/>
  <c r="I196" i="25"/>
  <c r="I166" i="25"/>
  <c r="I132" i="25"/>
  <c r="I187" i="25"/>
  <c r="I103" i="25"/>
  <c r="I80" i="25"/>
  <c r="I12" i="25"/>
  <c r="I190" i="25"/>
  <c r="I26" i="25"/>
  <c r="I225" i="25"/>
  <c r="I310" i="25"/>
  <c r="I32" i="25"/>
  <c r="I308" i="25"/>
  <c r="I97" i="25"/>
  <c r="I47" i="25"/>
  <c r="I38" i="25"/>
  <c r="I131" i="25"/>
  <c r="I259" i="25"/>
  <c r="I106" i="25"/>
  <c r="I234" i="25"/>
  <c r="I135" i="25"/>
  <c r="I95" i="25"/>
  <c r="I294" i="25"/>
  <c r="I280" i="25"/>
  <c r="I121" i="25"/>
  <c r="I81" i="25"/>
  <c r="I246" i="25"/>
  <c r="I136" i="25"/>
  <c r="I28" i="25"/>
  <c r="I193" i="25"/>
  <c r="I126" i="25"/>
  <c r="I249" i="25"/>
  <c r="I228" i="25"/>
  <c r="I21" i="25"/>
  <c r="I152" i="25"/>
  <c r="I258" i="25"/>
  <c r="I75" i="25"/>
  <c r="I203" i="25"/>
  <c r="I41" i="25"/>
  <c r="I178" i="25"/>
  <c r="I306" i="25"/>
  <c r="I79" i="25"/>
  <c r="I303" i="25"/>
  <c r="I224" i="25"/>
  <c r="I189" i="25"/>
  <c r="I142" i="25"/>
  <c r="I108" i="25"/>
  <c r="I73" i="25"/>
  <c r="I65" i="25"/>
  <c r="I185" i="25"/>
  <c r="I104" i="25"/>
  <c r="I100" i="25"/>
  <c r="I173" i="25"/>
  <c r="I50" i="25"/>
  <c r="I160" i="25"/>
  <c r="I247" i="25"/>
  <c r="I7" i="25"/>
  <c r="I17" i="25"/>
  <c r="I275" i="25"/>
  <c r="I186" i="25"/>
  <c r="I159" i="25"/>
  <c r="I117" i="25"/>
  <c r="I245" i="25"/>
  <c r="I150" i="25"/>
  <c r="I45" i="25"/>
  <c r="I309" i="25"/>
  <c r="I302" i="25"/>
  <c r="I134" i="25"/>
  <c r="I84" i="25"/>
  <c r="I34" i="25"/>
  <c r="I145" i="25"/>
  <c r="I232" i="25"/>
  <c r="I60" i="25"/>
  <c r="I174" i="25"/>
  <c r="I25" i="25"/>
  <c r="I137" i="25"/>
  <c r="I290" i="25"/>
  <c r="I262" i="25"/>
  <c r="I288" i="25"/>
  <c r="I277" i="25"/>
  <c r="I268" i="25"/>
  <c r="I272" i="25"/>
  <c r="I201" i="25"/>
  <c r="I210" i="25"/>
  <c r="I282" i="25"/>
  <c r="I51" i="25"/>
  <c r="I285" i="25"/>
  <c r="I10" i="25"/>
  <c r="I177" i="25"/>
  <c r="I314" i="25"/>
  <c r="I253" i="25"/>
  <c r="J151" i="25"/>
  <c r="J215" i="25"/>
  <c r="J83" i="25"/>
  <c r="J89" i="25"/>
  <c r="J29" i="25"/>
  <c r="J31" i="25"/>
  <c r="J51" i="25"/>
  <c r="J206" i="25"/>
  <c r="J246" i="25"/>
  <c r="J255" i="25"/>
  <c r="J226" i="25"/>
  <c r="J158" i="25"/>
  <c r="J18" i="25"/>
  <c r="J310" i="25"/>
  <c r="J261" i="25"/>
  <c r="J172" i="25"/>
  <c r="J148" i="25"/>
  <c r="J182" i="25"/>
  <c r="J224" i="25"/>
  <c r="J9" i="25"/>
  <c r="J99" i="25"/>
  <c r="J312" i="25"/>
  <c r="J63" i="25"/>
  <c r="J311" i="25"/>
  <c r="J282" i="25"/>
  <c r="J181" i="25"/>
  <c r="J131" i="25"/>
  <c r="J139" i="25"/>
  <c r="J108" i="25"/>
  <c r="J117" i="25"/>
  <c r="J230" i="25"/>
  <c r="J11" i="25"/>
  <c r="J74" i="25"/>
  <c r="J146" i="25"/>
  <c r="J130" i="25"/>
  <c r="J219" i="25"/>
  <c r="J141" i="25"/>
  <c r="J308" i="25"/>
  <c r="J254" i="25"/>
  <c r="J303" i="25"/>
  <c r="J143" i="25"/>
  <c r="J109" i="25"/>
  <c r="J212" i="25"/>
  <c r="J105" i="25"/>
  <c r="J210" i="25"/>
  <c r="J275" i="25"/>
  <c r="J85" i="25"/>
  <c r="J81" i="25"/>
  <c r="J167" i="25"/>
  <c r="J27" i="25"/>
  <c r="J96" i="25"/>
  <c r="J190" i="25"/>
  <c r="J249" i="25"/>
  <c r="J79" i="25"/>
  <c r="J7" i="25"/>
  <c r="E5" i="12"/>
  <c r="G5" i="12" s="1"/>
  <c r="E5" i="39"/>
  <c r="G5" i="39" s="1"/>
  <c r="E314" i="12"/>
  <c r="G314" i="12" s="1"/>
  <c r="J314" i="12" s="1"/>
  <c r="C4" i="34"/>
  <c r="C10" i="34" s="1"/>
  <c r="C11" i="34" s="1"/>
  <c r="G315" i="25"/>
  <c r="G6" i="25"/>
  <c r="N68" i="13" l="1"/>
  <c r="O68" i="13" s="1"/>
  <c r="P68" i="13" s="1"/>
  <c r="Q68" i="13" s="1"/>
  <c r="J243" i="12"/>
  <c r="J47" i="12"/>
  <c r="J23" i="12"/>
  <c r="J290" i="12"/>
  <c r="J63" i="12"/>
  <c r="J34" i="12"/>
  <c r="J197" i="12"/>
  <c r="J142" i="12"/>
  <c r="J246" i="12"/>
  <c r="J79" i="12"/>
  <c r="J190" i="12"/>
  <c r="J46" i="12"/>
  <c r="J25" i="12"/>
  <c r="J200" i="12"/>
  <c r="J62" i="12"/>
  <c r="J146" i="12"/>
  <c r="J122" i="12"/>
  <c r="J24" i="12"/>
  <c r="J115" i="12"/>
  <c r="J251" i="12"/>
  <c r="J39" i="12"/>
  <c r="J98" i="12"/>
  <c r="J52" i="12"/>
  <c r="J310" i="12"/>
  <c r="J276" i="12"/>
  <c r="J155" i="12"/>
  <c r="J166" i="12"/>
  <c r="J99" i="12"/>
  <c r="J291" i="12"/>
  <c r="J6" i="12"/>
  <c r="J294" i="12"/>
  <c r="J277" i="12"/>
  <c r="J217" i="12"/>
  <c r="J90" i="12"/>
  <c r="J213" i="12"/>
  <c r="J229" i="12"/>
  <c r="J26" i="12"/>
  <c r="J188" i="12"/>
  <c r="J214" i="12"/>
  <c r="J30" i="12"/>
  <c r="J165" i="12"/>
  <c r="J127" i="12"/>
  <c r="J129" i="12"/>
  <c r="J313" i="12"/>
  <c r="J237" i="12"/>
  <c r="J179" i="12"/>
  <c r="J109" i="12"/>
  <c r="J226" i="12"/>
  <c r="J101" i="12"/>
  <c r="J10" i="12"/>
  <c r="J219" i="12"/>
  <c r="J304" i="12"/>
  <c r="J29" i="12"/>
  <c r="J211" i="12"/>
  <c r="J295" i="12"/>
  <c r="J245" i="12"/>
  <c r="J280" i="12"/>
  <c r="J204" i="12"/>
  <c r="J143" i="12"/>
  <c r="J187" i="12"/>
  <c r="J241" i="12"/>
  <c r="J184" i="12"/>
  <c r="J212" i="12"/>
  <c r="J38" i="12"/>
  <c r="J293" i="12"/>
  <c r="J43" i="12"/>
  <c r="J20" i="12"/>
  <c r="J299" i="12"/>
  <c r="J19" i="12"/>
  <c r="J183" i="12"/>
  <c r="J177" i="12"/>
  <c r="J95" i="12"/>
  <c r="J27" i="12"/>
  <c r="J104" i="12"/>
  <c r="J67" i="12"/>
  <c r="J114" i="12"/>
  <c r="J159" i="12"/>
  <c r="J36" i="12"/>
  <c r="J110" i="12"/>
  <c r="J42" i="12"/>
  <c r="J208" i="12"/>
  <c r="J68" i="12"/>
  <c r="J116" i="12"/>
  <c r="J145" i="12"/>
  <c r="J260" i="12"/>
  <c r="J32" i="12"/>
  <c r="J28" i="12"/>
  <c r="J275" i="12"/>
  <c r="J257" i="12"/>
  <c r="J292" i="12"/>
  <c r="J124" i="12"/>
  <c r="J13" i="12"/>
  <c r="J152" i="12"/>
  <c r="J207" i="12"/>
  <c r="J148" i="12"/>
  <c r="J82" i="12"/>
  <c r="J286" i="12"/>
  <c r="J202" i="12"/>
  <c r="J220" i="12"/>
  <c r="J93" i="12"/>
  <c r="J209" i="12"/>
  <c r="J147" i="12"/>
  <c r="J15" i="12"/>
  <c r="J154" i="12"/>
  <c r="J233" i="12"/>
  <c r="J311" i="12"/>
  <c r="J274" i="12"/>
  <c r="J234" i="12"/>
  <c r="J240" i="12"/>
  <c r="J255" i="12"/>
  <c r="J50" i="12"/>
  <c r="J128" i="12"/>
  <c r="J87" i="12"/>
  <c r="J173" i="12"/>
  <c r="J174" i="12"/>
  <c r="J121" i="12"/>
  <c r="J175" i="12"/>
  <c r="J96" i="12"/>
  <c r="J242" i="12"/>
  <c r="J309" i="12"/>
  <c r="J289" i="12"/>
  <c r="J236" i="12"/>
  <c r="J91" i="12"/>
  <c r="J112" i="12"/>
  <c r="J88" i="12"/>
  <c r="J18" i="12"/>
  <c r="J231" i="12"/>
  <c r="J102" i="12"/>
  <c r="J126" i="12"/>
  <c r="J94" i="12"/>
  <c r="J244" i="12"/>
  <c r="J71" i="12"/>
  <c r="J81" i="12"/>
  <c r="J239" i="12"/>
  <c r="J144" i="12"/>
  <c r="J119" i="12"/>
  <c r="J312" i="12"/>
  <c r="J40" i="12"/>
  <c r="J75" i="12"/>
  <c r="J83" i="12"/>
  <c r="J149" i="12"/>
  <c r="J218" i="12"/>
  <c r="J17" i="12"/>
  <c r="J254" i="12"/>
  <c r="J78" i="12"/>
  <c r="J54" i="12"/>
  <c r="J296" i="12"/>
  <c r="J238" i="12"/>
  <c r="J22" i="12"/>
  <c r="J262" i="12"/>
  <c r="J161" i="12"/>
  <c r="J61" i="12"/>
  <c r="J249" i="12"/>
  <c r="J69" i="12"/>
  <c r="J247" i="12"/>
  <c r="J281" i="12"/>
  <c r="J33" i="12"/>
  <c r="J232" i="12"/>
  <c r="J228" i="12"/>
  <c r="J186" i="12"/>
  <c r="J72" i="12"/>
  <c r="J203" i="12"/>
  <c r="J53" i="12"/>
  <c r="J8" i="12"/>
  <c r="J263" i="12"/>
  <c r="J158" i="12"/>
  <c r="J133" i="12"/>
  <c r="J230" i="12"/>
  <c r="J118" i="12"/>
  <c r="J120" i="12"/>
  <c r="J278" i="12"/>
  <c r="J271" i="12"/>
  <c r="J153" i="12"/>
  <c r="J111" i="12"/>
  <c r="J168" i="12"/>
  <c r="J287" i="12"/>
  <c r="J268" i="12"/>
  <c r="J224" i="12"/>
  <c r="J172" i="12"/>
  <c r="J189" i="12"/>
  <c r="J84" i="12"/>
  <c r="J307" i="12"/>
  <c r="J225" i="12"/>
  <c r="J253" i="12"/>
  <c r="J185" i="12"/>
  <c r="J297" i="12"/>
  <c r="J192" i="12"/>
  <c r="J48" i="12"/>
  <c r="J250" i="12"/>
  <c r="J137" i="12"/>
  <c r="J180" i="12"/>
  <c r="J301" i="12"/>
  <c r="J108" i="12"/>
  <c r="J150" i="12"/>
  <c r="J205" i="12"/>
  <c r="J162" i="12"/>
  <c r="J176" i="12"/>
  <c r="J73" i="12"/>
  <c r="J264" i="12"/>
  <c r="J130" i="12"/>
  <c r="J270" i="12"/>
  <c r="J193" i="12"/>
  <c r="J113" i="12"/>
  <c r="J140" i="12"/>
  <c r="J306" i="12"/>
  <c r="J181" i="12"/>
  <c r="J80" i="12"/>
  <c r="J160" i="12"/>
  <c r="J191" i="12"/>
  <c r="J123" i="12"/>
  <c r="J107" i="12"/>
  <c r="J21" i="12"/>
  <c r="J308" i="12"/>
  <c r="J74" i="12"/>
  <c r="J282" i="12"/>
  <c r="J259" i="12"/>
  <c r="J195" i="12"/>
  <c r="J266" i="12"/>
  <c r="J272" i="12"/>
  <c r="J65" i="12"/>
  <c r="J163" i="12"/>
  <c r="J131" i="12"/>
  <c r="J284" i="12"/>
  <c r="J283" i="12"/>
  <c r="J105" i="12"/>
  <c r="J285" i="12"/>
  <c r="J269" i="12"/>
  <c r="J37" i="12"/>
  <c r="J103" i="12"/>
  <c r="J117" i="12"/>
  <c r="J44" i="12"/>
  <c r="J77" i="12"/>
  <c r="J85" i="12"/>
  <c r="J170" i="12"/>
  <c r="J57" i="12"/>
  <c r="J16" i="12"/>
  <c r="J92" i="12"/>
  <c r="J136" i="12"/>
  <c r="J76" i="12"/>
  <c r="J288" i="12"/>
  <c r="J35" i="12"/>
  <c r="J11" i="12"/>
  <c r="J89" i="12"/>
  <c r="J135" i="12"/>
  <c r="J182" i="12"/>
  <c r="J164" i="12"/>
  <c r="J59" i="12"/>
  <c r="J49" i="12"/>
  <c r="J256" i="12"/>
  <c r="J279" i="12"/>
  <c r="J196" i="12"/>
  <c r="J60" i="12"/>
  <c r="J305" i="12"/>
  <c r="J206" i="12"/>
  <c r="J9" i="12"/>
  <c r="J169" i="12"/>
  <c r="J261" i="12"/>
  <c r="J201" i="12"/>
  <c r="J100" i="12"/>
  <c r="J58" i="12"/>
  <c r="J64" i="12"/>
  <c r="J134" i="12"/>
  <c r="J167" i="12"/>
  <c r="J141" i="12"/>
  <c r="J132" i="12"/>
  <c r="J97" i="12"/>
  <c r="J298" i="12"/>
  <c r="J227" i="12"/>
  <c r="J235" i="12"/>
  <c r="J303" i="12"/>
  <c r="J221" i="12"/>
  <c r="J273" i="12"/>
  <c r="J300" i="12"/>
  <c r="J216" i="12"/>
  <c r="J156" i="12"/>
  <c r="J125" i="12"/>
  <c r="J12" i="12"/>
  <c r="J258" i="12"/>
  <c r="J252" i="12"/>
  <c r="J31" i="12"/>
  <c r="J151" i="12"/>
  <c r="J41" i="12"/>
  <c r="J302" i="12"/>
  <c r="J7" i="12"/>
  <c r="J70" i="12"/>
  <c r="J265" i="12"/>
  <c r="J66" i="12"/>
  <c r="J45" i="12"/>
  <c r="J55" i="12"/>
  <c r="J199" i="12"/>
  <c r="J222" i="12"/>
  <c r="J198" i="12"/>
  <c r="J106" i="12"/>
  <c r="J14" i="12"/>
  <c r="J194" i="12"/>
  <c r="J178" i="12"/>
  <c r="J86" i="12"/>
  <c r="J248" i="12"/>
  <c r="J215" i="12"/>
  <c r="J223" i="12"/>
  <c r="J139" i="12"/>
  <c r="J51" i="12"/>
  <c r="J171" i="12"/>
  <c r="J267" i="12"/>
  <c r="J56" i="12"/>
  <c r="J138" i="12"/>
  <c r="J157" i="12"/>
  <c r="N102" i="13"/>
  <c r="O102" i="13" s="1"/>
  <c r="N53" i="13"/>
  <c r="O53" i="13" s="1"/>
  <c r="P53" i="13" s="1"/>
  <c r="Q53" i="13" s="1"/>
  <c r="N232" i="13"/>
  <c r="O232" i="13" s="1"/>
  <c r="P232" i="13" s="1"/>
  <c r="Q232" i="13" s="1"/>
  <c r="K232" i="25" s="1"/>
  <c r="N87" i="13"/>
  <c r="O87" i="13" s="1"/>
  <c r="P87" i="13" s="1"/>
  <c r="Q87" i="13" s="1"/>
  <c r="K87" i="25" s="1"/>
  <c r="N147" i="13"/>
  <c r="O147" i="13" s="1"/>
  <c r="P147" i="13" s="1"/>
  <c r="Q147" i="13" s="1"/>
  <c r="K147" i="25" s="1"/>
  <c r="N268" i="13"/>
  <c r="O268" i="13" s="1"/>
  <c r="P268" i="13" s="1"/>
  <c r="Q268" i="13" s="1"/>
  <c r="K268" i="25" s="1"/>
  <c r="N267" i="13"/>
  <c r="O267" i="13" s="1"/>
  <c r="P267" i="13" s="1"/>
  <c r="Q267" i="13" s="1"/>
  <c r="K267" i="25" s="1"/>
  <c r="N243" i="13"/>
  <c r="O243" i="13" s="1"/>
  <c r="P243" i="13" s="1"/>
  <c r="Q243" i="13" s="1"/>
  <c r="N144" i="13"/>
  <c r="O144" i="13" s="1"/>
  <c r="P144" i="13" s="1"/>
  <c r="Q144" i="13" s="1"/>
  <c r="K144" i="25" s="1"/>
  <c r="N83" i="13"/>
  <c r="O83" i="13" s="1"/>
  <c r="P83" i="13" s="1"/>
  <c r="Q83" i="13" s="1"/>
  <c r="K83" i="25" s="1"/>
  <c r="N209" i="13"/>
  <c r="O209" i="13" s="1"/>
  <c r="P209" i="13" s="1"/>
  <c r="Q209" i="13" s="1"/>
  <c r="K209" i="25" s="1"/>
  <c r="N127" i="13"/>
  <c r="O127" i="13" s="1"/>
  <c r="P127" i="13" s="1"/>
  <c r="Q127" i="13" s="1"/>
  <c r="K127" i="25" s="1"/>
  <c r="N241" i="13"/>
  <c r="O241" i="13" s="1"/>
  <c r="P241" i="13" s="1"/>
  <c r="Q241" i="13" s="1"/>
  <c r="N95" i="13"/>
  <c r="O95" i="13" s="1"/>
  <c r="P95" i="13" s="1"/>
  <c r="Q95" i="13" s="1"/>
  <c r="K95" i="25" s="1"/>
  <c r="N284" i="13"/>
  <c r="O284" i="13" s="1"/>
  <c r="P284" i="13" s="1"/>
  <c r="Q284" i="13" s="1"/>
  <c r="K284" i="25" s="1"/>
  <c r="N220" i="13"/>
  <c r="O220" i="13" s="1"/>
  <c r="P220" i="13" s="1"/>
  <c r="Q220" i="13" s="1"/>
  <c r="K220" i="25" s="1"/>
  <c r="H5" i="12"/>
  <c r="N45" i="13"/>
  <c r="O45" i="13" s="1"/>
  <c r="P45" i="13" s="1"/>
  <c r="Q45" i="13" s="1"/>
  <c r="K45" i="25" s="1"/>
  <c r="N306" i="13"/>
  <c r="O306" i="13" s="1"/>
  <c r="P306" i="13" s="1"/>
  <c r="Q306" i="13" s="1"/>
  <c r="K306" i="25" s="1"/>
  <c r="H5" i="39"/>
  <c r="I5" i="39" s="1"/>
  <c r="J5" i="39" s="1"/>
  <c r="N314" i="13"/>
  <c r="O314" i="13" s="1"/>
  <c r="P314" i="13" s="1"/>
  <c r="Q314" i="13" s="1"/>
  <c r="N8" i="13"/>
  <c r="O8" i="13" s="1"/>
  <c r="P8" i="13" s="1"/>
  <c r="Q8" i="13" s="1"/>
  <c r="K8" i="25" s="1"/>
  <c r="N199" i="13"/>
  <c r="O199" i="13" s="1"/>
  <c r="P199" i="13" s="1"/>
  <c r="Q199" i="13" s="1"/>
  <c r="N260" i="13"/>
  <c r="O260" i="13" s="1"/>
  <c r="P260" i="13" s="1"/>
  <c r="Q260" i="13" s="1"/>
  <c r="K260" i="25" s="1"/>
  <c r="N81" i="13"/>
  <c r="O81" i="13" s="1"/>
  <c r="P81" i="13" s="1"/>
  <c r="Q81" i="13" s="1"/>
  <c r="N93" i="13"/>
  <c r="O93" i="13" s="1"/>
  <c r="P93" i="13" s="1"/>
  <c r="Q93" i="13" s="1"/>
  <c r="K93" i="25" s="1"/>
  <c r="N140" i="13"/>
  <c r="O140" i="13" s="1"/>
  <c r="P140" i="13" s="1"/>
  <c r="Q140" i="13" s="1"/>
  <c r="K140" i="25" s="1"/>
  <c r="N196" i="13"/>
  <c r="O196" i="13" s="1"/>
  <c r="P196" i="13" s="1"/>
  <c r="Q196" i="13" s="1"/>
  <c r="N297" i="13"/>
  <c r="O297" i="13" s="1"/>
  <c r="P297" i="13" s="1"/>
  <c r="Q297" i="13" s="1"/>
  <c r="K297" i="25" s="1"/>
  <c r="N181" i="13"/>
  <c r="O181" i="13" s="1"/>
  <c r="P181" i="13" s="1"/>
  <c r="Q181" i="13" s="1"/>
  <c r="N128" i="13"/>
  <c r="O128" i="13" s="1"/>
  <c r="P128" i="13" s="1"/>
  <c r="Q128" i="13" s="1"/>
  <c r="N43" i="13"/>
  <c r="O43" i="13" s="1"/>
  <c r="P43" i="13" s="1"/>
  <c r="Q43" i="13" s="1"/>
  <c r="N167" i="13"/>
  <c r="O167" i="13" s="1"/>
  <c r="P167" i="13" s="1"/>
  <c r="Q167" i="13" s="1"/>
  <c r="K167" i="25" s="1"/>
  <c r="N165" i="13"/>
  <c r="O165" i="13" s="1"/>
  <c r="P165" i="13" s="1"/>
  <c r="Q165" i="13" s="1"/>
  <c r="K165" i="25" s="1"/>
  <c r="N183" i="13"/>
  <c r="O183" i="13" s="1"/>
  <c r="P183" i="13" s="1"/>
  <c r="Q183" i="13" s="1"/>
  <c r="N157" i="13"/>
  <c r="O157" i="13" s="1"/>
  <c r="P157" i="13" s="1"/>
  <c r="Q157" i="13" s="1"/>
  <c r="N18" i="13"/>
  <c r="O18" i="13" s="1"/>
  <c r="P18" i="13" s="1"/>
  <c r="Q18" i="13" s="1"/>
  <c r="K18" i="25" s="1"/>
  <c r="N121" i="13"/>
  <c r="O121" i="13" s="1"/>
  <c r="P121" i="13" s="1"/>
  <c r="Q121" i="13" s="1"/>
  <c r="K121" i="25" s="1"/>
  <c r="N60" i="13"/>
  <c r="O60" i="13" s="1"/>
  <c r="P60" i="13" s="1"/>
  <c r="Q60" i="13" s="1"/>
  <c r="N197" i="13"/>
  <c r="O197" i="13" s="1"/>
  <c r="P197" i="13" s="1"/>
  <c r="Q197" i="13" s="1"/>
  <c r="K197" i="25" s="1"/>
  <c r="N117" i="13"/>
  <c r="O117" i="13" s="1"/>
  <c r="P117" i="13" s="1"/>
  <c r="Q117" i="13" s="1"/>
  <c r="N75" i="13"/>
  <c r="O75" i="13" s="1"/>
  <c r="P75" i="13" s="1"/>
  <c r="Q75" i="13" s="1"/>
  <c r="N109" i="13"/>
  <c r="O109" i="13" s="1"/>
  <c r="P109" i="13" s="1"/>
  <c r="Q109" i="13" s="1"/>
  <c r="N15" i="13"/>
  <c r="O15" i="13" s="1"/>
  <c r="P15" i="13" s="1"/>
  <c r="Q15" i="13" s="1"/>
  <c r="N278" i="13"/>
  <c r="O278" i="13" s="1"/>
  <c r="P278" i="13" s="1"/>
  <c r="Q278" i="13" s="1"/>
  <c r="K278" i="25" s="1"/>
  <c r="N169" i="13"/>
  <c r="O169" i="13" s="1"/>
  <c r="P169" i="13" s="1"/>
  <c r="Q169" i="13" s="1"/>
  <c r="N129" i="13"/>
  <c r="O129" i="13" s="1"/>
  <c r="P129" i="13" s="1"/>
  <c r="Q129" i="13" s="1"/>
  <c r="N160" i="13"/>
  <c r="O160" i="13" s="1"/>
  <c r="P160" i="13" s="1"/>
  <c r="Q160" i="13" s="1"/>
  <c r="K160" i="25" s="1"/>
  <c r="N171" i="13"/>
  <c r="O171" i="13" s="1"/>
  <c r="P171" i="13" s="1"/>
  <c r="Q171" i="13" s="1"/>
  <c r="N228" i="13"/>
  <c r="O228" i="13" s="1"/>
  <c r="P228" i="13" s="1"/>
  <c r="Q228" i="13" s="1"/>
  <c r="K228" i="25" s="1"/>
  <c r="N233" i="13"/>
  <c r="O233" i="13" s="1"/>
  <c r="P233" i="13" s="1"/>
  <c r="Q233" i="13" s="1"/>
  <c r="K233" i="25" s="1"/>
  <c r="N152" i="13"/>
  <c r="O152" i="13" s="1"/>
  <c r="P152" i="13" s="1"/>
  <c r="Q152" i="13" s="1"/>
  <c r="N175" i="13"/>
  <c r="O175" i="13" s="1"/>
  <c r="P175" i="13" s="1"/>
  <c r="Q175" i="13" s="1"/>
  <c r="K175" i="25" s="1"/>
  <c r="N184" i="13"/>
  <c r="O184" i="13" s="1"/>
  <c r="P184" i="13" s="1"/>
  <c r="Q184" i="13" s="1"/>
  <c r="N288" i="13"/>
  <c r="O288" i="13" s="1"/>
  <c r="P288" i="13" s="1"/>
  <c r="Q288" i="13" s="1"/>
  <c r="N211" i="13"/>
  <c r="O211" i="13" s="1"/>
  <c r="P211" i="13" s="1"/>
  <c r="Q211" i="13" s="1"/>
  <c r="N51" i="13"/>
  <c r="O51" i="13" s="1"/>
  <c r="P51" i="13" s="1"/>
  <c r="Q51" i="13" s="1"/>
  <c r="K51" i="25" s="1"/>
  <c r="N303" i="13"/>
  <c r="O303" i="13" s="1"/>
  <c r="P303" i="13" s="1"/>
  <c r="Q303" i="13" s="1"/>
  <c r="K303" i="25" s="1"/>
  <c r="N299" i="13"/>
  <c r="O299" i="13" s="1"/>
  <c r="P299" i="13" s="1"/>
  <c r="Q299" i="13" s="1"/>
  <c r="N134" i="13"/>
  <c r="O134" i="13" s="1"/>
  <c r="P134" i="13" s="1"/>
  <c r="Q134" i="13" s="1"/>
  <c r="N94" i="13"/>
  <c r="O94" i="13" s="1"/>
  <c r="P94" i="13" s="1"/>
  <c r="Q94" i="13" s="1"/>
  <c r="N17" i="13"/>
  <c r="O17" i="13" s="1"/>
  <c r="P17" i="13" s="1"/>
  <c r="Q17" i="13" s="1"/>
  <c r="K17" i="25" s="1"/>
  <c r="N229" i="13"/>
  <c r="O229" i="13" s="1"/>
  <c r="P229" i="13" s="1"/>
  <c r="Q229" i="13" s="1"/>
  <c r="N215" i="13"/>
  <c r="O215" i="13" s="1"/>
  <c r="P215" i="13" s="1"/>
  <c r="Q215" i="13" s="1"/>
  <c r="N287" i="13"/>
  <c r="O287" i="13" s="1"/>
  <c r="P287" i="13" s="1"/>
  <c r="Q287" i="13" s="1"/>
  <c r="K287" i="25" s="1"/>
  <c r="N264" i="13"/>
  <c r="O264" i="13" s="1"/>
  <c r="P264" i="13" s="1"/>
  <c r="Q264" i="13" s="1"/>
  <c r="K264" i="25" s="1"/>
  <c r="N282" i="13"/>
  <c r="O282" i="13" s="1"/>
  <c r="P282" i="13" s="1"/>
  <c r="Q282" i="13" s="1"/>
  <c r="N164" i="13"/>
  <c r="O164" i="13" s="1"/>
  <c r="P164" i="13" s="1"/>
  <c r="Q164" i="13" s="1"/>
  <c r="K164" i="25" s="1"/>
  <c r="N31" i="13"/>
  <c r="O31" i="13" s="1"/>
  <c r="P31" i="13" s="1"/>
  <c r="Q31" i="13" s="1"/>
  <c r="N200" i="13"/>
  <c r="O200" i="13" s="1"/>
  <c r="P200" i="13" s="1"/>
  <c r="Q200" i="13" s="1"/>
  <c r="K200" i="25" s="1"/>
  <c r="N304" i="13"/>
  <c r="O304" i="13" s="1"/>
  <c r="P304" i="13" s="1"/>
  <c r="Q304" i="13" s="1"/>
  <c r="K304" i="25" s="1"/>
  <c r="N188" i="13"/>
  <c r="O188" i="13" s="1"/>
  <c r="P188" i="13" s="1"/>
  <c r="Q188" i="13" s="1"/>
  <c r="K188" i="25" s="1"/>
  <c r="N291" i="13"/>
  <c r="O291" i="13" s="1"/>
  <c r="P291" i="13" s="1"/>
  <c r="Q291" i="13" s="1"/>
  <c r="N119" i="13"/>
  <c r="O119" i="13" s="1"/>
  <c r="P119" i="13" s="1"/>
  <c r="Q119" i="13" s="1"/>
  <c r="N245" i="13"/>
  <c r="O245" i="13" s="1"/>
  <c r="P245" i="13" s="1"/>
  <c r="Q245" i="13" s="1"/>
  <c r="N302" i="13"/>
  <c r="O302" i="13" s="1"/>
  <c r="P302" i="13" s="1"/>
  <c r="Q302" i="13" s="1"/>
  <c r="K302" i="25" s="1"/>
  <c r="N96" i="13"/>
  <c r="O96" i="13" s="1"/>
  <c r="P96" i="13" s="1"/>
  <c r="Q96" i="13" s="1"/>
  <c r="K96" i="25" s="1"/>
  <c r="N98" i="13"/>
  <c r="O98" i="13" s="1"/>
  <c r="P98" i="13" s="1"/>
  <c r="Q98" i="13" s="1"/>
  <c r="K98" i="25" s="1"/>
  <c r="N307" i="13"/>
  <c r="O307" i="13" s="1"/>
  <c r="P307" i="13" s="1"/>
  <c r="Q307" i="13" s="1"/>
  <c r="K307" i="25" s="1"/>
  <c r="N137" i="13"/>
  <c r="O137" i="13" s="1"/>
  <c r="P137" i="13" s="1"/>
  <c r="Q137" i="13" s="1"/>
  <c r="N138" i="13"/>
  <c r="O138" i="13" s="1"/>
  <c r="P138" i="13" s="1"/>
  <c r="Q138" i="13" s="1"/>
  <c r="N187" i="13"/>
  <c r="O187" i="13" s="1"/>
  <c r="P187" i="13" s="1"/>
  <c r="Q187" i="13" s="1"/>
  <c r="K187" i="25" s="1"/>
  <c r="N42" i="13"/>
  <c r="O42" i="13" s="1"/>
  <c r="P42" i="13" s="1"/>
  <c r="Q42" i="13" s="1"/>
  <c r="K42" i="25" s="1"/>
  <c r="N86" i="13"/>
  <c r="O86" i="13" s="1"/>
  <c r="P86" i="13" s="1"/>
  <c r="Q86" i="13" s="1"/>
  <c r="N111" i="13"/>
  <c r="O111" i="13" s="1"/>
  <c r="P111" i="13" s="1"/>
  <c r="Q111" i="13" s="1"/>
  <c r="N154" i="13"/>
  <c r="O154" i="13" s="1"/>
  <c r="P154" i="13" s="1"/>
  <c r="Q154" i="13" s="1"/>
  <c r="N112" i="13"/>
  <c r="O112" i="13" s="1"/>
  <c r="P112" i="13" s="1"/>
  <c r="Q112" i="13" s="1"/>
  <c r="N279" i="13"/>
  <c r="O279" i="13" s="1"/>
  <c r="P279" i="13" s="1"/>
  <c r="Q279" i="13" s="1"/>
  <c r="N311" i="13"/>
  <c r="O311" i="13" s="1"/>
  <c r="P311" i="13" s="1"/>
  <c r="Q311" i="13" s="1"/>
  <c r="K311" i="25" s="1"/>
  <c r="N280" i="13"/>
  <c r="O280" i="13" s="1"/>
  <c r="P280" i="13" s="1"/>
  <c r="Q280" i="13" s="1"/>
  <c r="K280" i="25" s="1"/>
  <c r="N64" i="13"/>
  <c r="O64" i="13" s="1"/>
  <c r="P64" i="13" s="1"/>
  <c r="Q64" i="13" s="1"/>
  <c r="K64" i="25" s="1"/>
  <c r="N126" i="13"/>
  <c r="O126" i="13" s="1"/>
  <c r="P126" i="13" s="1"/>
  <c r="Q126" i="13" s="1"/>
  <c r="N294" i="13"/>
  <c r="O294" i="13" s="1"/>
  <c r="P294" i="13" s="1"/>
  <c r="Q294" i="13" s="1"/>
  <c r="N77" i="13"/>
  <c r="O77" i="13" s="1"/>
  <c r="P77" i="13" s="1"/>
  <c r="Q77" i="13" s="1"/>
  <c r="N281" i="13"/>
  <c r="O281" i="13" s="1"/>
  <c r="P281" i="13" s="1"/>
  <c r="Q281" i="13" s="1"/>
  <c r="N222" i="13"/>
  <c r="O222" i="13" s="1"/>
  <c r="P222" i="13" s="1"/>
  <c r="Q222" i="13" s="1"/>
  <c r="K222" i="25" s="1"/>
  <c r="N23" i="13"/>
  <c r="O23" i="13" s="1"/>
  <c r="P23" i="13" s="1"/>
  <c r="Q23" i="13" s="1"/>
  <c r="N247" i="13"/>
  <c r="O247" i="13" s="1"/>
  <c r="P247" i="13" s="1"/>
  <c r="Q247" i="13" s="1"/>
  <c r="K247" i="25" s="1"/>
  <c r="N13" i="13"/>
  <c r="O13" i="13" s="1"/>
  <c r="P13" i="13" s="1"/>
  <c r="Q13" i="13" s="1"/>
  <c r="N255" i="13"/>
  <c r="O255" i="13" s="1"/>
  <c r="P255" i="13" s="1"/>
  <c r="Q255" i="13" s="1"/>
  <c r="N218" i="13"/>
  <c r="O218" i="13" s="1"/>
  <c r="P218" i="13" s="1"/>
  <c r="Q218" i="13" s="1"/>
  <c r="N261" i="13"/>
  <c r="O261" i="13" s="1"/>
  <c r="P261" i="13" s="1"/>
  <c r="Q261" i="13" s="1"/>
  <c r="N250" i="13"/>
  <c r="O250" i="13" s="1"/>
  <c r="P250" i="13" s="1"/>
  <c r="Q250" i="13" s="1"/>
  <c r="N22" i="13"/>
  <c r="O22" i="13" s="1"/>
  <c r="P22" i="13" s="1"/>
  <c r="Q22" i="13" s="1"/>
  <c r="K22" i="25" s="1"/>
  <c r="N40" i="13"/>
  <c r="O40" i="13" s="1"/>
  <c r="P40" i="13" s="1"/>
  <c r="Q40" i="13" s="1"/>
  <c r="K40" i="25" s="1"/>
  <c r="N309" i="13"/>
  <c r="O309" i="13" s="1"/>
  <c r="P309" i="13" s="1"/>
  <c r="Q309" i="13" s="1"/>
  <c r="K309" i="25" s="1"/>
  <c r="N33" i="13"/>
  <c r="O33" i="13" s="1"/>
  <c r="P33" i="13" s="1"/>
  <c r="Q33" i="13" s="1"/>
  <c r="N71" i="13"/>
  <c r="O71" i="13" s="1"/>
  <c r="P71" i="13" s="1"/>
  <c r="Q71" i="13" s="1"/>
  <c r="N251" i="13"/>
  <c r="O251" i="13" s="1"/>
  <c r="P251" i="13" s="1"/>
  <c r="Q251" i="13" s="1"/>
  <c r="N191" i="13"/>
  <c r="N11" i="13"/>
  <c r="O11" i="13" s="1"/>
  <c r="P11" i="13" s="1"/>
  <c r="Q11" i="13" s="1"/>
  <c r="N47" i="13"/>
  <c r="O47" i="13" s="1"/>
  <c r="P47" i="13" s="1"/>
  <c r="Q47" i="13" s="1"/>
  <c r="N82" i="13"/>
  <c r="O82" i="13" s="1"/>
  <c r="P82" i="13" s="1"/>
  <c r="Q82" i="13" s="1"/>
  <c r="N159" i="13"/>
  <c r="O159" i="13" s="1"/>
  <c r="P159" i="13" s="1"/>
  <c r="Q159" i="13" s="1"/>
  <c r="N92" i="13"/>
  <c r="O92" i="13" s="1"/>
  <c r="P92" i="13" s="1"/>
  <c r="Q92" i="13" s="1"/>
  <c r="K92" i="25" s="1"/>
  <c r="N113" i="13"/>
  <c r="O113" i="13" s="1"/>
  <c r="P113" i="13" s="1"/>
  <c r="Q113" i="13" s="1"/>
  <c r="K113" i="25" s="1"/>
  <c r="N101" i="13"/>
  <c r="O101" i="13" s="1"/>
  <c r="P101" i="13" s="1"/>
  <c r="Q101" i="13" s="1"/>
  <c r="K101" i="25" s="1"/>
  <c r="N156" i="13"/>
  <c r="O156" i="13" s="1"/>
  <c r="P156" i="13" s="1"/>
  <c r="Q156" i="13" s="1"/>
  <c r="N10" i="13"/>
  <c r="O10" i="13" s="1"/>
  <c r="P10" i="13" s="1"/>
  <c r="Q10" i="13" s="1"/>
  <c r="N100" i="13"/>
  <c r="O100" i="13" s="1"/>
  <c r="P100" i="13" s="1"/>
  <c r="Q100" i="13" s="1"/>
  <c r="K100" i="25" s="1"/>
  <c r="N103" i="13"/>
  <c r="O103" i="13" s="1"/>
  <c r="P103" i="13" s="1"/>
  <c r="Q103" i="13" s="1"/>
  <c r="N37" i="13"/>
  <c r="O37" i="13" s="1"/>
  <c r="P37" i="13" s="1"/>
  <c r="Q37" i="13" s="1"/>
  <c r="N78" i="13"/>
  <c r="O78" i="13" s="1"/>
  <c r="P78" i="13" s="1"/>
  <c r="Q78" i="13" s="1"/>
  <c r="N36" i="13"/>
  <c r="O36" i="13" s="1"/>
  <c r="P36" i="13" s="1"/>
  <c r="Q36" i="13" s="1"/>
  <c r="N274" i="13"/>
  <c r="O274" i="13" s="1"/>
  <c r="P274" i="13" s="1"/>
  <c r="Q274" i="13" s="1"/>
  <c r="K274" i="25" s="1"/>
  <c r="N216" i="13"/>
  <c r="O216" i="13" s="1"/>
  <c r="P216" i="13" s="1"/>
  <c r="Q216" i="13" s="1"/>
  <c r="K216" i="25" s="1"/>
  <c r="N283" i="13"/>
  <c r="O283" i="13" s="1"/>
  <c r="P283" i="13" s="1"/>
  <c r="Q283" i="13" s="1"/>
  <c r="K283" i="25" s="1"/>
  <c r="N242" i="13"/>
  <c r="O242" i="13" s="1"/>
  <c r="P242" i="13" s="1"/>
  <c r="Q242" i="13" s="1"/>
  <c r="N198" i="13"/>
  <c r="O198" i="13" s="1"/>
  <c r="P198" i="13" s="1"/>
  <c r="Q198" i="13" s="1"/>
  <c r="N58" i="13"/>
  <c r="O58" i="13" s="1"/>
  <c r="P58" i="13" s="1"/>
  <c r="Q58" i="13" s="1"/>
  <c r="K58" i="25" s="1"/>
  <c r="N50" i="13"/>
  <c r="O50" i="13" s="1"/>
  <c r="P50" i="13" s="1"/>
  <c r="Q50" i="13" s="1"/>
  <c r="K50" i="25" s="1"/>
  <c r="N62" i="13"/>
  <c r="O62" i="13" s="1"/>
  <c r="P62" i="13" s="1"/>
  <c r="Q62" i="13" s="1"/>
  <c r="K62" i="25" s="1"/>
  <c r="N74" i="13"/>
  <c r="O74" i="13" s="1"/>
  <c r="P74" i="13" s="1"/>
  <c r="Q74" i="13" s="1"/>
  <c r="K74" i="25" s="1"/>
  <c r="N25" i="13"/>
  <c r="O25" i="13" s="1"/>
  <c r="P25" i="13" s="1"/>
  <c r="Q25" i="13" s="1"/>
  <c r="K25" i="25" s="1"/>
  <c r="N99" i="13"/>
  <c r="O99" i="13" s="1"/>
  <c r="P99" i="13" s="1"/>
  <c r="Q99" i="13" s="1"/>
  <c r="N182" i="13"/>
  <c r="O182" i="13" s="1"/>
  <c r="P182" i="13" s="1"/>
  <c r="Q182" i="13" s="1"/>
  <c r="N177" i="13"/>
  <c r="O177" i="13" s="1"/>
  <c r="P177" i="13" s="1"/>
  <c r="Q177" i="13" s="1"/>
  <c r="N55" i="13"/>
  <c r="O55" i="13" s="1"/>
  <c r="P55" i="13" s="1"/>
  <c r="Q55" i="13" s="1"/>
  <c r="N208" i="13"/>
  <c r="O208" i="13" s="1"/>
  <c r="P208" i="13" s="1"/>
  <c r="Q208" i="13" s="1"/>
  <c r="N225" i="13"/>
  <c r="O225" i="13" s="1"/>
  <c r="P225" i="13" s="1"/>
  <c r="Q225" i="13" s="1"/>
  <c r="N168" i="13"/>
  <c r="O168" i="13" s="1"/>
  <c r="P168" i="13" s="1"/>
  <c r="Q168" i="13" s="1"/>
  <c r="K168" i="25" s="1"/>
  <c r="N301" i="13"/>
  <c r="O301" i="13" s="1"/>
  <c r="P301" i="13" s="1"/>
  <c r="Q301" i="13" s="1"/>
  <c r="N88" i="13"/>
  <c r="O88" i="13" s="1"/>
  <c r="P88" i="13" s="1"/>
  <c r="Q88" i="13" s="1"/>
  <c r="K88" i="25" s="1"/>
  <c r="N54" i="13"/>
  <c r="O54" i="13" s="1"/>
  <c r="P54" i="13" s="1"/>
  <c r="Q54" i="13" s="1"/>
  <c r="K54" i="25" s="1"/>
  <c r="N46" i="13"/>
  <c r="O46" i="13" s="1"/>
  <c r="P46" i="13" s="1"/>
  <c r="Q46" i="13" s="1"/>
  <c r="K46" i="25" s="1"/>
  <c r="N237" i="13"/>
  <c r="O237" i="13" s="1"/>
  <c r="P237" i="13" s="1"/>
  <c r="Q237" i="13" s="1"/>
  <c r="K237" i="25" s="1"/>
  <c r="N148" i="13"/>
  <c r="O148" i="13" s="1"/>
  <c r="P148" i="13" s="1"/>
  <c r="Q148" i="13" s="1"/>
  <c r="K148" i="25" s="1"/>
  <c r="N179" i="13"/>
  <c r="O179" i="13" s="1"/>
  <c r="P179" i="13" s="1"/>
  <c r="Q179" i="13" s="1"/>
  <c r="K179" i="25" s="1"/>
  <c r="N253" i="13"/>
  <c r="O253" i="13" s="1"/>
  <c r="P253" i="13" s="1"/>
  <c r="Q253" i="13" s="1"/>
  <c r="K253" i="25" s="1"/>
  <c r="N49" i="13"/>
  <c r="O49" i="13" s="1"/>
  <c r="P49" i="13" s="1"/>
  <c r="Q49" i="13" s="1"/>
  <c r="N158" i="13"/>
  <c r="O158" i="13" s="1"/>
  <c r="P158" i="13" s="1"/>
  <c r="Q158" i="13" s="1"/>
  <c r="K158" i="25" s="1"/>
  <c r="N272" i="13"/>
  <c r="O272" i="13" s="1"/>
  <c r="P272" i="13" s="1"/>
  <c r="Q272" i="13" s="1"/>
  <c r="K272" i="25" s="1"/>
  <c r="N227" i="13"/>
  <c r="O227" i="13" s="1"/>
  <c r="P227" i="13" s="1"/>
  <c r="Q227" i="13" s="1"/>
  <c r="K227" i="25" s="1"/>
  <c r="N295" i="13"/>
  <c r="O295" i="13" s="1"/>
  <c r="P295" i="13" s="1"/>
  <c r="Q295" i="13" s="1"/>
  <c r="N149" i="13"/>
  <c r="O149" i="13" s="1"/>
  <c r="P149" i="13" s="1"/>
  <c r="Q149" i="13" s="1"/>
  <c r="N186" i="13"/>
  <c r="O186" i="13" s="1"/>
  <c r="P186" i="13" s="1"/>
  <c r="Q186" i="13" s="1"/>
  <c r="N146" i="13"/>
  <c r="O146" i="13" s="1"/>
  <c r="P146" i="13" s="1"/>
  <c r="Q146" i="13" s="1"/>
  <c r="N180" i="13"/>
  <c r="O180" i="13" s="1"/>
  <c r="P180" i="13" s="1"/>
  <c r="Q180" i="13" s="1"/>
  <c r="N308" i="13"/>
  <c r="O308" i="13" s="1"/>
  <c r="P308" i="13" s="1"/>
  <c r="Q308" i="13" s="1"/>
  <c r="N213" i="13"/>
  <c r="O213" i="13" s="1"/>
  <c r="P213" i="13" s="1"/>
  <c r="Q213" i="13" s="1"/>
  <c r="N105" i="13"/>
  <c r="O105" i="13" s="1"/>
  <c r="P105" i="13" s="1"/>
  <c r="Q105" i="13" s="1"/>
  <c r="N206" i="13"/>
  <c r="O206" i="13" s="1"/>
  <c r="P206" i="13" s="1"/>
  <c r="Q206" i="13" s="1"/>
  <c r="N118" i="13"/>
  <c r="O118" i="13" s="1"/>
  <c r="P118" i="13" s="1"/>
  <c r="Q118" i="13" s="1"/>
  <c r="K118" i="25" s="1"/>
  <c r="N161" i="13"/>
  <c r="O161" i="13" s="1"/>
  <c r="P161" i="13" s="1"/>
  <c r="Q161" i="13" s="1"/>
  <c r="K161" i="25" s="1"/>
  <c r="N59" i="13"/>
  <c r="O59" i="13" s="1"/>
  <c r="P59" i="13" s="1"/>
  <c r="Q59" i="13" s="1"/>
  <c r="K59" i="25" s="1"/>
  <c r="N276" i="13"/>
  <c r="O276" i="13" s="1"/>
  <c r="P276" i="13" s="1"/>
  <c r="Q276" i="13" s="1"/>
  <c r="K276" i="25" s="1"/>
  <c r="N20" i="13"/>
  <c r="O20" i="13" s="1"/>
  <c r="P20" i="13" s="1"/>
  <c r="Q20" i="13" s="1"/>
  <c r="K20" i="25" s="1"/>
  <c r="N19" i="13"/>
  <c r="O19" i="13" s="1"/>
  <c r="P19" i="13" s="1"/>
  <c r="Q19" i="13" s="1"/>
  <c r="K19" i="25" s="1"/>
  <c r="N185" i="13"/>
  <c r="O185" i="13" s="1"/>
  <c r="P185" i="13" s="1"/>
  <c r="Q185" i="13" s="1"/>
  <c r="N258" i="13"/>
  <c r="O258" i="13" s="1"/>
  <c r="P258" i="13" s="1"/>
  <c r="Q258" i="13" s="1"/>
  <c r="K258" i="25" s="1"/>
  <c r="N224" i="13"/>
  <c r="O224" i="13" s="1"/>
  <c r="P224" i="13" s="1"/>
  <c r="Q224" i="13" s="1"/>
  <c r="N91" i="13"/>
  <c r="O91" i="13" s="1"/>
  <c r="P91" i="13" s="1"/>
  <c r="Q91" i="13" s="1"/>
  <c r="K91" i="25" s="1"/>
  <c r="N67" i="13"/>
  <c r="O67" i="13" s="1"/>
  <c r="P67" i="13" s="1"/>
  <c r="Q67" i="13" s="1"/>
  <c r="N173" i="13"/>
  <c r="O173" i="13" s="1"/>
  <c r="P173" i="13" s="1"/>
  <c r="Q173" i="13" s="1"/>
  <c r="N142" i="13"/>
  <c r="O142" i="13" s="1"/>
  <c r="P142" i="13" s="1"/>
  <c r="Q142" i="13" s="1"/>
  <c r="N141" i="13"/>
  <c r="O141" i="13" s="1"/>
  <c r="P141" i="13" s="1"/>
  <c r="Q141" i="13" s="1"/>
  <c r="N72" i="13"/>
  <c r="O72" i="13" s="1"/>
  <c r="P72" i="13" s="1"/>
  <c r="Q72" i="13" s="1"/>
  <c r="K72" i="25" s="1"/>
  <c r="N139" i="13"/>
  <c r="O139" i="13" s="1"/>
  <c r="P139" i="13" s="1"/>
  <c r="Q139" i="13" s="1"/>
  <c r="K139" i="25" s="1"/>
  <c r="N189" i="13"/>
  <c r="O189" i="13" s="1"/>
  <c r="P189" i="13" s="1"/>
  <c r="Q189" i="13" s="1"/>
  <c r="K189" i="25" s="1"/>
  <c r="N203" i="13"/>
  <c r="O203" i="13" s="1"/>
  <c r="P203" i="13" s="1"/>
  <c r="Q203" i="13" s="1"/>
  <c r="K203" i="25" s="1"/>
  <c r="N21" i="13"/>
  <c r="O21" i="13" s="1"/>
  <c r="P21" i="13" s="1"/>
  <c r="Q21" i="13" s="1"/>
  <c r="K21" i="25" s="1"/>
  <c r="N257" i="13"/>
  <c r="O257" i="13" s="1"/>
  <c r="P257" i="13" s="1"/>
  <c r="Q257" i="13" s="1"/>
  <c r="K257" i="25" s="1"/>
  <c r="N97" i="13"/>
  <c r="O97" i="13" s="1"/>
  <c r="P97" i="13" s="1"/>
  <c r="Q97" i="13" s="1"/>
  <c r="K97" i="25" s="1"/>
  <c r="N34" i="13"/>
  <c r="O34" i="13" s="1"/>
  <c r="P34" i="13" s="1"/>
  <c r="Q34" i="13" s="1"/>
  <c r="N143" i="13"/>
  <c r="O143" i="13" s="1"/>
  <c r="P143" i="13" s="1"/>
  <c r="Q143" i="13" s="1"/>
  <c r="K143" i="25" s="1"/>
  <c r="N76" i="13"/>
  <c r="O76" i="13" s="1"/>
  <c r="P76" i="13" s="1"/>
  <c r="Q76" i="13" s="1"/>
  <c r="N108" i="13"/>
  <c r="O108" i="13" s="1"/>
  <c r="P108" i="13" s="1"/>
  <c r="Q108" i="13" s="1"/>
  <c r="N16" i="13"/>
  <c r="O16" i="13" s="1"/>
  <c r="P16" i="13" s="1"/>
  <c r="Q16" i="13" s="1"/>
  <c r="N312" i="13"/>
  <c r="O312" i="13" s="1"/>
  <c r="P312" i="13" s="1"/>
  <c r="Q312" i="13" s="1"/>
  <c r="N131" i="13"/>
  <c r="O131" i="13" s="1"/>
  <c r="P131" i="13" s="1"/>
  <c r="Q131" i="13" s="1"/>
  <c r="N212" i="13"/>
  <c r="O212" i="13" s="1"/>
  <c r="P212" i="13" s="1"/>
  <c r="Q212" i="13" s="1"/>
  <c r="N106" i="13"/>
  <c r="O106" i="13" s="1"/>
  <c r="P106" i="13" s="1"/>
  <c r="Q106" i="13" s="1"/>
  <c r="K106" i="25" s="1"/>
  <c r="N28" i="13"/>
  <c r="O28" i="13" s="1"/>
  <c r="P28" i="13" s="1"/>
  <c r="Q28" i="13" s="1"/>
  <c r="K28" i="25" s="1"/>
  <c r="N210" i="13"/>
  <c r="O210" i="13" s="1"/>
  <c r="P210" i="13" s="1"/>
  <c r="Q210" i="13" s="1"/>
  <c r="N155" i="13"/>
  <c r="O155" i="13" s="1"/>
  <c r="P155" i="13" s="1"/>
  <c r="Q155" i="13" s="1"/>
  <c r="K155" i="25" s="1"/>
  <c r="N207" i="13"/>
  <c r="O207" i="13" s="1"/>
  <c r="P207" i="13" s="1"/>
  <c r="Q207" i="13" s="1"/>
  <c r="N122" i="13"/>
  <c r="O122" i="13" s="1"/>
  <c r="P122" i="13" s="1"/>
  <c r="Q122" i="13" s="1"/>
  <c r="N52" i="13"/>
  <c r="O52" i="13" s="1"/>
  <c r="P52" i="13" s="1"/>
  <c r="Q52" i="13" s="1"/>
  <c r="N12" i="13"/>
  <c r="O12" i="13" s="1"/>
  <c r="P12" i="13" s="1"/>
  <c r="Q12" i="13" s="1"/>
  <c r="N85" i="13"/>
  <c r="O85" i="13" s="1"/>
  <c r="P85" i="13" s="1"/>
  <c r="Q85" i="13" s="1"/>
  <c r="N135" i="13"/>
  <c r="O135" i="13" s="1"/>
  <c r="P135" i="13" s="1"/>
  <c r="Q135" i="13" s="1"/>
  <c r="N246" i="13"/>
  <c r="O246" i="13" s="1"/>
  <c r="P246" i="13" s="1"/>
  <c r="Q246" i="13" s="1"/>
  <c r="N150" i="13"/>
  <c r="O150" i="13" s="1"/>
  <c r="P150" i="13" s="1"/>
  <c r="Q150" i="13" s="1"/>
  <c r="N256" i="13"/>
  <c r="O256" i="13" s="1"/>
  <c r="P256" i="13" s="1"/>
  <c r="Q256" i="13" s="1"/>
  <c r="N123" i="13"/>
  <c r="O123" i="13" s="1"/>
  <c r="P123" i="13" s="1"/>
  <c r="Q123" i="13" s="1"/>
  <c r="N201" i="13"/>
  <c r="O201" i="13" s="1"/>
  <c r="P201" i="13" s="1"/>
  <c r="Q201" i="13" s="1"/>
  <c r="N162" i="13"/>
  <c r="O162" i="13" s="1"/>
  <c r="P162" i="13" s="1"/>
  <c r="Q162" i="13" s="1"/>
  <c r="N292" i="13"/>
  <c r="O292" i="13" s="1"/>
  <c r="P292" i="13" s="1"/>
  <c r="Q292" i="13" s="1"/>
  <c r="N259" i="13"/>
  <c r="O259" i="13" s="1"/>
  <c r="P259" i="13" s="1"/>
  <c r="Q259" i="13" s="1"/>
  <c r="N205" i="13"/>
  <c r="O205" i="13" s="1"/>
  <c r="P205" i="13" s="1"/>
  <c r="Q205" i="13" s="1"/>
  <c r="N73" i="13"/>
  <c r="O73" i="13" s="1"/>
  <c r="P73" i="13" s="1"/>
  <c r="Q73" i="13" s="1"/>
  <c r="N57" i="13"/>
  <c r="O57" i="13" s="1"/>
  <c r="P57" i="13" s="1"/>
  <c r="Q57" i="13" s="1"/>
  <c r="N30" i="13"/>
  <c r="O30" i="13" s="1"/>
  <c r="P30" i="13" s="1"/>
  <c r="Q30" i="13" s="1"/>
  <c r="N176" i="13"/>
  <c r="O176" i="13" s="1"/>
  <c r="P176" i="13" s="1"/>
  <c r="Q176" i="13" s="1"/>
  <c r="N39" i="13"/>
  <c r="O39" i="13" s="1"/>
  <c r="P39" i="13" s="1"/>
  <c r="Q39" i="13" s="1"/>
  <c r="N275" i="13"/>
  <c r="O275" i="13" s="1"/>
  <c r="P275" i="13" s="1"/>
  <c r="Q275" i="13" s="1"/>
  <c r="N277" i="13"/>
  <c r="O277" i="13" s="1"/>
  <c r="P277" i="13" s="1"/>
  <c r="Q277" i="13" s="1"/>
  <c r="N266" i="13"/>
  <c r="O266" i="13" s="1"/>
  <c r="P266" i="13" s="1"/>
  <c r="Q266" i="13" s="1"/>
  <c r="N70" i="13"/>
  <c r="O70" i="13" s="1"/>
  <c r="P70" i="13" s="1"/>
  <c r="Q70" i="13" s="1"/>
  <c r="N194" i="13"/>
  <c r="O194" i="13" s="1"/>
  <c r="P194" i="13" s="1"/>
  <c r="Q194" i="13" s="1"/>
  <c r="N239" i="13"/>
  <c r="O239" i="13" s="1"/>
  <c r="P239" i="13" s="1"/>
  <c r="Q239" i="13" s="1"/>
  <c r="N293" i="13"/>
  <c r="O293" i="13" s="1"/>
  <c r="P293" i="13" s="1"/>
  <c r="Q293" i="13" s="1"/>
  <c r="N9" i="13"/>
  <c r="O9" i="13" s="1"/>
  <c r="P9" i="13" s="1"/>
  <c r="Q9" i="13" s="1"/>
  <c r="N238" i="13"/>
  <c r="O238" i="13" s="1"/>
  <c r="P238" i="13" s="1"/>
  <c r="Q238" i="13" s="1"/>
  <c r="N145" i="13"/>
  <c r="O145" i="13" s="1"/>
  <c r="P145" i="13" s="1"/>
  <c r="Q145" i="13" s="1"/>
  <c r="N262" i="13"/>
  <c r="O262" i="13" s="1"/>
  <c r="P262" i="13" s="1"/>
  <c r="Q262" i="13" s="1"/>
  <c r="N273" i="13"/>
  <c r="O273" i="13" s="1"/>
  <c r="P273" i="13" s="1"/>
  <c r="Q273" i="13" s="1"/>
  <c r="N271" i="13"/>
  <c r="O271" i="13" s="1"/>
  <c r="P271" i="13" s="1"/>
  <c r="Q271" i="13" s="1"/>
  <c r="N114" i="13"/>
  <c r="O114" i="13" s="1"/>
  <c r="P114" i="13" s="1"/>
  <c r="Q114" i="13" s="1"/>
  <c r="N285" i="13"/>
  <c r="O285" i="13" s="1"/>
  <c r="P285" i="13" s="1"/>
  <c r="Q285" i="13" s="1"/>
  <c r="N48" i="13"/>
  <c r="O48" i="13" s="1"/>
  <c r="P48" i="13" s="1"/>
  <c r="Q48" i="13" s="1"/>
  <c r="N89" i="13"/>
  <c r="O89" i="13" s="1"/>
  <c r="P89" i="13" s="1"/>
  <c r="Q89" i="13" s="1"/>
  <c r="N38" i="13"/>
  <c r="O38" i="13" s="1"/>
  <c r="P38" i="13" s="1"/>
  <c r="Q38" i="13" s="1"/>
  <c r="N202" i="13"/>
  <c r="O202" i="13" s="1"/>
  <c r="P202" i="13" s="1"/>
  <c r="Q202" i="13" s="1"/>
  <c r="N269" i="13"/>
  <c r="O269" i="13" s="1"/>
  <c r="P269" i="13" s="1"/>
  <c r="Q269" i="13" s="1"/>
  <c r="N190" i="13"/>
  <c r="O190" i="13" s="1"/>
  <c r="P190" i="13" s="1"/>
  <c r="Q190" i="13" s="1"/>
  <c r="N110" i="13"/>
  <c r="O110" i="13" s="1"/>
  <c r="P110" i="13" s="1"/>
  <c r="Q110" i="13" s="1"/>
  <c r="N7" i="13"/>
  <c r="O7" i="13" s="1"/>
  <c r="P7" i="13" s="1"/>
  <c r="Q7" i="13" s="1"/>
  <c r="N234" i="13"/>
  <c r="O234" i="13" s="1"/>
  <c r="P234" i="13" s="1"/>
  <c r="Q234" i="13" s="1"/>
  <c r="N153" i="13"/>
  <c r="O153" i="13" s="1"/>
  <c r="P153" i="13" s="1"/>
  <c r="Q153" i="13" s="1"/>
  <c r="N236" i="13"/>
  <c r="O236" i="13" s="1"/>
  <c r="P236" i="13" s="1"/>
  <c r="Q236" i="13" s="1"/>
  <c r="N270" i="13"/>
  <c r="O270" i="13" s="1"/>
  <c r="P270" i="13" s="1"/>
  <c r="Q270" i="13" s="1"/>
  <c r="N214" i="13"/>
  <c r="O214" i="13" s="1"/>
  <c r="P214" i="13" s="1"/>
  <c r="Q214" i="13" s="1"/>
  <c r="N231" i="13"/>
  <c r="O231" i="13" s="1"/>
  <c r="P231" i="13" s="1"/>
  <c r="Q231" i="13" s="1"/>
  <c r="N166" i="13"/>
  <c r="O166" i="13" s="1"/>
  <c r="P166" i="13" s="1"/>
  <c r="Q166" i="13" s="1"/>
  <c r="N174" i="13"/>
  <c r="O174" i="13" s="1"/>
  <c r="P174" i="13" s="1"/>
  <c r="Q174" i="13" s="1"/>
  <c r="N290" i="13"/>
  <c r="O290" i="13" s="1"/>
  <c r="P290" i="13" s="1"/>
  <c r="Q290" i="13" s="1"/>
  <c r="N124" i="13"/>
  <c r="O124" i="13" s="1"/>
  <c r="P124" i="13" s="1"/>
  <c r="Q124" i="13" s="1"/>
  <c r="N178" i="13"/>
  <c r="O178" i="13" s="1"/>
  <c r="P178" i="13" s="1"/>
  <c r="Q178" i="13" s="1"/>
  <c r="N115" i="13"/>
  <c r="O115" i="13" s="1"/>
  <c r="P115" i="13" s="1"/>
  <c r="Q115" i="13" s="1"/>
  <c r="N26" i="13"/>
  <c r="O26" i="13" s="1"/>
  <c r="P26" i="13" s="1"/>
  <c r="Q26" i="13" s="1"/>
  <c r="N249" i="13"/>
  <c r="O249" i="13" s="1"/>
  <c r="P249" i="13" s="1"/>
  <c r="Q249" i="13" s="1"/>
  <c r="N69" i="13"/>
  <c r="O69" i="13" s="1"/>
  <c r="P69" i="13" s="1"/>
  <c r="Q69" i="13" s="1"/>
  <c r="N56" i="13"/>
  <c r="O56" i="13" s="1"/>
  <c r="P56" i="13" s="1"/>
  <c r="Q56" i="13" s="1"/>
  <c r="N90" i="13"/>
  <c r="O90" i="13" s="1"/>
  <c r="P90" i="13" s="1"/>
  <c r="Q90" i="13" s="1"/>
  <c r="K90" i="25" s="1"/>
  <c r="N310" i="13"/>
  <c r="O310" i="13" s="1"/>
  <c r="P310" i="13" s="1"/>
  <c r="Q310" i="13" s="1"/>
  <c r="N44" i="13"/>
  <c r="O44" i="13" s="1"/>
  <c r="P44" i="13" s="1"/>
  <c r="Q44" i="13" s="1"/>
  <c r="N172" i="13"/>
  <c r="O172" i="13" s="1"/>
  <c r="P172" i="13" s="1"/>
  <c r="Q172" i="13" s="1"/>
  <c r="N289" i="13"/>
  <c r="O289" i="13" s="1"/>
  <c r="P289" i="13" s="1"/>
  <c r="Q289" i="13" s="1"/>
  <c r="N65" i="13"/>
  <c r="O65" i="13" s="1"/>
  <c r="P65" i="13" s="1"/>
  <c r="Q65" i="13" s="1"/>
  <c r="N192" i="13"/>
  <c r="O192" i="13" s="1"/>
  <c r="P192" i="13" s="1"/>
  <c r="Q192" i="13" s="1"/>
  <c r="N116" i="13"/>
  <c r="O116" i="13" s="1"/>
  <c r="P116" i="13" s="1"/>
  <c r="Q116" i="13" s="1"/>
  <c r="N32" i="13"/>
  <c r="O32" i="13" s="1"/>
  <c r="P32" i="13" s="1"/>
  <c r="Q32" i="13" s="1"/>
  <c r="N84" i="13"/>
  <c r="O84" i="13" s="1"/>
  <c r="P84" i="13" s="1"/>
  <c r="Q84" i="13" s="1"/>
  <c r="N298" i="13"/>
  <c r="O298" i="13" s="1"/>
  <c r="P298" i="13" s="1"/>
  <c r="Q298" i="13" s="1"/>
  <c r="N125" i="13"/>
  <c r="O125" i="13" s="1"/>
  <c r="P125" i="13" s="1"/>
  <c r="Q125" i="13" s="1"/>
  <c r="N104" i="13"/>
  <c r="O104" i="13" s="1"/>
  <c r="P104" i="13" s="1"/>
  <c r="Q104" i="13" s="1"/>
  <c r="N263" i="13"/>
  <c r="O263" i="13" s="1"/>
  <c r="P263" i="13" s="1"/>
  <c r="Q263" i="13" s="1"/>
  <c r="N235" i="13"/>
  <c r="O235" i="13" s="1"/>
  <c r="P235" i="13" s="1"/>
  <c r="Q235" i="13" s="1"/>
  <c r="N226" i="13"/>
  <c r="O226" i="13" s="1"/>
  <c r="P226" i="13" s="1"/>
  <c r="Q226" i="13" s="1"/>
  <c r="N240" i="13"/>
  <c r="O240" i="13" s="1"/>
  <c r="P240" i="13" s="1"/>
  <c r="Q240" i="13" s="1"/>
  <c r="N136" i="13"/>
  <c r="O136" i="13" s="1"/>
  <c r="P136" i="13" s="1"/>
  <c r="Q136" i="13" s="1"/>
  <c r="N221" i="13"/>
  <c r="O221" i="13" s="1"/>
  <c r="P221" i="13" s="1"/>
  <c r="Q221" i="13" s="1"/>
  <c r="N79" i="13"/>
  <c r="O79" i="13" s="1"/>
  <c r="P79" i="13" s="1"/>
  <c r="Q79" i="13" s="1"/>
  <c r="N24" i="13"/>
  <c r="O24" i="13" s="1"/>
  <c r="P24" i="13" s="1"/>
  <c r="Q24" i="13" s="1"/>
  <c r="N63" i="13"/>
  <c r="O63" i="13" s="1"/>
  <c r="P63" i="13" s="1"/>
  <c r="Q63" i="13" s="1"/>
  <c r="N217" i="13"/>
  <c r="O217" i="13" s="1"/>
  <c r="P217" i="13" s="1"/>
  <c r="Q217" i="13" s="1"/>
  <c r="N305" i="13"/>
  <c r="O305" i="13" s="1"/>
  <c r="P305" i="13" s="1"/>
  <c r="Q305" i="13" s="1"/>
  <c r="N107" i="13"/>
  <c r="O107" i="13" s="1"/>
  <c r="P107" i="13" s="1"/>
  <c r="Q107" i="13" s="1"/>
  <c r="N61" i="13"/>
  <c r="O61" i="13" s="1"/>
  <c r="P61" i="13" s="1"/>
  <c r="Q61" i="13" s="1"/>
  <c r="N14" i="13"/>
  <c r="O14" i="13" s="1"/>
  <c r="P14" i="13" s="1"/>
  <c r="Q14" i="13" s="1"/>
  <c r="N223" i="13"/>
  <c r="O223" i="13" s="1"/>
  <c r="P223" i="13" s="1"/>
  <c r="Q223" i="13" s="1"/>
  <c r="N204" i="13"/>
  <c r="O204" i="13" s="1"/>
  <c r="P204" i="13" s="1"/>
  <c r="Q204" i="13" s="1"/>
  <c r="N286" i="13"/>
  <c r="O286" i="13" s="1"/>
  <c r="P286" i="13" s="1"/>
  <c r="Q286" i="13" s="1"/>
  <c r="N296" i="13"/>
  <c r="O296" i="13" s="1"/>
  <c r="P296" i="13" s="1"/>
  <c r="Q296" i="13" s="1"/>
  <c r="N133" i="13"/>
  <c r="O133" i="13" s="1"/>
  <c r="P133" i="13" s="1"/>
  <c r="Q133" i="13" s="1"/>
  <c r="N41" i="13"/>
  <c r="O41" i="13" s="1"/>
  <c r="P41" i="13" s="1"/>
  <c r="Q41" i="13" s="1"/>
  <c r="N130" i="13"/>
  <c r="O130" i="13" s="1"/>
  <c r="P130" i="13" s="1"/>
  <c r="Q130" i="13" s="1"/>
  <c r="N248" i="13"/>
  <c r="O248" i="13" s="1"/>
  <c r="P248" i="13" s="1"/>
  <c r="Q248" i="13" s="1"/>
  <c r="N265" i="13"/>
  <c r="O265" i="13" s="1"/>
  <c r="P265" i="13" s="1"/>
  <c r="Q265" i="13" s="1"/>
  <c r="N151" i="13"/>
  <c r="O151" i="13" s="1"/>
  <c r="P151" i="13" s="1"/>
  <c r="Q151" i="13" s="1"/>
  <c r="N66" i="13"/>
  <c r="O66" i="13" s="1"/>
  <c r="P66" i="13" s="1"/>
  <c r="Q66" i="13" s="1"/>
  <c r="N27" i="13"/>
  <c r="O27" i="13" s="1"/>
  <c r="P27" i="13" s="1"/>
  <c r="Q27" i="13" s="1"/>
  <c r="N163" i="13"/>
  <c r="O163" i="13" s="1"/>
  <c r="P163" i="13" s="1"/>
  <c r="Q163" i="13" s="1"/>
  <c r="K163" i="25" s="1"/>
  <c r="N35" i="13"/>
  <c r="O35" i="13" s="1"/>
  <c r="P35" i="13" s="1"/>
  <c r="Q35" i="13" s="1"/>
  <c r="N80" i="13"/>
  <c r="O80" i="13" s="1"/>
  <c r="P80" i="13" s="1"/>
  <c r="Q80" i="13" s="1"/>
  <c r="N230" i="13"/>
  <c r="O230" i="13" s="1"/>
  <c r="P230" i="13" s="1"/>
  <c r="Q230" i="13" s="1"/>
  <c r="N313" i="13"/>
  <c r="O313" i="13" s="1"/>
  <c r="P313" i="13" s="1"/>
  <c r="Q313" i="13" s="1"/>
  <c r="N193" i="13"/>
  <c r="O193" i="13" s="1"/>
  <c r="P193" i="13" s="1"/>
  <c r="Q193" i="13" s="1"/>
  <c r="N132" i="13"/>
  <c r="O132" i="13" s="1"/>
  <c r="P132" i="13" s="1"/>
  <c r="Q132" i="13" s="1"/>
  <c r="K68" i="25"/>
  <c r="N300" i="13"/>
  <c r="O300" i="13" s="1"/>
  <c r="P300" i="13" s="1"/>
  <c r="Q300" i="13" s="1"/>
  <c r="N120" i="13"/>
  <c r="O120" i="13" s="1"/>
  <c r="P120" i="13" s="1"/>
  <c r="Q120" i="13" s="1"/>
  <c r="N252" i="13"/>
  <c r="O252" i="13" s="1"/>
  <c r="P252" i="13" s="1"/>
  <c r="Q252" i="13" s="1"/>
  <c r="N29" i="13"/>
  <c r="O29" i="13" s="1"/>
  <c r="P29" i="13" s="1"/>
  <c r="Q29" i="13" s="1"/>
  <c r="N195" i="13"/>
  <c r="O195" i="13" s="1"/>
  <c r="P195" i="13" s="1"/>
  <c r="Q195" i="13" s="1"/>
  <c r="N254" i="13"/>
  <c r="O254" i="13" s="1"/>
  <c r="P254" i="13" s="1"/>
  <c r="Q254" i="13" s="1"/>
  <c r="K254" i="25" s="1"/>
  <c r="N170" i="13"/>
  <c r="O170" i="13" s="1"/>
  <c r="P170" i="13" s="1"/>
  <c r="Q170" i="13" s="1"/>
  <c r="N244" i="13"/>
  <c r="O244" i="13" s="1"/>
  <c r="P244" i="13" s="1"/>
  <c r="Q244" i="13" s="1"/>
  <c r="N219" i="13"/>
  <c r="O219" i="13" s="1"/>
  <c r="D10" i="34"/>
  <c r="D11" i="34" s="1"/>
  <c r="R68" i="13"/>
  <c r="S68" i="13" s="1"/>
  <c r="P102" i="13"/>
  <c r="Q102" i="13" s="1"/>
  <c r="J314" i="39" l="1"/>
  <c r="I315" i="25" s="1"/>
  <c r="E38" i="48"/>
  <c r="R232" i="13"/>
  <c r="S232" i="13" s="1"/>
  <c r="R147" i="13"/>
  <c r="S147" i="13" s="1"/>
  <c r="I6" i="25"/>
  <c r="N6" i="13"/>
  <c r="O6" i="13" s="1"/>
  <c r="P6" i="13" s="1"/>
  <c r="Q6" i="13" s="1"/>
  <c r="K6" i="25" s="1"/>
  <c r="R45" i="13"/>
  <c r="S45" i="13" s="1"/>
  <c r="J5" i="12"/>
  <c r="R144" i="13"/>
  <c r="S144" i="13" s="1"/>
  <c r="R87" i="13"/>
  <c r="S87" i="13" s="1"/>
  <c r="R306" i="13"/>
  <c r="S306" i="13" s="1"/>
  <c r="R209" i="13"/>
  <c r="S209" i="13" s="1"/>
  <c r="R95" i="13"/>
  <c r="S95" i="13" s="1"/>
  <c r="R268" i="13"/>
  <c r="S268" i="13" s="1"/>
  <c r="R267" i="13"/>
  <c r="S267" i="13" s="1"/>
  <c r="R83" i="13"/>
  <c r="S83" i="13" s="1"/>
  <c r="R284" i="13"/>
  <c r="S284" i="13" s="1"/>
  <c r="R127" i="13"/>
  <c r="S127" i="13" s="1"/>
  <c r="R220" i="13"/>
  <c r="S220" i="13" s="1"/>
  <c r="O191" i="13"/>
  <c r="P191" i="13" s="1"/>
  <c r="Q191" i="13" s="1"/>
  <c r="K191" i="25" s="1"/>
  <c r="I5" i="12"/>
  <c r="L95" i="25"/>
  <c r="N95" i="25" s="1"/>
  <c r="L257" i="25"/>
  <c r="N257" i="25" s="1"/>
  <c r="L272" i="25"/>
  <c r="N272" i="25" s="1"/>
  <c r="L74" i="25"/>
  <c r="N74" i="25" s="1"/>
  <c r="L164" i="25"/>
  <c r="N164" i="25" s="1"/>
  <c r="L284" i="25"/>
  <c r="N284" i="25" s="1"/>
  <c r="L158" i="25"/>
  <c r="N158" i="25" s="1"/>
  <c r="L254" i="25"/>
  <c r="N254" i="25" s="1"/>
  <c r="L232" i="25"/>
  <c r="N232" i="25" s="1"/>
  <c r="L91" i="25"/>
  <c r="N91" i="25" s="1"/>
  <c r="L276" i="25"/>
  <c r="N276" i="25" s="1"/>
  <c r="L148" i="25"/>
  <c r="N148" i="25" s="1"/>
  <c r="L50" i="25"/>
  <c r="N50" i="25" s="1"/>
  <c r="L283" i="25"/>
  <c r="N283" i="25" s="1"/>
  <c r="L307" i="25"/>
  <c r="N307" i="25" s="1"/>
  <c r="L175" i="25"/>
  <c r="N175" i="25" s="1"/>
  <c r="L160" i="25"/>
  <c r="N160" i="25" s="1"/>
  <c r="L297" i="25"/>
  <c r="N297" i="25" s="1"/>
  <c r="L83" i="25"/>
  <c r="N83" i="25" s="1"/>
  <c r="L163" i="25"/>
  <c r="N163" i="25" s="1"/>
  <c r="L87" i="25"/>
  <c r="N87" i="25" s="1"/>
  <c r="L189" i="25"/>
  <c r="N189" i="25" s="1"/>
  <c r="L59" i="25"/>
  <c r="N59" i="25" s="1"/>
  <c r="L237" i="25"/>
  <c r="N237" i="25" s="1"/>
  <c r="L58" i="25"/>
  <c r="N58" i="25" s="1"/>
  <c r="L216" i="25"/>
  <c r="N216" i="25" s="1"/>
  <c r="L98" i="25"/>
  <c r="N98" i="25" s="1"/>
  <c r="L260" i="25"/>
  <c r="N260" i="25" s="1"/>
  <c r="L68" i="25"/>
  <c r="N68" i="25" s="1"/>
  <c r="L253" i="25"/>
  <c r="N253" i="25" s="1"/>
  <c r="L311" i="25"/>
  <c r="N311" i="25" s="1"/>
  <c r="L140" i="25"/>
  <c r="N140" i="25" s="1"/>
  <c r="L100" i="25"/>
  <c r="N100" i="25" s="1"/>
  <c r="L18" i="25"/>
  <c r="N18" i="25" s="1"/>
  <c r="L209" i="25"/>
  <c r="N209" i="25" s="1"/>
  <c r="L90" i="25"/>
  <c r="N90" i="25" s="1"/>
  <c r="L139" i="25"/>
  <c r="N139" i="25" s="1"/>
  <c r="L274" i="25"/>
  <c r="N274" i="25" s="1"/>
  <c r="L309" i="25"/>
  <c r="N309" i="25" s="1"/>
  <c r="L233" i="25"/>
  <c r="N233" i="25" s="1"/>
  <c r="L165" i="25"/>
  <c r="N165" i="25" s="1"/>
  <c r="L127" i="25"/>
  <c r="N127" i="25" s="1"/>
  <c r="L268" i="25"/>
  <c r="N268" i="25" s="1"/>
  <c r="L144" i="25"/>
  <c r="N144" i="25" s="1"/>
  <c r="L72" i="25"/>
  <c r="N72" i="25" s="1"/>
  <c r="L118" i="25"/>
  <c r="N118" i="25" s="1"/>
  <c r="L54" i="25"/>
  <c r="N54" i="25" s="1"/>
  <c r="L40" i="25"/>
  <c r="N40" i="25" s="1"/>
  <c r="L302" i="25"/>
  <c r="N302" i="25" s="1"/>
  <c r="L304" i="25"/>
  <c r="N304" i="25" s="1"/>
  <c r="L264" i="25"/>
  <c r="N264" i="25" s="1"/>
  <c r="L303" i="25"/>
  <c r="N303" i="25" s="1"/>
  <c r="L278" i="25"/>
  <c r="N278" i="25" s="1"/>
  <c r="L197" i="25"/>
  <c r="N197" i="25" s="1"/>
  <c r="L167" i="25"/>
  <c r="N167" i="25" s="1"/>
  <c r="L168" i="25"/>
  <c r="N168" i="25" s="1"/>
  <c r="L228" i="25"/>
  <c r="N228" i="25" s="1"/>
  <c r="L21" i="25"/>
  <c r="N21" i="25" s="1"/>
  <c r="L62" i="25"/>
  <c r="N62" i="25" s="1"/>
  <c r="L222" i="25"/>
  <c r="N222" i="25" s="1"/>
  <c r="L17" i="25"/>
  <c r="N17" i="25" s="1"/>
  <c r="L155" i="25"/>
  <c r="N155" i="25" s="1"/>
  <c r="L258" i="25"/>
  <c r="N258" i="25" s="1"/>
  <c r="L46" i="25"/>
  <c r="N46" i="25" s="1"/>
  <c r="L101" i="25"/>
  <c r="N101" i="25" s="1"/>
  <c r="L188" i="25"/>
  <c r="N188" i="25" s="1"/>
  <c r="L147" i="25"/>
  <c r="N147" i="25" s="1"/>
  <c r="L267" i="25"/>
  <c r="N267" i="25" s="1"/>
  <c r="L45" i="25"/>
  <c r="N45" i="25" s="1"/>
  <c r="L28" i="25"/>
  <c r="N28" i="25" s="1"/>
  <c r="L143" i="25"/>
  <c r="N143" i="25" s="1"/>
  <c r="L88" i="25"/>
  <c r="N88" i="25" s="1"/>
  <c r="L113" i="25"/>
  <c r="N113" i="25" s="1"/>
  <c r="L22" i="25"/>
  <c r="N22" i="25" s="1"/>
  <c r="L64" i="25"/>
  <c r="N64" i="25" s="1"/>
  <c r="L42" i="25"/>
  <c r="N42" i="25" s="1"/>
  <c r="L200" i="25"/>
  <c r="N200" i="25" s="1"/>
  <c r="L287" i="25"/>
  <c r="N287" i="25" s="1"/>
  <c r="L51" i="25"/>
  <c r="N51" i="25" s="1"/>
  <c r="L8" i="25"/>
  <c r="N8" i="25" s="1"/>
  <c r="L306" i="25"/>
  <c r="N306" i="25" s="1"/>
  <c r="L19" i="25"/>
  <c r="N19" i="25" s="1"/>
  <c r="L25" i="25"/>
  <c r="N25" i="25" s="1"/>
  <c r="L20" i="25"/>
  <c r="N20" i="25" s="1"/>
  <c r="L179" i="25"/>
  <c r="N179" i="25" s="1"/>
  <c r="L93" i="25"/>
  <c r="N93" i="25" s="1"/>
  <c r="L203" i="25"/>
  <c r="N203" i="25" s="1"/>
  <c r="L220" i="25"/>
  <c r="N220" i="25" s="1"/>
  <c r="L161" i="25"/>
  <c r="N161" i="25" s="1"/>
  <c r="L96" i="25"/>
  <c r="N96" i="25" s="1"/>
  <c r="L106" i="25"/>
  <c r="N106" i="25" s="1"/>
  <c r="L97" i="25"/>
  <c r="N97" i="25" s="1"/>
  <c r="L227" i="25"/>
  <c r="N227" i="25" s="1"/>
  <c r="L92" i="25"/>
  <c r="N92" i="25" s="1"/>
  <c r="L247" i="25"/>
  <c r="N247" i="25" s="1"/>
  <c r="L280" i="25"/>
  <c r="N280" i="25" s="1"/>
  <c r="L187" i="25"/>
  <c r="N187" i="25" s="1"/>
  <c r="L121" i="25"/>
  <c r="N121" i="25" s="1"/>
  <c r="R303" i="13"/>
  <c r="S303" i="13" s="1"/>
  <c r="R8" i="13"/>
  <c r="S8" i="13" s="1"/>
  <c r="R278" i="13"/>
  <c r="S278" i="13" s="1"/>
  <c r="R93" i="13"/>
  <c r="S93" i="13" s="1"/>
  <c r="R304" i="13"/>
  <c r="S304" i="13" s="1"/>
  <c r="R167" i="13"/>
  <c r="S167" i="13" s="1"/>
  <c r="R197" i="13"/>
  <c r="S197" i="13" s="1"/>
  <c r="R309" i="13"/>
  <c r="S309" i="13" s="1"/>
  <c r="R165" i="13"/>
  <c r="S165" i="13" s="1"/>
  <c r="R260" i="13"/>
  <c r="S260" i="13" s="1"/>
  <c r="R58" i="13"/>
  <c r="S58" i="13" s="1"/>
  <c r="R233" i="13"/>
  <c r="S233" i="13" s="1"/>
  <c r="R140" i="13"/>
  <c r="S140" i="13" s="1"/>
  <c r="R164" i="13"/>
  <c r="S164" i="13" s="1"/>
  <c r="R96" i="13"/>
  <c r="S96" i="13" s="1"/>
  <c r="R18" i="13"/>
  <c r="S18" i="13" s="1"/>
  <c r="R188" i="13"/>
  <c r="S188" i="13" s="1"/>
  <c r="R237" i="13"/>
  <c r="S237" i="13" s="1"/>
  <c r="R285" i="13"/>
  <c r="S285" i="13" s="1"/>
  <c r="R124" i="13"/>
  <c r="S124" i="13" s="1"/>
  <c r="R305" i="13"/>
  <c r="S305" i="13" s="1"/>
  <c r="R187" i="13"/>
  <c r="S187" i="13" s="1"/>
  <c r="R228" i="13"/>
  <c r="S228" i="13" s="1"/>
  <c r="R297" i="13"/>
  <c r="S297" i="13" s="1"/>
  <c r="R227" i="13"/>
  <c r="S227" i="13" s="1"/>
  <c r="R175" i="13"/>
  <c r="S175" i="13" s="1"/>
  <c r="R98" i="13"/>
  <c r="S98" i="13" s="1"/>
  <c r="R152" i="13"/>
  <c r="S152" i="13" s="1"/>
  <c r="R91" i="13"/>
  <c r="S91" i="13" s="1"/>
  <c r="R311" i="13"/>
  <c r="S311" i="13" s="1"/>
  <c r="R74" i="13"/>
  <c r="S74" i="13" s="1"/>
  <c r="R121" i="13"/>
  <c r="S121" i="13" s="1"/>
  <c r="R17" i="13"/>
  <c r="S17" i="13" s="1"/>
  <c r="R28" i="13"/>
  <c r="S28" i="13" s="1"/>
  <c r="R160" i="13"/>
  <c r="S160" i="13" s="1"/>
  <c r="R100" i="13"/>
  <c r="S100" i="13" s="1"/>
  <c r="R238" i="13"/>
  <c r="S238" i="13" s="1"/>
  <c r="R222" i="13"/>
  <c r="S222" i="13" s="1"/>
  <c r="R287" i="13"/>
  <c r="S287" i="13" s="1"/>
  <c r="R56" i="13"/>
  <c r="S56" i="13" s="1"/>
  <c r="R247" i="13"/>
  <c r="S247" i="13" s="1"/>
  <c r="R302" i="13"/>
  <c r="S302" i="13" s="1"/>
  <c r="R113" i="13"/>
  <c r="S113" i="13" s="1"/>
  <c r="R51" i="13"/>
  <c r="S51" i="13" s="1"/>
  <c r="R280" i="13"/>
  <c r="S280" i="13" s="1"/>
  <c r="R192" i="13"/>
  <c r="S192" i="13" s="1"/>
  <c r="R107" i="13"/>
  <c r="S107" i="13" s="1"/>
  <c r="R264" i="13"/>
  <c r="S264" i="13" s="1"/>
  <c r="R88" i="13"/>
  <c r="S88" i="13" s="1"/>
  <c r="R70" i="13"/>
  <c r="S70" i="13" s="1"/>
  <c r="R283" i="13"/>
  <c r="S283" i="13" s="1"/>
  <c r="R59" i="13"/>
  <c r="S59" i="13" s="1"/>
  <c r="R31" i="13"/>
  <c r="S31" i="13" s="1"/>
  <c r="R9" i="13"/>
  <c r="S9" i="13" s="1"/>
  <c r="R64" i="13"/>
  <c r="S64" i="13" s="1"/>
  <c r="R216" i="13"/>
  <c r="S216" i="13" s="1"/>
  <c r="R174" i="13"/>
  <c r="S174" i="13" s="1"/>
  <c r="R143" i="13"/>
  <c r="S143" i="13" s="1"/>
  <c r="R189" i="13"/>
  <c r="S189" i="13" s="1"/>
  <c r="R50" i="13"/>
  <c r="S50" i="13" s="1"/>
  <c r="R146" i="13"/>
  <c r="S146" i="13" s="1"/>
  <c r="R42" i="13"/>
  <c r="S42" i="13" s="1"/>
  <c r="R22" i="13"/>
  <c r="S22" i="13" s="1"/>
  <c r="R52" i="13"/>
  <c r="S52" i="13" s="1"/>
  <c r="R307" i="13"/>
  <c r="S307" i="13" s="1"/>
  <c r="R200" i="13"/>
  <c r="S200" i="13" s="1"/>
  <c r="R150" i="13"/>
  <c r="S150" i="13" s="1"/>
  <c r="R274" i="13"/>
  <c r="S274" i="13" s="1"/>
  <c r="R132" i="13"/>
  <c r="S132" i="13" s="1"/>
  <c r="R168" i="13"/>
  <c r="S168" i="13" s="1"/>
  <c r="R92" i="13"/>
  <c r="S92" i="13" s="1"/>
  <c r="R115" i="13"/>
  <c r="S115" i="13" s="1"/>
  <c r="R101" i="13"/>
  <c r="S101" i="13" s="1"/>
  <c r="R130" i="13"/>
  <c r="S130" i="13" s="1"/>
  <c r="R97" i="13"/>
  <c r="S97" i="13" s="1"/>
  <c r="R298" i="13"/>
  <c r="S298" i="13" s="1"/>
  <c r="R217" i="13"/>
  <c r="S217" i="13" s="1"/>
  <c r="R257" i="13"/>
  <c r="S257" i="13" s="1"/>
  <c r="R296" i="13"/>
  <c r="S296" i="13" s="1"/>
  <c r="R106" i="13"/>
  <c r="S106" i="13" s="1"/>
  <c r="R135" i="13"/>
  <c r="S135" i="13" s="1"/>
  <c r="R19" i="13"/>
  <c r="S19" i="13" s="1"/>
  <c r="R190" i="13"/>
  <c r="S190" i="13" s="1"/>
  <c r="R194" i="13"/>
  <c r="S194" i="13" s="1"/>
  <c r="R155" i="13"/>
  <c r="S155" i="13" s="1"/>
  <c r="R252" i="13"/>
  <c r="S252" i="13" s="1"/>
  <c r="R139" i="13"/>
  <c r="S139" i="13" s="1"/>
  <c r="R25" i="13"/>
  <c r="S25" i="13" s="1"/>
  <c r="R250" i="13"/>
  <c r="S250" i="13" s="1"/>
  <c r="R286" i="13"/>
  <c r="S286" i="13" s="1"/>
  <c r="R272" i="13"/>
  <c r="S272" i="13" s="1"/>
  <c r="R277" i="13"/>
  <c r="S277" i="13" s="1"/>
  <c r="R254" i="13"/>
  <c r="S254" i="13" s="1"/>
  <c r="R246" i="13"/>
  <c r="S246" i="13" s="1"/>
  <c r="R62" i="13"/>
  <c r="S62" i="13" s="1"/>
  <c r="R253" i="13"/>
  <c r="S253" i="13" s="1"/>
  <c r="R159" i="13"/>
  <c r="S159" i="13" s="1"/>
  <c r="R40" i="13"/>
  <c r="S40" i="13" s="1"/>
  <c r="R72" i="13"/>
  <c r="S72" i="13" s="1"/>
  <c r="R265" i="13"/>
  <c r="S265" i="13" s="1"/>
  <c r="R39" i="13"/>
  <c r="S39" i="13" s="1"/>
  <c r="R123" i="13"/>
  <c r="S123" i="13" s="1"/>
  <c r="R116" i="13"/>
  <c r="S116" i="13" s="1"/>
  <c r="R20" i="13"/>
  <c r="S20" i="13" s="1"/>
  <c r="R110" i="13"/>
  <c r="S110" i="13" s="1"/>
  <c r="R158" i="13"/>
  <c r="S158" i="13" s="1"/>
  <c r="R273" i="13"/>
  <c r="S273" i="13" s="1"/>
  <c r="R248" i="13"/>
  <c r="S248" i="13" s="1"/>
  <c r="R54" i="13"/>
  <c r="S54" i="13" s="1"/>
  <c r="R153" i="13"/>
  <c r="S153" i="13" s="1"/>
  <c r="R90" i="13"/>
  <c r="S90" i="13" s="1"/>
  <c r="R161" i="13"/>
  <c r="S161" i="13" s="1"/>
  <c r="R21" i="13"/>
  <c r="S21" i="13" s="1"/>
  <c r="R27" i="13"/>
  <c r="S27" i="13" s="1"/>
  <c r="R266" i="13"/>
  <c r="S266" i="13" s="1"/>
  <c r="R46" i="13"/>
  <c r="S46" i="13" s="1"/>
  <c r="R262" i="13"/>
  <c r="S262" i="13" s="1"/>
  <c r="R231" i="13"/>
  <c r="S231" i="13" s="1"/>
  <c r="R203" i="13"/>
  <c r="S203" i="13" s="1"/>
  <c r="R48" i="13"/>
  <c r="S48" i="13" s="1"/>
  <c r="R276" i="13"/>
  <c r="S276" i="13" s="1"/>
  <c r="R239" i="13"/>
  <c r="S239" i="13" s="1"/>
  <c r="R204" i="13"/>
  <c r="S204" i="13" s="1"/>
  <c r="R258" i="13"/>
  <c r="S258" i="13" s="1"/>
  <c r="R269" i="13"/>
  <c r="S269" i="13" s="1"/>
  <c r="R148" i="13"/>
  <c r="S148" i="13" s="1"/>
  <c r="R118" i="13"/>
  <c r="S118" i="13" s="1"/>
  <c r="R271" i="13"/>
  <c r="S271" i="13" s="1"/>
  <c r="R179" i="13"/>
  <c r="S179" i="13" s="1"/>
  <c r="K122" i="25"/>
  <c r="K65" i="25"/>
  <c r="K259" i="25"/>
  <c r="K289" i="25"/>
  <c r="K79" i="25"/>
  <c r="K14" i="25"/>
  <c r="K310" i="25"/>
  <c r="K80" i="25"/>
  <c r="K57" i="25"/>
  <c r="K44" i="25"/>
  <c r="K38" i="25"/>
  <c r="K32" i="25"/>
  <c r="K270" i="25"/>
  <c r="K240" i="25"/>
  <c r="K145" i="25"/>
  <c r="K99" i="25"/>
  <c r="K112" i="25"/>
  <c r="K105" i="25"/>
  <c r="K199" i="25"/>
  <c r="K131" i="25"/>
  <c r="K60" i="25"/>
  <c r="K134" i="25"/>
  <c r="K263" i="25"/>
  <c r="K53" i="25"/>
  <c r="K23" i="25"/>
  <c r="K243" i="25"/>
  <c r="K301" i="25"/>
  <c r="R151" i="13"/>
  <c r="S151" i="13" s="1"/>
  <c r="R275" i="13"/>
  <c r="S275" i="13" s="1"/>
  <c r="K174" i="25"/>
  <c r="K244" i="25"/>
  <c r="K29" i="25"/>
  <c r="K26" i="25"/>
  <c r="K178" i="25"/>
  <c r="K236" i="25"/>
  <c r="K238" i="25"/>
  <c r="K73" i="25"/>
  <c r="K214" i="25"/>
  <c r="K171" i="25"/>
  <c r="K162" i="25"/>
  <c r="K109" i="25"/>
  <c r="K185" i="25"/>
  <c r="K77" i="25"/>
  <c r="K308" i="25"/>
  <c r="R234" i="13"/>
  <c r="S234" i="13" s="1"/>
  <c r="K34" i="25"/>
  <c r="K102" i="25"/>
  <c r="K33" i="25"/>
  <c r="K295" i="25"/>
  <c r="K186" i="25"/>
  <c r="K218" i="25"/>
  <c r="K192" i="25"/>
  <c r="R114" i="13"/>
  <c r="S114" i="13" s="1"/>
  <c r="K166" i="25"/>
  <c r="K10" i="25"/>
  <c r="R236" i="13"/>
  <c r="S236" i="13" s="1"/>
  <c r="K170" i="25"/>
  <c r="K252" i="25"/>
  <c r="K130" i="25"/>
  <c r="K124" i="25"/>
  <c r="K153" i="25"/>
  <c r="K190" i="25"/>
  <c r="K9" i="25"/>
  <c r="K277" i="25"/>
  <c r="K123" i="25"/>
  <c r="K150" i="25"/>
  <c r="K135" i="25"/>
  <c r="K245" i="25"/>
  <c r="K128" i="25"/>
  <c r="K154" i="25"/>
  <c r="K279" i="25"/>
  <c r="K300" i="25"/>
  <c r="K249" i="25"/>
  <c r="K229" i="25"/>
  <c r="K213" i="25"/>
  <c r="K37" i="25"/>
  <c r="K183" i="25"/>
  <c r="K108" i="25"/>
  <c r="K169" i="25"/>
  <c r="K75" i="25"/>
  <c r="K7" i="25"/>
  <c r="K151" i="25"/>
  <c r="K290" i="25"/>
  <c r="K271" i="25"/>
  <c r="K85" i="25"/>
  <c r="K15" i="25"/>
  <c r="K225" i="25"/>
  <c r="K313" i="25"/>
  <c r="K177" i="25"/>
  <c r="K71" i="25"/>
  <c r="K86" i="25"/>
  <c r="K314" i="25"/>
  <c r="K82" i="25"/>
  <c r="R193" i="13"/>
  <c r="S193" i="13" s="1"/>
  <c r="R249" i="13"/>
  <c r="S249" i="13" s="1"/>
  <c r="K256" i="25"/>
  <c r="R29" i="13"/>
  <c r="S29" i="13" s="1"/>
  <c r="K146" i="25"/>
  <c r="K133" i="25"/>
  <c r="K239" i="25"/>
  <c r="K282" i="25"/>
  <c r="K149" i="25"/>
  <c r="K196" i="25"/>
  <c r="K138" i="25"/>
  <c r="K294" i="25"/>
  <c r="K24" i="25"/>
  <c r="K235" i="25"/>
  <c r="R290" i="13"/>
  <c r="S290" i="13" s="1"/>
  <c r="K63" i="25"/>
  <c r="K142" i="25"/>
  <c r="K251" i="25"/>
  <c r="R85" i="13"/>
  <c r="S85" i="13" s="1"/>
  <c r="K288" i="25"/>
  <c r="K13" i="25"/>
  <c r="K184" i="25"/>
  <c r="K312" i="25"/>
  <c r="R195" i="13"/>
  <c r="S195" i="13" s="1"/>
  <c r="R120" i="13"/>
  <c r="S120" i="13" s="1"/>
  <c r="K129" i="25"/>
  <c r="R66" i="13"/>
  <c r="S66" i="13" s="1"/>
  <c r="K159" i="25"/>
  <c r="K210" i="25"/>
  <c r="R133" i="13"/>
  <c r="S133" i="13" s="1"/>
  <c r="K132" i="25"/>
  <c r="K27" i="25"/>
  <c r="K296" i="25"/>
  <c r="K269" i="25"/>
  <c r="K48" i="25"/>
  <c r="K194" i="25"/>
  <c r="K52" i="25"/>
  <c r="K81" i="25"/>
  <c r="K292" i="25"/>
  <c r="K136" i="25"/>
  <c r="K172" i="25"/>
  <c r="K207" i="25"/>
  <c r="K293" i="25"/>
  <c r="K84" i="25"/>
  <c r="K223" i="25"/>
  <c r="K30" i="25"/>
  <c r="K221" i="25"/>
  <c r="K69" i="25"/>
  <c r="K94" i="25"/>
  <c r="K291" i="25"/>
  <c r="K119" i="25"/>
  <c r="K103" i="25"/>
  <c r="K205" i="25"/>
  <c r="K212" i="25"/>
  <c r="K261" i="25"/>
  <c r="K120" i="25"/>
  <c r="K107" i="25"/>
  <c r="K234" i="25"/>
  <c r="K275" i="25"/>
  <c r="K16" i="25"/>
  <c r="K265" i="25"/>
  <c r="K125" i="25"/>
  <c r="K201" i="25"/>
  <c r="K47" i="25"/>
  <c r="K241" i="25"/>
  <c r="K104" i="25"/>
  <c r="K157" i="25"/>
  <c r="K182" i="25"/>
  <c r="K76" i="25"/>
  <c r="R300" i="13"/>
  <c r="S300" i="13" s="1"/>
  <c r="R163" i="13"/>
  <c r="S163" i="13" s="1"/>
  <c r="R26" i="13"/>
  <c r="S26" i="13" s="1"/>
  <c r="K286" i="25"/>
  <c r="K116" i="25"/>
  <c r="K56" i="25"/>
  <c r="K231" i="25"/>
  <c r="K70" i="25"/>
  <c r="K39" i="25"/>
  <c r="K230" i="25"/>
  <c r="K126" i="25"/>
  <c r="K78" i="25"/>
  <c r="K180" i="25"/>
  <c r="K31" i="25"/>
  <c r="K176" i="25"/>
  <c r="K195" i="25"/>
  <c r="K193" i="25"/>
  <c r="K66" i="25"/>
  <c r="K114" i="25"/>
  <c r="K89" i="25"/>
  <c r="K281" i="25"/>
  <c r="K117" i="25"/>
  <c r="K141" i="25"/>
  <c r="K137" i="25"/>
  <c r="K36" i="25"/>
  <c r="K224" i="25"/>
  <c r="K250" i="25"/>
  <c r="K217" i="25"/>
  <c r="K41" i="25"/>
  <c r="K246" i="25"/>
  <c r="K211" i="25"/>
  <c r="K173" i="25"/>
  <c r="K156" i="25"/>
  <c r="K299" i="25"/>
  <c r="K226" i="25"/>
  <c r="K12" i="25"/>
  <c r="R30" i="13"/>
  <c r="S30" i="13" s="1"/>
  <c r="R32" i="13"/>
  <c r="S32" i="13" s="1"/>
  <c r="K305" i="25"/>
  <c r="K115" i="25"/>
  <c r="K273" i="25"/>
  <c r="K255" i="25"/>
  <c r="K35" i="25"/>
  <c r="K206" i="25"/>
  <c r="K11" i="25"/>
  <c r="K198" i="25"/>
  <c r="K181" i="25"/>
  <c r="K67" i="25"/>
  <c r="K55" i="25"/>
  <c r="K215" i="25"/>
  <c r="R41" i="13"/>
  <c r="S41" i="13" s="1"/>
  <c r="K242" i="25"/>
  <c r="K43" i="25"/>
  <c r="K49" i="25"/>
  <c r="K208" i="25"/>
  <c r="K111" i="25"/>
  <c r="R223" i="13"/>
  <c r="S223" i="13" s="1"/>
  <c r="R125" i="13"/>
  <c r="S125" i="13" s="1"/>
  <c r="K61" i="25"/>
  <c r="R178" i="13"/>
  <c r="S178" i="13" s="1"/>
  <c r="K152" i="25"/>
  <c r="K202" i="25"/>
  <c r="K248" i="25"/>
  <c r="K204" i="25"/>
  <c r="K298" i="25"/>
  <c r="K110" i="25"/>
  <c r="K285" i="25"/>
  <c r="K262" i="25"/>
  <c r="K266" i="25"/>
  <c r="R244" i="13"/>
  <c r="S244" i="13" s="1"/>
  <c r="P219" i="13"/>
  <c r="Q219" i="13" s="1"/>
  <c r="R170" i="13"/>
  <c r="S170" i="13" s="1"/>
  <c r="R142" i="13"/>
  <c r="S142" i="13" s="1"/>
  <c r="R301" i="13"/>
  <c r="S301" i="13" s="1"/>
  <c r="R221" i="13"/>
  <c r="S221" i="13" s="1"/>
  <c r="R63" i="13"/>
  <c r="S63" i="13" s="1"/>
  <c r="R76" i="13"/>
  <c r="S76" i="13" s="1"/>
  <c r="R111" i="13"/>
  <c r="S111" i="13" s="1"/>
  <c r="R36" i="13"/>
  <c r="S36" i="13" s="1"/>
  <c r="R94" i="13"/>
  <c r="S94" i="13" s="1"/>
  <c r="R73" i="13"/>
  <c r="S73" i="13" s="1"/>
  <c r="R181" i="13"/>
  <c r="S181" i="13" s="1"/>
  <c r="R99" i="13"/>
  <c r="S99" i="13" s="1"/>
  <c r="R109" i="13"/>
  <c r="S109" i="13" s="1"/>
  <c r="R43" i="13"/>
  <c r="S43" i="13" s="1"/>
  <c r="R16" i="13"/>
  <c r="S16" i="13" s="1"/>
  <c r="R173" i="13"/>
  <c r="S173" i="13" s="1"/>
  <c r="R294" i="13"/>
  <c r="S294" i="13" s="1"/>
  <c r="R225" i="13"/>
  <c r="S225" i="13" s="1"/>
  <c r="R282" i="13"/>
  <c r="S282" i="13" s="1"/>
  <c r="R79" i="13"/>
  <c r="S79" i="13" s="1"/>
  <c r="R308" i="13"/>
  <c r="S308" i="13" s="1"/>
  <c r="R184" i="13"/>
  <c r="S184" i="13" s="1"/>
  <c r="R23" i="13"/>
  <c r="S23" i="13" s="1"/>
  <c r="R261" i="13"/>
  <c r="S261" i="13" s="1"/>
  <c r="R289" i="13"/>
  <c r="S289" i="13" s="1"/>
  <c r="R215" i="13"/>
  <c r="S215" i="13" s="1"/>
  <c r="R122" i="13"/>
  <c r="S122" i="13" s="1"/>
  <c r="R145" i="13"/>
  <c r="S145" i="13" s="1"/>
  <c r="R53" i="13"/>
  <c r="S53" i="13" s="1"/>
  <c r="R212" i="13"/>
  <c r="S212" i="13" s="1"/>
  <c r="R256" i="13"/>
  <c r="S256" i="13" s="1"/>
  <c r="R230" i="13"/>
  <c r="S230" i="13" s="1"/>
  <c r="R199" i="13"/>
  <c r="S199" i="13" s="1"/>
  <c r="R49" i="13"/>
  <c r="S49" i="13" s="1"/>
  <c r="R180" i="13"/>
  <c r="S180" i="13" s="1"/>
  <c r="R243" i="13"/>
  <c r="S243" i="13" s="1"/>
  <c r="R202" i="13"/>
  <c r="S202" i="13" s="1"/>
  <c r="R7" i="13"/>
  <c r="S7" i="13" s="1"/>
  <c r="R108" i="13"/>
  <c r="S108" i="13" s="1"/>
  <c r="R137" i="13"/>
  <c r="S137" i="13" s="1"/>
  <c r="R279" i="13"/>
  <c r="S279" i="13" s="1"/>
  <c r="R14" i="13"/>
  <c r="S14" i="13" s="1"/>
  <c r="R82" i="13"/>
  <c r="S82" i="13" s="1"/>
  <c r="R218" i="13"/>
  <c r="S218" i="13" s="1"/>
  <c r="R166" i="13"/>
  <c r="S166" i="13" s="1"/>
  <c r="R210" i="13"/>
  <c r="S210" i="13" s="1"/>
  <c r="R10" i="13"/>
  <c r="S10" i="13" s="1"/>
  <c r="R15" i="13"/>
  <c r="S15" i="13" s="1"/>
  <c r="R37" i="13"/>
  <c r="S37" i="13" s="1"/>
  <c r="R171" i="13"/>
  <c r="S171" i="13" s="1"/>
  <c r="R245" i="13"/>
  <c r="S245" i="13" s="1"/>
  <c r="R259" i="13"/>
  <c r="S259" i="13" s="1"/>
  <c r="R136" i="13"/>
  <c r="S136" i="13" s="1"/>
  <c r="R77" i="13"/>
  <c r="S77" i="13" s="1"/>
  <c r="R251" i="13"/>
  <c r="S251" i="13" s="1"/>
  <c r="R71" i="13"/>
  <c r="S71" i="13" s="1"/>
  <c r="R288" i="13"/>
  <c r="S288" i="13" s="1"/>
  <c r="R270" i="13"/>
  <c r="S270" i="13" s="1"/>
  <c r="R205" i="13"/>
  <c r="S205" i="13" s="1"/>
  <c r="R263" i="13"/>
  <c r="S263" i="13" s="1"/>
  <c r="R129" i="13"/>
  <c r="S129" i="13" s="1"/>
  <c r="R176" i="13"/>
  <c r="S176" i="13" s="1"/>
  <c r="R149" i="13"/>
  <c r="S149" i="13" s="1"/>
  <c r="R196" i="13"/>
  <c r="S196" i="13" s="1"/>
  <c r="R229" i="13"/>
  <c r="S229" i="13" s="1"/>
  <c r="R162" i="13"/>
  <c r="S162" i="13" s="1"/>
  <c r="R292" i="13"/>
  <c r="S292" i="13" s="1"/>
  <c r="R126" i="13"/>
  <c r="S126" i="13" s="1"/>
  <c r="R104" i="13"/>
  <c r="S104" i="13" s="1"/>
  <c r="R60" i="13"/>
  <c r="S60" i="13" s="1"/>
  <c r="R157" i="13"/>
  <c r="S157" i="13" s="1"/>
  <c r="R78" i="13"/>
  <c r="S78" i="13" s="1"/>
  <c r="R208" i="13"/>
  <c r="S208" i="13" s="1"/>
  <c r="R169" i="13"/>
  <c r="S169" i="13" s="1"/>
  <c r="R226" i="13"/>
  <c r="S226" i="13" s="1"/>
  <c r="R224" i="13"/>
  <c r="S224" i="13" s="1"/>
  <c r="R293" i="13"/>
  <c r="S293" i="13" s="1"/>
  <c r="R84" i="13"/>
  <c r="S84" i="13" s="1"/>
  <c r="R186" i="13"/>
  <c r="S186" i="13" s="1"/>
  <c r="R255" i="13"/>
  <c r="S255" i="13" s="1"/>
  <c r="R198" i="13"/>
  <c r="S198" i="13" s="1"/>
  <c r="R89" i="13"/>
  <c r="S89" i="13" s="1"/>
  <c r="R211" i="13"/>
  <c r="S211" i="13" s="1"/>
  <c r="R65" i="13"/>
  <c r="S65" i="13" s="1"/>
  <c r="R81" i="13"/>
  <c r="S81" i="13" s="1"/>
  <c r="R214" i="13"/>
  <c r="S214" i="13" s="1"/>
  <c r="R35" i="13"/>
  <c r="S35" i="13" s="1"/>
  <c r="R206" i="13"/>
  <c r="S206" i="13" s="1"/>
  <c r="R67" i="13"/>
  <c r="S67" i="13" s="1"/>
  <c r="R69" i="13"/>
  <c r="S69" i="13" s="1"/>
  <c r="R141" i="13"/>
  <c r="S141" i="13" s="1"/>
  <c r="R24" i="13"/>
  <c r="S24" i="13" s="1"/>
  <c r="R11" i="13"/>
  <c r="S11" i="13" s="1"/>
  <c r="R55" i="13"/>
  <c r="S55" i="13" s="1"/>
  <c r="R213" i="13"/>
  <c r="S213" i="13" s="1"/>
  <c r="R183" i="13"/>
  <c r="S183" i="13" s="1"/>
  <c r="R235" i="13"/>
  <c r="S235" i="13" s="1"/>
  <c r="R201" i="13"/>
  <c r="S201" i="13" s="1"/>
  <c r="R105" i="13"/>
  <c r="S105" i="13" s="1"/>
  <c r="R172" i="13"/>
  <c r="S172" i="13" s="1"/>
  <c r="R13" i="13"/>
  <c r="S13" i="13" s="1"/>
  <c r="R240" i="13"/>
  <c r="S240" i="13" s="1"/>
  <c r="R310" i="13"/>
  <c r="S310" i="13" s="1"/>
  <c r="R80" i="13"/>
  <c r="S80" i="13" s="1"/>
  <c r="R154" i="13"/>
  <c r="S154" i="13" s="1"/>
  <c r="R295" i="13"/>
  <c r="S295" i="13" s="1"/>
  <c r="R312" i="13"/>
  <c r="S312" i="13" s="1"/>
  <c r="R38" i="13"/>
  <c r="S38" i="13" s="1"/>
  <c r="R12" i="13"/>
  <c r="S12" i="13" s="1"/>
  <c r="R61" i="13"/>
  <c r="S61" i="13" s="1"/>
  <c r="R75" i="13"/>
  <c r="S75" i="13" s="1"/>
  <c r="R117" i="13"/>
  <c r="S117" i="13" s="1"/>
  <c r="R138" i="13"/>
  <c r="S138" i="13" s="1"/>
  <c r="R57" i="13"/>
  <c r="S57" i="13" s="1"/>
  <c r="R281" i="13"/>
  <c r="S281" i="13" s="1"/>
  <c r="R291" i="13"/>
  <c r="S291" i="13" s="1"/>
  <c r="R156" i="13"/>
  <c r="S156" i="13" s="1"/>
  <c r="R313" i="13"/>
  <c r="S313" i="13" s="1"/>
  <c r="R47" i="13"/>
  <c r="S47" i="13" s="1"/>
  <c r="R112" i="13"/>
  <c r="S112" i="13" s="1"/>
  <c r="R185" i="13"/>
  <c r="S185" i="13" s="1"/>
  <c r="R119" i="13"/>
  <c r="S119" i="13" s="1"/>
  <c r="R177" i="13"/>
  <c r="S177" i="13" s="1"/>
  <c r="R241" i="13"/>
  <c r="S241" i="13" s="1"/>
  <c r="R131" i="13"/>
  <c r="S131" i="13" s="1"/>
  <c r="R103" i="13"/>
  <c r="S103" i="13" s="1"/>
  <c r="R242" i="13"/>
  <c r="S242" i="13" s="1"/>
  <c r="R44" i="13"/>
  <c r="S44" i="13" s="1"/>
  <c r="R128" i="13"/>
  <c r="S128" i="13" s="1"/>
  <c r="R34" i="13"/>
  <c r="S34" i="13" s="1"/>
  <c r="R86" i="13"/>
  <c r="S86" i="13" s="1"/>
  <c r="R134" i="13"/>
  <c r="S134" i="13" s="1"/>
  <c r="R102" i="13"/>
  <c r="S102" i="13" s="1"/>
  <c r="R299" i="13"/>
  <c r="S299" i="13" s="1"/>
  <c r="R182" i="13"/>
  <c r="S182" i="13" s="1"/>
  <c r="R207" i="13"/>
  <c r="S207" i="13" s="1"/>
  <c r="R33" i="13"/>
  <c r="S33" i="13" s="1"/>
  <c r="R314" i="13"/>
  <c r="S314" i="13" s="1"/>
  <c r="E39" i="48"/>
  <c r="N315" i="13" l="1"/>
  <c r="R6" i="13"/>
  <c r="S6" i="13" s="1"/>
  <c r="R191" i="13"/>
  <c r="S191" i="13" s="1"/>
  <c r="E37" i="48"/>
  <c r="F39" i="48" s="1"/>
  <c r="F43" i="48" s="1"/>
  <c r="J6" i="25"/>
  <c r="I314" i="12"/>
  <c r="J315" i="25" s="1"/>
  <c r="L67" i="25"/>
  <c r="N67" i="25" s="1"/>
  <c r="L195" i="25"/>
  <c r="N195" i="25" s="1"/>
  <c r="L223" i="25"/>
  <c r="N223" i="25" s="1"/>
  <c r="L146" i="25"/>
  <c r="N146" i="25" s="1"/>
  <c r="L135" i="25"/>
  <c r="N135" i="25" s="1"/>
  <c r="L301" i="25"/>
  <c r="N301" i="25" s="1"/>
  <c r="L248" i="25"/>
  <c r="N248" i="25" s="1"/>
  <c r="L208" i="25"/>
  <c r="N208" i="25" s="1"/>
  <c r="L181" i="25"/>
  <c r="N181" i="25" s="1"/>
  <c r="L305" i="25"/>
  <c r="N305" i="25" s="1"/>
  <c r="L211" i="25"/>
  <c r="N211" i="25" s="1"/>
  <c r="L141" i="25"/>
  <c r="N141" i="25" s="1"/>
  <c r="L176" i="25"/>
  <c r="N176" i="25" s="1"/>
  <c r="L231" i="25"/>
  <c r="N231" i="25" s="1"/>
  <c r="L182" i="25"/>
  <c r="N182" i="25" s="1"/>
  <c r="L16" i="25"/>
  <c r="N16" i="25" s="1"/>
  <c r="L103" i="25"/>
  <c r="N103" i="25" s="1"/>
  <c r="L84" i="25"/>
  <c r="N84" i="25" s="1"/>
  <c r="L194" i="25"/>
  <c r="N194" i="25" s="1"/>
  <c r="L159" i="25"/>
  <c r="N159" i="25" s="1"/>
  <c r="L288" i="25"/>
  <c r="N288" i="25" s="1"/>
  <c r="L294" i="25"/>
  <c r="N294" i="25" s="1"/>
  <c r="L177" i="25"/>
  <c r="N177" i="25" s="1"/>
  <c r="L151" i="25"/>
  <c r="N151" i="25" s="1"/>
  <c r="L229" i="25"/>
  <c r="N229" i="25" s="1"/>
  <c r="L150" i="25"/>
  <c r="N150" i="25" s="1"/>
  <c r="L252" i="25"/>
  <c r="N252" i="25" s="1"/>
  <c r="L186" i="25"/>
  <c r="N186" i="25" s="1"/>
  <c r="L185" i="25"/>
  <c r="N185" i="25" s="1"/>
  <c r="L178" i="25"/>
  <c r="N178" i="25" s="1"/>
  <c r="L243" i="25"/>
  <c r="N243" i="25" s="1"/>
  <c r="L105" i="25"/>
  <c r="N105" i="25" s="1"/>
  <c r="L44" i="25"/>
  <c r="N44" i="25" s="1"/>
  <c r="L65" i="25"/>
  <c r="N65" i="25" s="1"/>
  <c r="L202" i="25"/>
  <c r="N202" i="25" s="1"/>
  <c r="L49" i="25"/>
  <c r="N49" i="25" s="1"/>
  <c r="L198" i="25"/>
  <c r="N198" i="25" s="1"/>
  <c r="L246" i="25"/>
  <c r="N246" i="25" s="1"/>
  <c r="L117" i="25"/>
  <c r="N117" i="25" s="1"/>
  <c r="L31" i="25"/>
  <c r="N31" i="25" s="1"/>
  <c r="L56" i="25"/>
  <c r="N56" i="25" s="1"/>
  <c r="L157" i="25"/>
  <c r="N157" i="25" s="1"/>
  <c r="L275" i="25"/>
  <c r="N275" i="25" s="1"/>
  <c r="L119" i="25"/>
  <c r="N119" i="25" s="1"/>
  <c r="L293" i="25"/>
  <c r="N293" i="25" s="1"/>
  <c r="L48" i="25"/>
  <c r="N48" i="25" s="1"/>
  <c r="L138" i="25"/>
  <c r="N138" i="25" s="1"/>
  <c r="L256" i="25"/>
  <c r="N256" i="25" s="1"/>
  <c r="L313" i="25"/>
  <c r="N313" i="25" s="1"/>
  <c r="L7" i="25"/>
  <c r="N7" i="25" s="1"/>
  <c r="L249" i="25"/>
  <c r="N249" i="25" s="1"/>
  <c r="L123" i="25"/>
  <c r="N123" i="25" s="1"/>
  <c r="L170" i="25"/>
  <c r="N170" i="25" s="1"/>
  <c r="L295" i="25"/>
  <c r="N295" i="25" s="1"/>
  <c r="L109" i="25"/>
  <c r="N109" i="25" s="1"/>
  <c r="L26" i="25"/>
  <c r="N26" i="25" s="1"/>
  <c r="L23" i="25"/>
  <c r="N23" i="25" s="1"/>
  <c r="L112" i="25"/>
  <c r="N112" i="25" s="1"/>
  <c r="L57" i="25"/>
  <c r="N57" i="25" s="1"/>
  <c r="L122" i="25"/>
  <c r="N122" i="25" s="1"/>
  <c r="L204" i="25"/>
  <c r="N204" i="25" s="1"/>
  <c r="L115" i="25"/>
  <c r="N115" i="25" s="1"/>
  <c r="L70" i="25"/>
  <c r="N70" i="25" s="1"/>
  <c r="L265" i="25"/>
  <c r="N265" i="25" s="1"/>
  <c r="L210" i="25"/>
  <c r="N210" i="25" s="1"/>
  <c r="L71" i="25"/>
  <c r="N71" i="25" s="1"/>
  <c r="L290" i="25"/>
  <c r="N290" i="25" s="1"/>
  <c r="L130" i="25"/>
  <c r="N130" i="25" s="1"/>
  <c r="L236" i="25"/>
  <c r="N236" i="25" s="1"/>
  <c r="L259" i="25"/>
  <c r="N259" i="25" s="1"/>
  <c r="L266" i="25"/>
  <c r="N266" i="25" s="1"/>
  <c r="L11" i="25"/>
  <c r="N11" i="25" s="1"/>
  <c r="L281" i="25"/>
  <c r="N281" i="25" s="1"/>
  <c r="L234" i="25"/>
  <c r="N234" i="25" s="1"/>
  <c r="L269" i="25"/>
  <c r="N269" i="25" s="1"/>
  <c r="L196" i="25"/>
  <c r="N196" i="25" s="1"/>
  <c r="L75" i="25"/>
  <c r="N75" i="25" s="1"/>
  <c r="L162" i="25"/>
  <c r="N162" i="25" s="1"/>
  <c r="L99" i="25"/>
  <c r="N99" i="25" s="1"/>
  <c r="L262" i="25"/>
  <c r="N262" i="25" s="1"/>
  <c r="L242" i="25"/>
  <c r="N242" i="25" s="1"/>
  <c r="L217" i="25"/>
  <c r="N217" i="25" s="1"/>
  <c r="L286" i="25"/>
  <c r="N286" i="25" s="1"/>
  <c r="L107" i="25"/>
  <c r="N107" i="25" s="1"/>
  <c r="L296" i="25"/>
  <c r="N296" i="25" s="1"/>
  <c r="L149" i="25"/>
  <c r="N149" i="25" s="1"/>
  <c r="L169" i="25"/>
  <c r="N169" i="25" s="1"/>
  <c r="L9" i="25"/>
  <c r="N9" i="25" s="1"/>
  <c r="L171" i="25"/>
  <c r="N171" i="25" s="1"/>
  <c r="L145" i="25"/>
  <c r="N145" i="25" s="1"/>
  <c r="L285" i="25"/>
  <c r="N285" i="25" s="1"/>
  <c r="L61" i="25"/>
  <c r="N61" i="25" s="1"/>
  <c r="L35" i="25"/>
  <c r="N35" i="25" s="1"/>
  <c r="L226" i="25"/>
  <c r="N226" i="25" s="1"/>
  <c r="L250" i="25"/>
  <c r="N250" i="25" s="1"/>
  <c r="L114" i="25"/>
  <c r="N114" i="25" s="1"/>
  <c r="L126" i="25"/>
  <c r="N126" i="25" s="1"/>
  <c r="L47" i="25"/>
  <c r="N47" i="25" s="1"/>
  <c r="L120" i="25"/>
  <c r="N120" i="25" s="1"/>
  <c r="L69" i="25"/>
  <c r="N69" i="25" s="1"/>
  <c r="L136" i="25"/>
  <c r="N136" i="25" s="1"/>
  <c r="L27" i="25"/>
  <c r="N27" i="25" s="1"/>
  <c r="L63" i="25"/>
  <c r="N63" i="25" s="1"/>
  <c r="L282" i="25"/>
  <c r="N282" i="25" s="1"/>
  <c r="L82" i="25"/>
  <c r="N82" i="25" s="1"/>
  <c r="L15" i="25"/>
  <c r="N15" i="25" s="1"/>
  <c r="L108" i="25"/>
  <c r="N108" i="25" s="1"/>
  <c r="L154" i="25"/>
  <c r="N154" i="25" s="1"/>
  <c r="L190" i="25"/>
  <c r="N190" i="25" s="1"/>
  <c r="L166" i="25"/>
  <c r="N166" i="25" s="1"/>
  <c r="L34" i="25"/>
  <c r="N34" i="25" s="1"/>
  <c r="L214" i="25"/>
  <c r="N214" i="25" s="1"/>
  <c r="L174" i="25"/>
  <c r="N174" i="25" s="1"/>
  <c r="L134" i="25"/>
  <c r="N134" i="25" s="1"/>
  <c r="L240" i="25"/>
  <c r="N240" i="25" s="1"/>
  <c r="L14" i="25"/>
  <c r="N14" i="25" s="1"/>
  <c r="L111" i="25"/>
  <c r="N111" i="25" s="1"/>
  <c r="L137" i="25"/>
  <c r="N137" i="25" s="1"/>
  <c r="L76" i="25"/>
  <c r="N76" i="25" s="1"/>
  <c r="L52" i="25"/>
  <c r="N52" i="25" s="1"/>
  <c r="L13" i="25"/>
  <c r="N13" i="25" s="1"/>
  <c r="L213" i="25"/>
  <c r="N213" i="25" s="1"/>
  <c r="L77" i="25"/>
  <c r="N77" i="25" s="1"/>
  <c r="L199" i="25"/>
  <c r="N199" i="25" s="1"/>
  <c r="L43" i="25"/>
  <c r="N43" i="25" s="1"/>
  <c r="L41" i="25"/>
  <c r="N41" i="25" s="1"/>
  <c r="L116" i="25"/>
  <c r="N116" i="25" s="1"/>
  <c r="L104" i="25"/>
  <c r="N104" i="25" s="1"/>
  <c r="L207" i="25"/>
  <c r="N207" i="25" s="1"/>
  <c r="L251" i="25"/>
  <c r="N251" i="25" s="1"/>
  <c r="L225" i="25"/>
  <c r="N225" i="25" s="1"/>
  <c r="L277" i="25"/>
  <c r="N277" i="25" s="1"/>
  <c r="L29" i="25"/>
  <c r="N29" i="25" s="1"/>
  <c r="L80" i="25"/>
  <c r="N80" i="25" s="1"/>
  <c r="L206" i="25"/>
  <c r="N206" i="25" s="1"/>
  <c r="L89" i="25"/>
  <c r="N89" i="25" s="1"/>
  <c r="L241" i="25"/>
  <c r="N241" i="25" s="1"/>
  <c r="L172" i="25"/>
  <c r="N172" i="25" s="1"/>
  <c r="L142" i="25"/>
  <c r="N142" i="25" s="1"/>
  <c r="L279" i="25"/>
  <c r="N279" i="25" s="1"/>
  <c r="L102" i="25"/>
  <c r="N102" i="25" s="1"/>
  <c r="L244" i="25"/>
  <c r="N244" i="25" s="1"/>
  <c r="L310" i="25"/>
  <c r="N310" i="25" s="1"/>
  <c r="L215" i="25"/>
  <c r="N215" i="25" s="1"/>
  <c r="L312" i="25"/>
  <c r="N312" i="25" s="1"/>
  <c r="L128" i="25"/>
  <c r="N128" i="25" s="1"/>
  <c r="L73" i="25"/>
  <c r="N73" i="25" s="1"/>
  <c r="L60" i="25"/>
  <c r="N60" i="25" s="1"/>
  <c r="L79" i="25"/>
  <c r="N79" i="25" s="1"/>
  <c r="L173" i="25"/>
  <c r="N173" i="25" s="1"/>
  <c r="L205" i="25"/>
  <c r="N205" i="25" s="1"/>
  <c r="L24" i="25"/>
  <c r="N24" i="25" s="1"/>
  <c r="L218" i="25"/>
  <c r="N218" i="25" s="1"/>
  <c r="L38" i="25"/>
  <c r="N38" i="25" s="1"/>
  <c r="L152" i="25"/>
  <c r="N152" i="25" s="1"/>
  <c r="L180" i="25"/>
  <c r="N180" i="25" s="1"/>
  <c r="L291" i="25"/>
  <c r="N291" i="25" s="1"/>
  <c r="L129" i="25"/>
  <c r="N129" i="25" s="1"/>
  <c r="L300" i="25"/>
  <c r="N300" i="25" s="1"/>
  <c r="L33" i="25"/>
  <c r="N33" i="25" s="1"/>
  <c r="L53" i="25"/>
  <c r="N53" i="25" s="1"/>
  <c r="L12" i="25"/>
  <c r="N12" i="25" s="1"/>
  <c r="L78" i="25"/>
  <c r="N78" i="25" s="1"/>
  <c r="L94" i="25"/>
  <c r="N94" i="25" s="1"/>
  <c r="L191" i="25"/>
  <c r="N191" i="25" s="1"/>
  <c r="L10" i="25"/>
  <c r="N10" i="25" s="1"/>
  <c r="L263" i="25"/>
  <c r="N263" i="25" s="1"/>
  <c r="L110" i="25"/>
  <c r="N110" i="25" s="1"/>
  <c r="L255" i="25"/>
  <c r="N255" i="25" s="1"/>
  <c r="L299" i="25"/>
  <c r="N299" i="25" s="1"/>
  <c r="L224" i="25"/>
  <c r="N224" i="25" s="1"/>
  <c r="L66" i="25"/>
  <c r="N66" i="25" s="1"/>
  <c r="L230" i="25"/>
  <c r="N230" i="25" s="1"/>
  <c r="L201" i="25"/>
  <c r="N201" i="25" s="1"/>
  <c r="L261" i="25"/>
  <c r="N261" i="25" s="1"/>
  <c r="L221" i="25"/>
  <c r="N221" i="25" s="1"/>
  <c r="L292" i="25"/>
  <c r="N292" i="25" s="1"/>
  <c r="L132" i="25"/>
  <c r="N132" i="25" s="1"/>
  <c r="L239" i="25"/>
  <c r="N239" i="25" s="1"/>
  <c r="L314" i="25"/>
  <c r="N314" i="25" s="1"/>
  <c r="L85" i="25"/>
  <c r="N85" i="25" s="1"/>
  <c r="L183" i="25"/>
  <c r="N183" i="25" s="1"/>
  <c r="L153" i="25"/>
  <c r="N153" i="25" s="1"/>
  <c r="L270" i="25"/>
  <c r="N270" i="25" s="1"/>
  <c r="L298" i="25"/>
  <c r="N298" i="25" s="1"/>
  <c r="L55" i="25"/>
  <c r="N55" i="25" s="1"/>
  <c r="L273" i="25"/>
  <c r="N273" i="25" s="1"/>
  <c r="L156" i="25"/>
  <c r="N156" i="25" s="1"/>
  <c r="L36" i="25"/>
  <c r="N36" i="25" s="1"/>
  <c r="L193" i="25"/>
  <c r="N193" i="25" s="1"/>
  <c r="L39" i="25"/>
  <c r="N39" i="25" s="1"/>
  <c r="L125" i="25"/>
  <c r="N125" i="25" s="1"/>
  <c r="L212" i="25"/>
  <c r="N212" i="25" s="1"/>
  <c r="L30" i="25"/>
  <c r="N30" i="25" s="1"/>
  <c r="L81" i="25"/>
  <c r="N81" i="25" s="1"/>
  <c r="L184" i="25"/>
  <c r="N184" i="25" s="1"/>
  <c r="L235" i="25"/>
  <c r="N235" i="25" s="1"/>
  <c r="L133" i="25"/>
  <c r="N133" i="25" s="1"/>
  <c r="L86" i="25"/>
  <c r="N86" i="25" s="1"/>
  <c r="L271" i="25"/>
  <c r="N271" i="25" s="1"/>
  <c r="L37" i="25"/>
  <c r="N37" i="25" s="1"/>
  <c r="L245" i="25"/>
  <c r="N245" i="25" s="1"/>
  <c r="L124" i="25"/>
  <c r="N124" i="25" s="1"/>
  <c r="L192" i="25"/>
  <c r="N192" i="25" s="1"/>
  <c r="L308" i="25"/>
  <c r="N308" i="25" s="1"/>
  <c r="L238" i="25"/>
  <c r="N238" i="25" s="1"/>
  <c r="L131" i="25"/>
  <c r="N131" i="25" s="1"/>
  <c r="L32" i="25"/>
  <c r="N32" i="25" s="1"/>
  <c r="L289" i="25"/>
  <c r="N289" i="25" s="1"/>
  <c r="K219" i="25"/>
  <c r="Q315" i="13"/>
  <c r="R219" i="13"/>
  <c r="S219" i="13" s="1"/>
  <c r="F54" i="48" l="1"/>
  <c r="L6" i="25"/>
  <c r="N6" i="25" s="1"/>
  <c r="L219" i="25"/>
  <c r="N219" i="25" s="1"/>
  <c r="D36" i="40"/>
  <c r="K315" i="25"/>
  <c r="L315" i="25" s="1"/>
  <c r="N315" i="25" l="1"/>
  <c r="C36" i="40"/>
</calcChain>
</file>

<file path=xl/sharedStrings.xml><?xml version="1.0" encoding="utf-8"?>
<sst xmlns="http://schemas.openxmlformats.org/spreadsheetml/2006/main" count="981" uniqueCount="569">
  <si>
    <t>Plafonnement de l'aide</t>
  </si>
  <si>
    <t>L'Isle</t>
  </si>
  <si>
    <t>Lussery-Villars</t>
  </si>
  <si>
    <t>Mauraz</t>
  </si>
  <si>
    <t>Mex</t>
  </si>
  <si>
    <t>Moiry</t>
  </si>
  <si>
    <t>Corcelles-près-Payerne</t>
  </si>
  <si>
    <t>Grandcour</t>
  </si>
  <si>
    <t>Henniez</t>
  </si>
  <si>
    <t>Missy</t>
  </si>
  <si>
    <t>Payerne</t>
  </si>
  <si>
    <t>Trey</t>
  </si>
  <si>
    <t>Villarzel</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</si>
  <si>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</si>
  <si>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</si>
  <si>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</si>
  <si>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</si>
  <si>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</si>
  <si>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</si>
  <si>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</si>
  <si>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</si>
  <si>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</si>
  <si>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</si>
  <si>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</si>
  <si>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</si>
  <si>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</si>
  <si>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</si>
  <si>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</si>
  <si>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</si>
  <si>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</si>
  <si>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Saint-Barthélemy</t>
  </si>
  <si>
    <t>Villars-le-Terroir</t>
  </si>
  <si>
    <t>Vuarrens</t>
  </si>
  <si>
    <t>Bonvillars</t>
  </si>
  <si>
    <t>Bullet</t>
  </si>
  <si>
    <t>Champagne</t>
  </si>
  <si>
    <t>Concise</t>
  </si>
  <si>
    <t>Corcelles-près-Concise</t>
  </si>
  <si>
    <t>Fiez</t>
  </si>
  <si>
    <t>Fontaines-sur-Grandson</t>
  </si>
  <si>
    <t>Giez</t>
  </si>
  <si>
    <t>Grandevent</t>
  </si>
  <si>
    <t>Grandson</t>
  </si>
  <si>
    <t>Mauborget</t>
  </si>
  <si>
    <t>Plafond transports</t>
  </si>
  <si>
    <t>Plafond forêts</t>
  </si>
  <si>
    <t>No OFS</t>
  </si>
  <si>
    <t>Fonds de péréquation</t>
  </si>
  <si>
    <t>IFO normalisé à 100</t>
  </si>
  <si>
    <t>Corsier-sur-Vevey</t>
  </si>
  <si>
    <t>Jongny</t>
  </si>
  <si>
    <t>Montreux</t>
  </si>
  <si>
    <t>La Tour-de-Peilz</t>
  </si>
  <si>
    <t>Vevey</t>
  </si>
  <si>
    <t>Veytaux</t>
  </si>
  <si>
    <t>Belmont-sur-Yverdon</t>
  </si>
  <si>
    <t>Bioley-Magnoux</t>
  </si>
  <si>
    <t>Chamblon</t>
  </si>
  <si>
    <t>Champvent</t>
  </si>
  <si>
    <t>Chavannes-le-Chêne</t>
  </si>
  <si>
    <t>Chêne-Pâquier</t>
  </si>
  <si>
    <t>Cheseaux-Noréaz</t>
  </si>
  <si>
    <t>Cronay</t>
  </si>
  <si>
    <t>Cuarny</t>
  </si>
  <si>
    <t>Démoret</t>
  </si>
  <si>
    <t>Donneloye</t>
  </si>
  <si>
    <t>Ependes</t>
  </si>
  <si>
    <t>Habitants</t>
  </si>
  <si>
    <t>Valeur par habitant</t>
  </si>
  <si>
    <t>Nyon</t>
  </si>
  <si>
    <t>Prangins</t>
  </si>
  <si>
    <t>Bougy-Villars</t>
  </si>
  <si>
    <t>Yvorne</t>
  </si>
  <si>
    <t>Apples</t>
  </si>
  <si>
    <t>Aubonne</t>
  </si>
  <si>
    <t>Ballens</t>
  </si>
  <si>
    <t>Berolle</t>
  </si>
  <si>
    <t>Bière</t>
  </si>
  <si>
    <t>Taux communal</t>
  </si>
  <si>
    <t>ISP</t>
  </si>
  <si>
    <t>IPE</t>
  </si>
  <si>
    <t>IBC</t>
  </si>
  <si>
    <t>IET</t>
  </si>
  <si>
    <t>ISO</t>
  </si>
  <si>
    <t>IMM</t>
  </si>
  <si>
    <t>IFO</t>
  </si>
  <si>
    <t>STO</t>
  </si>
  <si>
    <t>IFR</t>
  </si>
  <si>
    <t>ISD</t>
  </si>
  <si>
    <t>DMU</t>
  </si>
  <si>
    <t>IGI</t>
  </si>
  <si>
    <t>TOT</t>
  </si>
  <si>
    <t>Facture sociale à charge des communes</t>
  </si>
  <si>
    <t>Facture sociale</t>
  </si>
  <si>
    <t>Alimentation</t>
  </si>
  <si>
    <t>./. Dép. thématiques</t>
  </si>
  <si>
    <t>Commune</t>
  </si>
  <si>
    <t>Chavannes-sur-Moudon</t>
  </si>
  <si>
    <t>Curtilles</t>
  </si>
  <si>
    <t>Dompierre</t>
  </si>
  <si>
    <t>Hermenches</t>
  </si>
  <si>
    <t>Lovatens</t>
  </si>
  <si>
    <t>Lucens</t>
  </si>
  <si>
    <t>Moudon</t>
  </si>
  <si>
    <t>Ogens</t>
  </si>
  <si>
    <t>Prévonloup</t>
  </si>
  <si>
    <t>Rossenges</t>
  </si>
  <si>
    <t>Syens</t>
  </si>
  <si>
    <t>Villars-le-Comte</t>
  </si>
  <si>
    <t>Vucherens</t>
  </si>
  <si>
    <t>Arnex-sur-Nyon</t>
  </si>
  <si>
    <t>Bassins</t>
  </si>
  <si>
    <t>Chessel</t>
  </si>
  <si>
    <t>Corbeyrier</t>
  </si>
  <si>
    <t>Gryon</t>
  </si>
  <si>
    <t>Lavey-Morcles</t>
  </si>
  <si>
    <t>Leysin</t>
  </si>
  <si>
    <t>Noville</t>
  </si>
  <si>
    <t>Ollon</t>
  </si>
  <si>
    <t>Sainte-Croix</t>
  </si>
  <si>
    <t>Lausanne</t>
  </si>
  <si>
    <t>Le Mont-sur-Lausanne</t>
  </si>
  <si>
    <t>Paudex</t>
  </si>
  <si>
    <t>Prilly</t>
  </si>
  <si>
    <t>Pully</t>
  </si>
  <si>
    <t>Taux projeté</t>
  </si>
  <si>
    <t>Plafonnement du taux</t>
  </si>
  <si>
    <t>Contrôle du taux projeté</t>
  </si>
  <si>
    <t>Rivaz</t>
  </si>
  <si>
    <t>St-Saphorin (Lavaux)</t>
  </si>
  <si>
    <t>Ormont-Dessous</t>
  </si>
  <si>
    <t>Ormont-Dessus</t>
  </si>
  <si>
    <t>Rennaz</t>
  </si>
  <si>
    <t>Roche</t>
  </si>
  <si>
    <t>Villeneuve</t>
  </si>
  <si>
    <t>Romainmôtier-Envy</t>
  </si>
  <si>
    <t>Sergey</t>
  </si>
  <si>
    <t>Valeyres-sous-Rances</t>
  </si>
  <si>
    <t>Total</t>
  </si>
  <si>
    <t>Dépenses thématiques</t>
  </si>
  <si>
    <t>Ferreyres</t>
  </si>
  <si>
    <t>Gollion</t>
  </si>
  <si>
    <t>Grancy</t>
  </si>
  <si>
    <t>Forel (Lavaux)</t>
  </si>
  <si>
    <t>Lutry</t>
  </si>
  <si>
    <t>Péréquation directe nette</t>
  </si>
  <si>
    <t>Plafond en pts</t>
  </si>
  <si>
    <t>Bremblens</t>
  </si>
  <si>
    <t>Buchillon</t>
  </si>
  <si>
    <t>Yvonand</t>
  </si>
  <si>
    <t>Yverdon-les-Bains</t>
  </si>
  <si>
    <t>Clarmont</t>
  </si>
  <si>
    <t>Denens</t>
  </si>
  <si>
    <t>Denges</t>
  </si>
  <si>
    <t>Echandens</t>
  </si>
  <si>
    <t>Echichens</t>
  </si>
  <si>
    <t>Ecublens</t>
  </si>
  <si>
    <t>Etoy</t>
  </si>
  <si>
    <t>Lavigny</t>
  </si>
  <si>
    <t>Lonay</t>
  </si>
  <si>
    <t>Lully</t>
  </si>
  <si>
    <t>Lussy-sur-Morges</t>
  </si>
  <si>
    <t>Morges</t>
  </si>
  <si>
    <t>Préverenges</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</si>
  <si>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</si>
  <si>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</si>
  <si>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</si>
  <si>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</si>
  <si>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</si>
  <si>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</si>
  <si>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</si>
  <si>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</si>
  <si>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</si>
  <si>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</si>
  <si>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</si>
  <si>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</si>
  <si>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</si>
  <si>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</si>
  <si>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</si>
  <si>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</si>
  <si>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</si>
  <si>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t>
  </si>
  <si>
    <t>Echallens</t>
  </si>
  <si>
    <t>Essertines-sur-Yverdon</t>
  </si>
  <si>
    <t>Etagnières</t>
  </si>
  <si>
    <t>Fey</t>
  </si>
  <si>
    <t>Froideville</t>
  </si>
  <si>
    <t>Morrens</t>
  </si>
  <si>
    <t>Oulens-sous-Echallens</t>
  </si>
  <si>
    <t>Pailly</t>
  </si>
  <si>
    <t>Penthéréaz</t>
  </si>
  <si>
    <t>Poliez-Pittet</t>
  </si>
  <si>
    <t>Rueyres</t>
  </si>
  <si>
    <t>Sous-total</t>
  </si>
  <si>
    <t>Frontaliers</t>
  </si>
  <si>
    <t>Successions et donations</t>
  </si>
  <si>
    <t>Droits de mutation</t>
  </si>
  <si>
    <t>Gains immobiliers</t>
  </si>
  <si>
    <t>Villars-sous-Yens</t>
  </si>
  <si>
    <t>Vufflens-le-Château</t>
  </si>
  <si>
    <t>Vullierens</t>
  </si>
  <si>
    <t>Yens</t>
  </si>
  <si>
    <t>Boulens</t>
  </si>
  <si>
    <t>Bussy-sur-Moudon</t>
  </si>
  <si>
    <t>Le Chenit</t>
  </si>
  <si>
    <t>Le Lieu</t>
  </si>
  <si>
    <t>Blonay</t>
  </si>
  <si>
    <t>Chardonne</t>
  </si>
  <si>
    <t>Corseaux</t>
  </si>
  <si>
    <t>Boussens</t>
  </si>
  <si>
    <t>La Chaux (Cossonay)</t>
  </si>
  <si>
    <t>Plafonnement de l'effort</t>
  </si>
  <si>
    <t>Solde net des péréquations</t>
  </si>
  <si>
    <t>Prise en charge dépassement</t>
  </si>
  <si>
    <t>Forêts</t>
  </si>
  <si>
    <t>Dépassement forêts</t>
  </si>
  <si>
    <t>Romanel-sur-Lausanne</t>
  </si>
  <si>
    <t>La Praz</t>
  </si>
  <si>
    <t>Premier</t>
  </si>
  <si>
    <t>Rances</t>
  </si>
  <si>
    <t>Indicateurs financiers</t>
  </si>
  <si>
    <t>Begnins</t>
  </si>
  <si>
    <t>Bogis-Bossey</t>
  </si>
  <si>
    <t>Borex</t>
  </si>
  <si>
    <t>Chavannes-de-Bogis</t>
  </si>
  <si>
    <t>Chavannes-des-Bois</t>
  </si>
  <si>
    <t>Chéserex</t>
  </si>
  <si>
    <t>Coinsins</t>
  </si>
  <si>
    <t>Commugny</t>
  </si>
  <si>
    <t>Coppet</t>
  </si>
  <si>
    <t>Crans-près-Céligny</t>
  </si>
  <si>
    <t>Crassier</t>
  </si>
  <si>
    <t>Duillier</t>
  </si>
  <si>
    <t>Eysins</t>
  </si>
  <si>
    <t>Founex</t>
  </si>
  <si>
    <t>Genolier</t>
  </si>
  <si>
    <t>Gingins</t>
  </si>
  <si>
    <t>Givrins</t>
  </si>
  <si>
    <t>Gland</t>
  </si>
  <si>
    <t>Grens</t>
  </si>
  <si>
    <t>Mies</t>
  </si>
  <si>
    <t>Cottens</t>
  </si>
  <si>
    <t>Cuarnens</t>
  </si>
  <si>
    <t>Daillens</t>
  </si>
  <si>
    <t>Dizy</t>
  </si>
  <si>
    <t>Eclépens</t>
  </si>
  <si>
    <t>Pertes débiteurs</t>
  </si>
  <si>
    <t>Modif. Ant.</t>
  </si>
  <si>
    <t>Imputation forfaitaire</t>
  </si>
  <si>
    <t>Pers. physiques - revenu/fortune corrigé</t>
  </si>
  <si>
    <t>IRF corrrigé</t>
  </si>
  <si>
    <t xml:space="preserve">Pers. physiques - revenu/fortune </t>
  </si>
  <si>
    <t xml:space="preserve">IRF </t>
  </si>
  <si>
    <t>Plafond effort</t>
  </si>
  <si>
    <t>Plafond taux</t>
  </si>
  <si>
    <t>Chavannes-près-Renens</t>
  </si>
  <si>
    <t>Chigny</t>
  </si>
  <si>
    <t>Diff. De taux</t>
  </si>
  <si>
    <t>Impôt spécial affecté</t>
  </si>
  <si>
    <t>Impôt personnel</t>
  </si>
  <si>
    <t>Pers. morales bénéfice / capital</t>
  </si>
  <si>
    <t>Aigle</t>
  </si>
  <si>
    <t>Bex</t>
  </si>
  <si>
    <t>Taux après déduction de l'effort péréquatif</t>
  </si>
  <si>
    <t>Somme des efforts péréquatifs prévus</t>
  </si>
  <si>
    <t>Arnex-sur-Orbe</t>
  </si>
  <si>
    <t>Ballaigues</t>
  </si>
  <si>
    <t>Baulmes</t>
  </si>
  <si>
    <t>Bavois</t>
  </si>
  <si>
    <t>Bofflens</t>
  </si>
  <si>
    <t>Bretonnières</t>
  </si>
  <si>
    <t>Chavornay</t>
  </si>
  <si>
    <t>Les Clées</t>
  </si>
  <si>
    <t>Montagny-près-Yverdon</t>
  </si>
  <si>
    <t>Oppens</t>
  </si>
  <si>
    <t>Orges</t>
  </si>
  <si>
    <t>Ursins</t>
  </si>
  <si>
    <t>Vugelles-La Mothe</t>
  </si>
  <si>
    <t>./. Gestion du fonds</t>
  </si>
  <si>
    <t>Corcelles-le-Jorat</t>
  </si>
  <si>
    <t>Essertes</t>
  </si>
  <si>
    <t>Maracon</t>
  </si>
  <si>
    <t>Montpreveyres</t>
  </si>
  <si>
    <t>Ropraz</t>
  </si>
  <si>
    <t>Servion</t>
  </si>
  <si>
    <t>Mutrux</t>
  </si>
  <si>
    <t>Novalles</t>
  </si>
  <si>
    <t>Onnens</t>
  </si>
  <si>
    <t>Provence</t>
  </si>
  <si>
    <t>Recettes conjoncturelles en pts</t>
  </si>
  <si>
    <t>A répartir selon clé</t>
  </si>
  <si>
    <t>en % de la moyenne</t>
  </si>
  <si>
    <t>Seuil 1</t>
  </si>
  <si>
    <t>Seuil 2</t>
  </si>
  <si>
    <t>Total écrêtage</t>
  </si>
  <si>
    <t>Montant à recevoir</t>
  </si>
  <si>
    <t>Total à recevoir</t>
  </si>
  <si>
    <t>Savigny</t>
  </si>
  <si>
    <t>Chexbres</t>
  </si>
  <si>
    <t>Villars-Epeney</t>
  </si>
  <si>
    <t>Puidoux</t>
  </si>
  <si>
    <t>Bussy-Chardonney</t>
  </si>
  <si>
    <t>Total transports</t>
  </si>
  <si>
    <t>Dépassement transports</t>
  </si>
  <si>
    <t>Population</t>
  </si>
  <si>
    <t>Capacité fiscale totale</t>
  </si>
  <si>
    <t>Montant perçu</t>
  </si>
  <si>
    <t>Bas</t>
  </si>
  <si>
    <t>Seuils de population</t>
  </si>
  <si>
    <t>Haut</t>
  </si>
  <si>
    <t>Montants</t>
  </si>
  <si>
    <t>Compensation brute</t>
  </si>
  <si>
    <t>Reverolle</t>
  </si>
  <si>
    <t>Romanel-sur-Morges</t>
  </si>
  <si>
    <t>Saint-Prex</t>
  </si>
  <si>
    <t>Saint-Sulpice</t>
  </si>
  <si>
    <t>Tolochenaz</t>
  </si>
  <si>
    <t>Vaux-sur-Morges</t>
  </si>
  <si>
    <t>Villars-Sainte-Croix</t>
  </si>
  <si>
    <t>La Rippe</t>
  </si>
  <si>
    <t>Saint-Cergue</t>
  </si>
  <si>
    <t>Signy-Avenex</t>
  </si>
  <si>
    <t>Tannay</t>
  </si>
  <si>
    <t>Trélex</t>
  </si>
  <si>
    <t>Le Vaud</t>
  </si>
  <si>
    <t>Vich</t>
  </si>
  <si>
    <t>L'Abergement</t>
  </si>
  <si>
    <t>Agiez</t>
  </si>
  <si>
    <t>Péréquation directe</t>
  </si>
  <si>
    <t>Routes</t>
  </si>
  <si>
    <t>Transports publics</t>
  </si>
  <si>
    <t>Transports scolaires</t>
  </si>
  <si>
    <t>Croy</t>
  </si>
  <si>
    <t>Juriens</t>
  </si>
  <si>
    <t>Lignerolle</t>
  </si>
  <si>
    <t>Montcherand</t>
  </si>
  <si>
    <t>Orbe</t>
  </si>
  <si>
    <t>Vallorbe</t>
  </si>
  <si>
    <t>Vaulion</t>
  </si>
  <si>
    <t>Vuiteboeuf</t>
  </si>
  <si>
    <t>Effort plafonné</t>
  </si>
  <si>
    <t>Impôts suivant le taux</t>
  </si>
  <si>
    <t>Féchy</t>
  </si>
  <si>
    <t>Gimel</t>
  </si>
  <si>
    <t>Saint-Livres</t>
  </si>
  <si>
    <t>Saint-Oyens</t>
  </si>
  <si>
    <t>Saubraz</t>
  </si>
  <si>
    <t>Avenches</t>
  </si>
  <si>
    <t>Cudrefin</t>
  </si>
  <si>
    <t>Faoug</t>
  </si>
  <si>
    <t>Bettens</t>
  </si>
  <si>
    <t>Bournens</t>
  </si>
  <si>
    <t>% taux communal moyen</t>
  </si>
  <si>
    <t>Compensation nette</t>
  </si>
  <si>
    <t>Différence à compenser</t>
  </si>
  <si>
    <t>A recevoir population</t>
  </si>
  <si>
    <t>Total péréquation directe</t>
  </si>
  <si>
    <t>Total éléments divers</t>
  </si>
  <si>
    <t>Effort total net</t>
  </si>
  <si>
    <t xml:space="preserve">Taux actuel </t>
  </si>
  <si>
    <t xml:space="preserve">Solde net actuel
</t>
  </si>
  <si>
    <t xml:space="preserve">Taux </t>
  </si>
  <si>
    <t>Pop.</t>
  </si>
  <si>
    <t>Longirod</t>
  </si>
  <si>
    <t>Marchissy</t>
  </si>
  <si>
    <t>Mollens</t>
  </si>
  <si>
    <t>Montherod</t>
  </si>
  <si>
    <t>Saint-George</t>
  </si>
  <si>
    <t>Total des prises en charges</t>
  </si>
  <si>
    <t>Thématique</t>
  </si>
  <si>
    <t>Effort total</t>
  </si>
  <si>
    <t>Valeur du point</t>
  </si>
  <si>
    <t>Plafonnement en francs</t>
  </si>
  <si>
    <t>Chavannes-le-Veyron</t>
  </si>
  <si>
    <t>Chevilly</t>
  </si>
  <si>
    <t>Cossonay</t>
  </si>
  <si>
    <t>./. Conjoncturelles</t>
  </si>
  <si>
    <t>./. Ecrêtage</t>
  </si>
  <si>
    <t>Paramétrage des critères de péréquation</t>
  </si>
  <si>
    <t>Prise en charge (%)</t>
  </si>
  <si>
    <t>Montants affectés aux plafonnements</t>
  </si>
  <si>
    <t>Seuil max (pts)</t>
  </si>
  <si>
    <t>Impôt sur les étrangers</t>
  </si>
  <si>
    <t>Impôt à la source</t>
  </si>
  <si>
    <t>Pers. morales immeubles</t>
  </si>
  <si>
    <t>Impôt foncier</t>
  </si>
  <si>
    <t>Vulliens</t>
  </si>
  <si>
    <t>Champtauroz</t>
  </si>
  <si>
    <t>Chevroux</t>
  </si>
  <si>
    <t>Belmont-sur-Lausanne</t>
  </si>
  <si>
    <t>Cheseaux-sur-Lausanne</t>
  </si>
  <si>
    <t>Crissier</t>
  </si>
  <si>
    <t>Epalinges</t>
  </si>
  <si>
    <t>Jouxtens-Mézery</t>
  </si>
  <si>
    <t>Mathod</t>
  </si>
  <si>
    <t>Molondin</t>
  </si>
  <si>
    <t>Renens</t>
  </si>
  <si>
    <t>Valeyres-sous-Montagny</t>
  </si>
  <si>
    <t>Valeyres-sous-Ursins</t>
  </si>
  <si>
    <t>Orzens</t>
  </si>
  <si>
    <t>Pomy</t>
  </si>
  <si>
    <t>Rovray</t>
  </si>
  <si>
    <t>Suchy</t>
  </si>
  <si>
    <t>Suscévaz</t>
  </si>
  <si>
    <t>Treycovagnes</t>
  </si>
  <si>
    <t>Aclens</t>
  </si>
  <si>
    <t>Total part communale</t>
  </si>
  <si>
    <t>Répartition selon péréquation</t>
  </si>
  <si>
    <t>Solde péréquation directe</t>
  </si>
  <si>
    <t>Points</t>
  </si>
  <si>
    <t>Seuil 3</t>
  </si>
  <si>
    <t>Effort total sans thématiques</t>
  </si>
  <si>
    <t>Plafonnement aide</t>
  </si>
  <si>
    <t>Pers. physiques - revenu</t>
  </si>
  <si>
    <t xml:space="preserve">Pers. physiques - fortune </t>
  </si>
  <si>
    <t>Impôt sur la dépense (étrangers)</t>
  </si>
  <si>
    <t>Impôt récupéré après défalcation</t>
  </si>
  <si>
    <t>PPR</t>
  </si>
  <si>
    <t>PPF</t>
  </si>
  <si>
    <t>PMB</t>
  </si>
  <si>
    <t>PMC</t>
  </si>
  <si>
    <t>Montant plafonnement totaux</t>
  </si>
  <si>
    <t xml:space="preserve">Montant prélevé </t>
  </si>
  <si>
    <t xml:space="preserve">./. Plafonnements totaux </t>
  </si>
  <si>
    <t xml:space="preserve">./. Réserve </t>
  </si>
  <si>
    <t>Recettes conjoncturelles (mutations + gains immob + successions)</t>
  </si>
  <si>
    <t>A recevoir solidarité</t>
  </si>
  <si>
    <t>Solde solidarité et population</t>
  </si>
  <si>
    <t>Bourg-en-Lavaux</t>
  </si>
  <si>
    <t>Tévenon</t>
  </si>
  <si>
    <t>Vully-les-Lacs</t>
  </si>
  <si>
    <t>Goumoëns</t>
  </si>
  <si>
    <t>Montilliez</t>
  </si>
  <si>
    <t>Jorat-Menthue</t>
  </si>
  <si>
    <t>Valbroye</t>
  </si>
  <si>
    <t>Oron</t>
  </si>
  <si>
    <t>Prélèvements conjoncturels</t>
  </si>
  <si>
    <t>Variation facture sociale</t>
  </si>
  <si>
    <t>Variation point d'impôt</t>
  </si>
  <si>
    <t>Indexation</t>
  </si>
  <si>
    <t>Plafond aide</t>
  </si>
  <si>
    <t>Bussigny</t>
  </si>
  <si>
    <t>Arzier-Le Muids</t>
  </si>
  <si>
    <t>Montanaire</t>
  </si>
  <si>
    <t>Dépassement routes</t>
  </si>
  <si>
    <t>Droits mutations, GI, successions et donations</t>
  </si>
  <si>
    <t>Indice IPC au 1er janvier 2010</t>
  </si>
  <si>
    <t>Indice IPC au 30 juin de l'année du décompte</t>
  </si>
  <si>
    <t>Montant à affecter ajusté à l'IPC</t>
  </si>
  <si>
    <t>Population selon FAO</t>
  </si>
  <si>
    <t xml:space="preserve">Rendement des impôts et taxes communaux  (en CHF)   </t>
  </si>
  <si>
    <t>Année de référence</t>
  </si>
  <si>
    <t>Valeur du point communal</t>
  </si>
  <si>
    <t>Péréquation directe - Couche Population</t>
  </si>
  <si>
    <t>Péréquation directe - Couche Solidarité</t>
  </si>
  <si>
    <t>CHF</t>
  </si>
  <si>
    <t>Pts</t>
  </si>
  <si>
    <t>A rendre en CHF</t>
  </si>
  <si>
    <t>Effort péréquatif en points</t>
  </si>
  <si>
    <t>A) Période de calcul</t>
  </si>
  <si>
    <t>B) Prélèvement sur recettes conjoncturelles</t>
  </si>
  <si>
    <t>C) Ecrêtage</t>
  </si>
  <si>
    <t>pour une capacité dépassant</t>
  </si>
  <si>
    <t>D) Couche population</t>
  </si>
  <si>
    <t>Montant à affecter par habitant</t>
  </si>
  <si>
    <t>E) Couche solidarité</t>
  </si>
  <si>
    <t>F) Ecart péréquation horizontale</t>
  </si>
  <si>
    <t>G) Dépenses thématiques</t>
  </si>
  <si>
    <t>Transports, nombre de points</t>
  </si>
  <si>
    <t>Prise en charge maximale</t>
  </si>
  <si>
    <t xml:space="preserve">I) Indexation </t>
  </si>
  <si>
    <t>H) Paramètres de plafonnement en points</t>
  </si>
  <si>
    <t>Impôts théoriques</t>
  </si>
  <si>
    <t>Synthèse en CHF</t>
  </si>
  <si>
    <t>Ecrêtage</t>
  </si>
  <si>
    <t xml:space="preserve">J) Liste des communes A--&gt;Z </t>
  </si>
  <si>
    <t>Recettes conjoncturelles (DM + GI + Succ.)</t>
  </si>
  <si>
    <t>Répartition solde après prélèvements</t>
  </si>
  <si>
    <t>Total de la facture sociale</t>
  </si>
  <si>
    <t>Solidarité</t>
  </si>
  <si>
    <t>Transports</t>
  </si>
  <si>
    <t>Plafonnements</t>
  </si>
  <si>
    <t>Aide</t>
  </si>
  <si>
    <t>Taux</t>
  </si>
  <si>
    <t>Total de la péréquation directe</t>
  </si>
  <si>
    <t>Montant à charge de la commune</t>
  </si>
  <si>
    <t>Résumé par commune</t>
  </si>
  <si>
    <t>Communes sans police communale/intercommunale = 0</t>
  </si>
  <si>
    <t>Imp théoriques</t>
  </si>
  <si>
    <t>Facturation de l'Etat au coût réel (Fr/hab) aux communes délégatrices, mais max 2 pts</t>
  </si>
  <si>
    <t>Manco pour l'Etat - à couvrir par la péréquation (en points d'impôts écrêtés)</t>
  </si>
  <si>
    <t>Total à charge des communes</t>
  </si>
  <si>
    <t>Réforme policière</t>
  </si>
  <si>
    <t>Financement reçu pour les nouvelles tâches</t>
  </si>
  <si>
    <t>J) Réforme policière</t>
  </si>
  <si>
    <t>Nombre de point</t>
  </si>
  <si>
    <t>Charges pour commune sans police</t>
  </si>
  <si>
    <t>Répartition du solde</t>
  </si>
  <si>
    <t>Facture</t>
  </si>
  <si>
    <t>Date population</t>
  </si>
  <si>
    <t>Date taux d'impôt</t>
  </si>
  <si>
    <t>Taux IFO</t>
  </si>
  <si>
    <t>Total de la réforme policière</t>
  </si>
  <si>
    <t>Date plafonnement du taux (N-1)</t>
  </si>
  <si>
    <t>Seuil de population (habitants). Art. 2 DLPIC</t>
  </si>
  <si>
    <t>Selon Art. 3 DLPIC</t>
  </si>
  <si>
    <t>Gestion du fond (montant négatif). Art. 8 DLPIC</t>
  </si>
  <si>
    <t>% prélevé. Art. 4 LPIC</t>
  </si>
  <si>
    <t>Frontaliers. Art. 3 LPIC</t>
  </si>
  <si>
    <t>Forêts, nombre de points. Art. 4 DLPIC</t>
  </si>
  <si>
    <t>Effort maximum plafonné. Art. 5 DLPIC</t>
  </si>
  <si>
    <t>Aide maximale plafonnée. Art. 7 DLPIC</t>
  </si>
  <si>
    <t>x</t>
  </si>
  <si>
    <t>P é r é q u a t i o n   i n d i r e c t e   (facture sociale)</t>
  </si>
  <si>
    <t>P é r é q u a t i o n   d i r e c t e</t>
  </si>
  <si>
    <t>R é f o r m e   p o l i c i è r e</t>
  </si>
  <si>
    <t>T o t a l   p é r é q u a t i o n   d i r e c t e,   i n d i r e c t e   e t   p o l i c e</t>
  </si>
  <si>
    <t>Treytorrens (Payerne)</t>
  </si>
  <si>
    <t>Saint-Légier-La Chiésaz</t>
  </si>
  <si>
    <t>Commune
LDecTer, Etat 01.05.2014</t>
  </si>
  <si>
    <t>Effort péréquatif. Art. 5 DLPIC</t>
  </si>
  <si>
    <t>Dépassement du taux. Art. 6 DLPIC</t>
  </si>
  <si>
    <t>Année 2018</t>
  </si>
  <si>
    <t>Montant écrêtage pour calculer le point impôt écrêté</t>
  </si>
  <si>
    <t>*Année 2019</t>
  </si>
  <si>
    <t>* Cela équivaut à la suppression du point d'impôt écrêté</t>
  </si>
  <si>
    <t>- Changement des taux</t>
  </si>
  <si>
    <t>- Rajout palier entre 100 et 120 %</t>
  </si>
  <si>
    <t>Pour mémoire, dès 2019</t>
  </si>
  <si>
    <t>La rémunération passe de 
100 à 125 pour la 1ère tranche</t>
  </si>
  <si>
    <t>*Max. selon art. 4 DLPIC</t>
  </si>
  <si>
    <t>Jorat-Mézières</t>
  </si>
  <si>
    <t xml:space="preserve">Année 2018 : </t>
  </si>
  <si>
    <t>Dès 2019 :</t>
  </si>
  <si>
    <t>Total des prises en charges pour plfd aide</t>
  </si>
  <si>
    <t>Année 2019</t>
  </si>
  <si>
    <t>Situation N-1 (plafond de l'effort)</t>
  </si>
  <si>
    <t>Situation N-1 (plafond du taux)</t>
  </si>
  <si>
    <t>selon article 13 DLPIC ramené à 45 pour les années 2018 et 2019</t>
  </si>
  <si>
    <t>Effort</t>
  </si>
  <si>
    <t>Total net</t>
  </si>
  <si>
    <t>S y n t h è s e   e n   C H F</t>
  </si>
  <si>
    <t>Coût réel en CHF</t>
  </si>
  <si>
    <t>Taux maximum plafonné. Art. 6 DLPIC</t>
  </si>
  <si>
    <t>Seuil 4</t>
  </si>
  <si>
    <t>Seuil 5</t>
  </si>
  <si>
    <t>Ecart</t>
  </si>
  <si>
    <t>2019</t>
  </si>
  <si>
    <t>Facture sociale selon acomptes 2018</t>
  </si>
  <si>
    <t>Facture sociale selon acomptes 2019</t>
  </si>
  <si>
    <t>Valeur du point d'impôt communal selon acomptes 2018</t>
  </si>
  <si>
    <t>Valeur du point d'impôt communal selon acomptes 2019</t>
  </si>
  <si>
    <t>Acomptes 2018</t>
  </si>
  <si>
    <t>Valeur point impôt</t>
  </si>
  <si>
    <t>Acomptes 2019</t>
  </si>
  <si>
    <t>Nombre de points</t>
  </si>
  <si>
    <t>Valeur du point d'impôt</t>
  </si>
  <si>
    <t>Facture en points d'impôts</t>
  </si>
  <si>
    <t>Point impôt</t>
  </si>
  <si>
    <t>Montant total avec le renchérissement à payer par les communes en pts d'impôts</t>
  </si>
  <si>
    <t>Point d'impôt</t>
  </si>
  <si>
    <t>Point d'impôts</t>
  </si>
  <si>
    <t>Plafond de 
taux</t>
  </si>
  <si>
    <t>* Dès 2019, le plafond a passé de 4 à 4.5</t>
  </si>
  <si>
    <t>* Les rendements des impôts sur les personnes morales (bénéfice et capital) correspondent aux rendement de la periode comptable 2017 actualisés avec les taux RIEIII (calculés par l'ACI)</t>
  </si>
  <si>
    <t>** Répartition des 50 mios octroyés par l'Etat aux communes selon convention signée le 10 septembre 2018. Montant réparti entre les communes selon les rendemtns des impôts des personnes morales des années fiscales 2015 à 2017 de toutes les sociétés (régime ordinaire et statuts spéciaux)</t>
  </si>
  <si>
    <t xml:space="preserve">*Pers. morales bénéfice </t>
  </si>
  <si>
    <t>*Pers. morales  capital</t>
  </si>
  <si>
    <t>**Répartition 50 mios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</si>
</sst>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 _C_H_F_-;\-* #,##0.00\ _C_H_F_-;_-* &quot;-&quot;??\ _C_H_F_-;_-@_-"/>
    <numFmt numFmtId="164" formatCode="_ * #,##0.00_ ;_ * \-#,##0.00_ ;_ * &quot;-&quot;??_ ;_ @_ "/>
    <numFmt numFmtId="165" formatCode="_-* #,##0.00_-;\-* #,##0.00_-;_-* &quot;-&quot;??_-;_-@_-"/>
    <numFmt numFmtId="166" formatCode="#\ ###\ ###\ ##0"/>
    <numFmt numFmtId="167" formatCode="#,##0.0"/>
    <numFmt numFmtId="168" formatCode="0.0%"/>
    <numFmt numFmtId="169" formatCode="#\ ###\ ##0"/>
    <numFmt numFmtId="170" formatCode="0.000"/>
    <numFmt numFmtId="171" formatCode="#,##0.000"/>
    <numFmt numFmtId="172" formatCode="#,##0;\-#,##0;"/>
    <numFmt numFmtId="173" formatCode="#,##0.000000"/>
    <numFmt numFmtId="174" formatCode="0.0000"/>
    <numFmt numFmtId="175" formatCode="_-* #,##0_-;\-* #,##0_-;_-* &quot;-&quot;??_-;_-@_-"/>
    <numFmt numFmtId="176" formatCode="_ * #,##0_ ;_ * \-#,##0_ ;_ * &quot;-&quot;??_ ;_ @_ "/>
    <numFmt numFmtId="177" formatCode="_-* #,##0.0_-;\-* #,##0.0_-;_-* &quot;-&quot;??_-;_-@_-"/>
    <numFmt numFmtId="178" formatCode="_ * #,##0.000_ ;_ * \-#,##0.000_ ;_ * &quot;-&quot;??_ ;_ @_ "/>
    <numFmt numFmtId="179" formatCode="_-* #,##0.000_-;\-* #,##0.000_-;_-* &quot;-&quot;??_-;_-@_-"/>
    <numFmt numFmtId="180" formatCode="0.000%"/>
    <numFmt numFmtId="181" formatCode="0_ ;\-0\ "/>
  </numFmts>
  <fonts count="32"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Arial Narrow"/>
      <family val="2"/>
    </font>
    <font>
      <sz val="10"/>
      <name val="Arial"/>
      <family val="2"/>
    </font>
    <font>
      <sz val="8"/>
      <name val="Verdana"/>
      <family val="2"/>
    </font>
    <font>
      <sz val="10"/>
      <color indexed="8"/>
      <name val="Arial"/>
      <family val="2"/>
    </font>
    <font>
      <sz val="10"/>
      <name val="Times New Roman"/>
      <family val="1"/>
    </font>
    <font>
      <sz val="14"/>
      <name val="Times New Roman"/>
      <family val="1"/>
    </font>
    <font>
      <sz val="10"/>
      <name val="MS Sans Serif"/>
      <family val="2"/>
    </font>
    <font>
      <sz val="11"/>
      <color theme="1"/>
      <name val="Calibri"/>
      <family val="2"/>
      <scheme val="minor"/>
    </font>
    <font>
      <sz val="11"/>
      <color theme="0"/>
      <name val="Calibri"/>
      <family val="2"/>
      <scheme val="minor"/>
    </font>
    <font>
      <sz val="11"/>
      <name val="Calibri"/>
      <family val="2"/>
      <scheme val="minor"/>
    </font>
    <font>
      <i/>
      <sz val="11"/>
      <name val="Calibri"/>
      <family val="2"/>
      <scheme val="minor"/>
    </font>
    <font>
      <sz val="16"/>
      <name val="Calibri"/>
      <family val="2"/>
      <scheme val="minor"/>
    </font>
    <font>
      <b/>
      <sz val="11"/>
      <name val="Calibri"/>
      <family val="2"/>
      <scheme val="minor"/>
    </font>
    <font>
      <sz val="11"/>
      <color indexed="10"/>
      <name val="Calibri"/>
      <family val="2"/>
      <scheme val="minor"/>
    </font>
    <font>
      <sz val="11"/>
      <color indexed="8"/>
      <name val="Calibri"/>
      <family val="2"/>
      <scheme val="minor"/>
    </font>
    <font>
      <sz val="24"/>
      <name val="Calibri"/>
      <family val="2"/>
      <scheme val="minor"/>
    </font>
    <font>
      <sz val="20"/>
      <name val="Calibri"/>
      <family val="2"/>
      <scheme val="minor"/>
    </font>
    <font>
      <sz val="20"/>
      <color theme="0"/>
      <name val="Calibri"/>
      <family val="2"/>
      <scheme val="minor"/>
    </font>
    <font>
      <sz val="10"/>
      <name val="Arial"/>
      <family val="2"/>
    </font>
    <font>
      <sz val="10"/>
      <name val="Calibri"/>
      <family val="2"/>
      <scheme val="minor"/>
    </font>
    <font>
      <sz val="12"/>
      <color theme="0"/>
      <name val="Trebuchet MS"/>
      <family val="2"/>
    </font>
    <font>
      <b/>
      <sz val="10"/>
      <name val="Calibri"/>
      <family val="2"/>
      <scheme val="minor"/>
    </font>
    <font>
      <sz val="14"/>
      <name val="Trebuchet MS"/>
      <family val="2"/>
    </font>
    <font>
      <sz val="11"/>
      <color theme="0"/>
      <name val="Calibri"/>
      <family val="2"/>
    </font>
    <font>
      <sz val="11"/>
      <name val="Calibri"/>
      <family val="2"/>
    </font>
  </fonts>
  <fills count="11">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002060"/>
        <bgColor indexed="64"/>
      </patternFill>
    </fill>
    <fill>
      <patternFill patternType="solid">
        <fgColor theme="5" tint="0.59999389629810485"/>
        <bgColor indexed="64"/>
      </patternFill>
    </fill>
  </fills>
  <borders count="18">
    <border>
      <left/>
      <right/>
      <top/>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s>
  <cellStyleXfs count="41">
    <xf numFmtId="0" fontId="0" fillId="0" borderId="0"/>
    <xf numFmtId="0" fontId="11" fillId="0" borderId="1"/>
    <xf numFmtId="0" fontId="12" fillId="0" borderId="0"/>
    <xf numFmtId="0" fontId="11" fillId="0" borderId="2">
      <alignment vertical="top"/>
    </xf>
    <xf numFmtId="165" fontId="6" fillId="0" borderId="0" applyFont="0" applyFill="0" applyBorder="0" applyAlignment="0" applyProtection="0"/>
    <xf numFmtId="164" fontId="8" fillId="0" borderId="0" applyFont="0" applyFill="0" applyBorder="0" applyAlignment="0" applyProtection="0"/>
    <xf numFmtId="164" fontId="14" fillId="0" borderId="0" applyFont="0" applyFill="0" applyBorder="0" applyAlignment="0" applyProtection="0"/>
    <xf numFmtId="0" fontId="13" fillId="0" borderId="0"/>
    <xf numFmtId="0" fontId="10" fillId="0" borderId="0"/>
    <xf numFmtId="0" fontId="8" fillId="0" borderId="0"/>
    <xf numFmtId="0" fontId="14" fillId="0" borderId="0"/>
    <xf numFmtId="0" fontId="7" fillId="0" borderId="0"/>
    <xf numFmtId="9" fontId="6" fillId="0" borderId="0" applyFont="0" applyFill="0" applyBorder="0" applyAlignment="0" applyProtection="0"/>
    <xf numFmtId="9" fontId="8" fillId="0" borderId="0" applyFont="0" applyFill="0" applyBorder="0" applyAlignment="0" applyProtection="0"/>
    <xf numFmtId="164" fontId="25" fillId="0" borderId="0" applyFont="0" applyFill="0" applyBorder="0" applyAlignment="0" applyProtection="0"/>
    <xf numFmtId="0" fontId="25" fillId="0" borderId="0"/>
    <xf numFmtId="164" fontId="3" fillId="0" borderId="0" applyFont="0" applyFill="0" applyBorder="0" applyAlignment="0" applyProtection="0"/>
    <xf numFmtId="0" fontId="3" fillId="0" borderId="0"/>
    <xf numFmtId="0" fontId="6"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 fillId="0" borderId="0" applyFont="0" applyFill="0" applyBorder="0" applyAlignment="0" applyProtection="0"/>
    <xf numFmtId="0" fontId="2" fillId="0" borderId="0"/>
    <xf numFmtId="0" fontId="2" fillId="0" borderId="0"/>
    <xf numFmtId="0" fontId="2" fillId="0" borderId="0"/>
    <xf numFmtId="0" fontId="2" fillId="0" borderId="0"/>
    <xf numFmtId="0" fontId="8"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cellStyleXfs>
  <cellXfs count="529">
    <xf numFmtId="0" fontId="0" fillId="0" borderId="0" xfId="0"/>
    <xf numFmtId="175" fontId="16" fillId="0" borderId="0" xfId="4" applyNumberFormat="1" applyFont="1" applyFill="1" applyBorder="1"/>
    <xf numFmtId="175" fontId="16" fillId="3" borderId="5" xfId="4" applyNumberFormat="1" applyFont="1" applyFill="1" applyBorder="1"/>
    <xf numFmtId="0" fontId="16" fillId="4" borderId="0" xfId="0" applyNumberFormat="1" applyFont="1" applyFill="1" applyAlignment="1">
      <alignment horizontal="left"/>
    </xf>
    <xf numFmtId="0" fontId="16" fillId="4" borderId="0" xfId="0" applyNumberFormat="1" applyFont="1" applyFill="1" applyAlignment="1">
      <alignment horizontal="center"/>
    </xf>
    <xf numFmtId="175" fontId="16" fillId="4" borderId="0" xfId="4" applyNumberFormat="1" applyFont="1" applyFill="1" applyAlignment="1">
      <alignment horizontal="center"/>
    </xf>
    <xf numFmtId="175" fontId="16" fillId="4" borderId="0" xfId="4" applyNumberFormat="1" applyFont="1" applyFill="1"/>
    <xf numFmtId="0" fontId="16" fillId="4" borderId="14" xfId="0" applyNumberFormat="1" applyFont="1" applyFill="1" applyBorder="1" applyAlignment="1">
      <alignment horizontal="center"/>
    </xf>
    <xf numFmtId="0" fontId="16" fillId="4" borderId="5" xfId="0" applyNumberFormat="1" applyFont="1" applyFill="1" applyBorder="1" applyAlignment="1">
      <alignment horizontal="center"/>
    </xf>
    <xf numFmtId="3" fontId="16" fillId="4" borderId="9" xfId="0" applyNumberFormat="1" applyFont="1" applyFill="1" applyBorder="1"/>
    <xf numFmtId="175" fontId="16" fillId="4" borderId="5" xfId="4" applyNumberFormat="1" applyFont="1" applyFill="1" applyBorder="1"/>
    <xf numFmtId="175" fontId="16" fillId="4" borderId="14" xfId="4" applyNumberFormat="1" applyFont="1" applyFill="1" applyBorder="1"/>
    <xf numFmtId="3" fontId="16" fillId="4" borderId="0" xfId="0" applyNumberFormat="1" applyFont="1" applyFill="1"/>
    <xf numFmtId="0" fontId="16" fillId="4" borderId="0" xfId="0" applyFont="1" applyFill="1"/>
    <xf numFmtId="175" fontId="16" fillId="4" borderId="0" xfId="4" applyNumberFormat="1" applyFont="1" applyFill="1" applyBorder="1"/>
    <xf numFmtId="165" fontId="16" fillId="4" borderId="0" xfId="4" applyFont="1" applyFill="1"/>
    <xf numFmtId="0" fontId="16" fillId="4" borderId="0" xfId="0" applyFont="1" applyFill="1" applyAlignment="1">
      <alignment vertical="top" wrapText="1"/>
    </xf>
    <xf numFmtId="165" fontId="16" fillId="4" borderId="5" xfId="4" applyFont="1" applyFill="1" applyBorder="1" applyAlignment="1">
      <alignment horizontal="center"/>
    </xf>
    <xf numFmtId="165" fontId="16" fillId="4" borderId="0" xfId="0" applyNumberFormat="1" applyFont="1" applyFill="1"/>
    <xf numFmtId="175" fontId="16" fillId="4" borderId="3" xfId="4" applyNumberFormat="1" applyFont="1" applyFill="1" applyBorder="1"/>
    <xf numFmtId="165" fontId="16" fillId="4" borderId="14" xfId="4" applyFont="1" applyFill="1" applyBorder="1"/>
    <xf numFmtId="175" fontId="15" fillId="6" borderId="14" xfId="4" applyNumberFormat="1" applyFont="1" applyFill="1" applyBorder="1" applyAlignment="1">
      <alignment horizontal="center"/>
    </xf>
    <xf numFmtId="166" fontId="15" fillId="6" borderId="14" xfId="0" applyNumberFormat="1" applyFont="1" applyFill="1" applyBorder="1" applyAlignment="1">
      <alignment horizontal="center"/>
    </xf>
    <xf numFmtId="0" fontId="16" fillId="4" borderId="0" xfId="0" applyFont="1" applyFill="1" applyAlignment="1">
      <alignment horizontal="center"/>
    </xf>
    <xf numFmtId="14" fontId="15" fillId="6" borderId="14" xfId="0" applyNumberFormat="1" applyFont="1" applyFill="1" applyBorder="1" applyAlignment="1">
      <alignment horizontal="center"/>
    </xf>
    <xf numFmtId="166" fontId="16" fillId="4" borderId="17" xfId="0" applyNumberFormat="1" applyFont="1" applyFill="1" applyBorder="1" applyAlignment="1">
      <alignment horizontal="center"/>
    </xf>
    <xf numFmtId="0" fontId="18" fillId="4" borderId="0" xfId="0" applyNumberFormat="1" applyFont="1" applyFill="1" applyAlignment="1">
      <alignment horizontal="left"/>
    </xf>
    <xf numFmtId="0" fontId="18" fillId="4" borderId="0" xfId="0" applyNumberFormat="1" applyFont="1" applyFill="1" applyAlignment="1">
      <alignment horizontal="center"/>
    </xf>
    <xf numFmtId="0" fontId="17" fillId="4" borderId="0" xfId="0" applyFont="1" applyFill="1"/>
    <xf numFmtId="4" fontId="16" fillId="4" borderId="0" xfId="0" applyNumberFormat="1" applyFont="1" applyFill="1"/>
    <xf numFmtId="166" fontId="16" fillId="4" borderId="0" xfId="0" applyNumberFormat="1" applyFont="1" applyFill="1" applyAlignment="1">
      <alignment horizontal="left"/>
    </xf>
    <xf numFmtId="0" fontId="16" fillId="4" borderId="14" xfId="0" applyFont="1" applyFill="1" applyBorder="1"/>
    <xf numFmtId="175" fontId="16" fillId="4" borderId="11" xfId="4" applyNumberFormat="1" applyFont="1" applyFill="1" applyBorder="1"/>
    <xf numFmtId="3" fontId="16" fillId="4" borderId="5" xfId="0" applyNumberFormat="1" applyFont="1" applyFill="1" applyBorder="1"/>
    <xf numFmtId="165" fontId="16" fillId="4" borderId="5" xfId="4" applyFont="1" applyFill="1" applyBorder="1"/>
    <xf numFmtId="2" fontId="16" fillId="4" borderId="5" xfId="0" applyNumberFormat="1" applyFont="1" applyFill="1" applyBorder="1"/>
    <xf numFmtId="2" fontId="16" fillId="4" borderId="14" xfId="0" applyNumberFormat="1" applyFont="1" applyFill="1" applyBorder="1"/>
    <xf numFmtId="175" fontId="16" fillId="4" borderId="0" xfId="0" applyNumberFormat="1" applyFont="1" applyFill="1"/>
    <xf numFmtId="175" fontId="16" fillId="5" borderId="14" xfId="4" applyNumberFormat="1" applyFont="1" applyFill="1" applyBorder="1"/>
    <xf numFmtId="175" fontId="16" fillId="3" borderId="14" xfId="4" applyNumberFormat="1" applyFont="1" applyFill="1" applyBorder="1"/>
    <xf numFmtId="3" fontId="15" fillId="6" borderId="14" xfId="0" applyNumberFormat="1" applyFont="1" applyFill="1" applyBorder="1" applyAlignment="1">
      <alignment horizontal="center"/>
    </xf>
    <xf numFmtId="0" fontId="15" fillId="6" borderId="14" xfId="0" applyNumberFormat="1" applyFont="1" applyFill="1" applyBorder="1" applyAlignment="1">
      <alignment horizontal="center"/>
    </xf>
    <xf numFmtId="175" fontId="16" fillId="4" borderId="9" xfId="4" applyNumberFormat="1" applyFont="1" applyFill="1" applyBorder="1"/>
    <xf numFmtId="3" fontId="16" fillId="4" borderId="0" xfId="11" applyNumberFormat="1" applyFont="1" applyFill="1" applyAlignment="1">
      <alignment vertical="center"/>
    </xf>
    <xf numFmtId="0" fontId="16" fillId="4" borderId="0" xfId="11" applyFont="1" applyFill="1" applyAlignment="1">
      <alignment vertical="center"/>
    </xf>
    <xf numFmtId="175" fontId="16" fillId="4" borderId="0" xfId="4" applyNumberFormat="1" applyFont="1" applyFill="1" applyAlignment="1">
      <alignment vertical="center"/>
    </xf>
    <xf numFmtId="0" fontId="16" fillId="4" borderId="0" xfId="0" applyFont="1" applyFill="1" applyBorder="1"/>
    <xf numFmtId="0" fontId="16" fillId="4" borderId="4" xfId="0" applyFont="1" applyFill="1" applyBorder="1" applyAlignment="1">
      <alignment horizontal="center"/>
    </xf>
    <xf numFmtId="167" fontId="16" fillId="4" borderId="0" xfId="0" applyNumberFormat="1" applyFont="1" applyFill="1"/>
    <xf numFmtId="0" fontId="16" fillId="4" borderId="0" xfId="0" quotePrefix="1" applyFont="1" applyFill="1"/>
    <xf numFmtId="0" fontId="16" fillId="4" borderId="5" xfId="0" applyFont="1" applyFill="1" applyBorder="1" applyAlignment="1">
      <alignment horizontal="center"/>
    </xf>
    <xf numFmtId="0" fontId="16" fillId="4" borderId="3" xfId="0" applyFont="1" applyFill="1" applyBorder="1" applyAlignment="1">
      <alignment horizontal="center"/>
    </xf>
    <xf numFmtId="1" fontId="18" fillId="4" borderId="0" xfId="11" applyNumberFormat="1" applyFont="1" applyFill="1" applyAlignment="1">
      <alignment horizontal="left" vertical="center"/>
    </xf>
    <xf numFmtId="4" fontId="16" fillId="4" borderId="0" xfId="11" applyNumberFormat="1" applyFont="1" applyFill="1" applyAlignment="1">
      <alignment vertical="center"/>
    </xf>
    <xf numFmtId="0" fontId="17" fillId="4" borderId="0" xfId="11" applyFont="1" applyFill="1"/>
    <xf numFmtId="175" fontId="16" fillId="4" borderId="4" xfId="4" applyNumberFormat="1" applyFont="1" applyFill="1" applyBorder="1"/>
    <xf numFmtId="0" fontId="16" fillId="4" borderId="4" xfId="0" applyFont="1" applyFill="1" applyBorder="1" applyAlignment="1">
      <alignment horizontal="left"/>
    </xf>
    <xf numFmtId="0" fontId="16" fillId="4" borderId="5" xfId="0" applyFont="1" applyFill="1" applyBorder="1" applyAlignment="1">
      <alignment horizontal="left"/>
    </xf>
    <xf numFmtId="175" fontId="16" fillId="5" borderId="5" xfId="4" applyNumberFormat="1" applyFont="1" applyFill="1" applyBorder="1"/>
    <xf numFmtId="166" fontId="16" fillId="4" borderId="10" xfId="0" applyNumberFormat="1" applyFont="1" applyFill="1" applyBorder="1" applyAlignment="1">
      <alignment horizontal="center"/>
    </xf>
    <xf numFmtId="0" fontId="16" fillId="4" borderId="0" xfId="11" applyFont="1" applyFill="1" applyBorder="1" applyAlignment="1">
      <alignment vertical="center"/>
    </xf>
    <xf numFmtId="10" fontId="16" fillId="4" borderId="0" xfId="12" applyNumberFormat="1" applyFont="1" applyFill="1" applyAlignment="1">
      <alignment vertical="center"/>
    </xf>
    <xf numFmtId="10" fontId="16" fillId="4" borderId="0" xfId="12" applyNumberFormat="1" applyFont="1" applyFill="1"/>
    <xf numFmtId="4" fontId="16" fillId="4" borderId="14" xfId="0" applyNumberFormat="1" applyFont="1" applyFill="1" applyBorder="1"/>
    <xf numFmtId="10" fontId="16" fillId="4" borderId="14" xfId="12" applyNumberFormat="1" applyFont="1" applyFill="1" applyBorder="1"/>
    <xf numFmtId="0" fontId="15" fillId="6" borderId="4" xfId="0" applyFont="1" applyFill="1" applyBorder="1" applyAlignment="1">
      <alignment horizontal="center" vertical="center" wrapText="1"/>
    </xf>
    <xf numFmtId="4" fontId="16" fillId="4" borderId="11" xfId="0" applyNumberFormat="1" applyFont="1" applyFill="1" applyBorder="1"/>
    <xf numFmtId="9" fontId="15" fillId="6" borderId="14" xfId="12" applyNumberFormat="1" applyFont="1" applyFill="1" applyBorder="1" applyAlignment="1">
      <alignment horizontal="center" vertical="center" wrapText="1"/>
    </xf>
    <xf numFmtId="0" fontId="15" fillId="6" borderId="14" xfId="0" applyFont="1" applyFill="1" applyBorder="1" applyAlignment="1">
      <alignment horizontal="center" vertical="center" wrapText="1"/>
    </xf>
    <xf numFmtId="9" fontId="15" fillId="6" borderId="14" xfId="12" applyNumberFormat="1" applyFont="1" applyFill="1" applyBorder="1" applyAlignment="1">
      <alignment horizontal="center" vertical="center"/>
    </xf>
    <xf numFmtId="165" fontId="15" fillId="6" borderId="14" xfId="4" applyFont="1" applyFill="1" applyBorder="1" applyAlignment="1">
      <alignment vertical="center" wrapText="1"/>
    </xf>
    <xf numFmtId="4" fontId="16" fillId="4" borderId="12" xfId="0" applyNumberFormat="1" applyFont="1" applyFill="1" applyBorder="1"/>
    <xf numFmtId="169" fontId="16" fillId="4" borderId="0" xfId="11" applyNumberFormat="1" applyFont="1" applyFill="1" applyAlignment="1">
      <alignment vertical="center"/>
    </xf>
    <xf numFmtId="175" fontId="16" fillId="4" borderId="15" xfId="4" applyNumberFormat="1" applyFont="1" applyFill="1" applyBorder="1"/>
    <xf numFmtId="175" fontId="16" fillId="4" borderId="16" xfId="4" applyNumberFormat="1" applyFont="1" applyFill="1" applyBorder="1"/>
    <xf numFmtId="170" fontId="16" fillId="4" borderId="0" xfId="0" applyNumberFormat="1" applyFont="1" applyFill="1"/>
    <xf numFmtId="0" fontId="16" fillId="4" borderId="0" xfId="0" applyFont="1" applyFill="1" applyAlignment="1">
      <alignment vertical="top"/>
    </xf>
    <xf numFmtId="3" fontId="16" fillId="4" borderId="0" xfId="0" applyNumberFormat="1" applyFont="1" applyFill="1" applyAlignment="1">
      <alignment vertical="top"/>
    </xf>
    <xf numFmtId="3" fontId="16" fillId="4" borderId="0" xfId="0" applyNumberFormat="1" applyFont="1" applyFill="1" applyBorder="1" applyAlignment="1">
      <alignment vertical="top" wrapText="1"/>
    </xf>
    <xf numFmtId="0" fontId="16" fillId="4" borderId="17" xfId="0" applyFont="1" applyFill="1" applyBorder="1"/>
    <xf numFmtId="0" fontId="16" fillId="4" borderId="6" xfId="0" applyFont="1" applyFill="1" applyBorder="1"/>
    <xf numFmtId="0" fontId="16" fillId="4" borderId="7" xfId="0" applyFont="1" applyFill="1" applyBorder="1"/>
    <xf numFmtId="0" fontId="16" fillId="4" borderId="14" xfId="0" applyFont="1" applyFill="1" applyBorder="1" applyAlignment="1">
      <alignment horizontal="center"/>
    </xf>
    <xf numFmtId="0" fontId="16" fillId="4" borderId="8" xfId="0" applyFont="1" applyFill="1" applyBorder="1"/>
    <xf numFmtId="0" fontId="16" fillId="4" borderId="12" xfId="0" applyFont="1" applyFill="1" applyBorder="1"/>
    <xf numFmtId="0" fontId="16" fillId="4" borderId="9" xfId="0" applyFont="1" applyFill="1" applyBorder="1"/>
    <xf numFmtId="0" fontId="16" fillId="4" borderId="11" xfId="0" applyFont="1" applyFill="1" applyBorder="1"/>
    <xf numFmtId="0" fontId="16" fillId="4" borderId="10" xfId="0" applyFont="1" applyFill="1" applyBorder="1"/>
    <xf numFmtId="0" fontId="16" fillId="4" borderId="13" xfId="0" applyFont="1" applyFill="1" applyBorder="1"/>
    <xf numFmtId="173" fontId="16" fillId="4" borderId="0" xfId="0" applyNumberFormat="1" applyFont="1" applyFill="1" applyAlignment="1">
      <alignment vertical="top"/>
    </xf>
    <xf numFmtId="175" fontId="16" fillId="4" borderId="12" xfId="4" applyNumberFormat="1" applyFont="1" applyFill="1" applyBorder="1"/>
    <xf numFmtId="165" fontId="16" fillId="4" borderId="4" xfId="4" applyFont="1" applyFill="1" applyBorder="1"/>
    <xf numFmtId="165" fontId="16" fillId="4" borderId="3" xfId="4" applyFont="1" applyFill="1" applyBorder="1"/>
    <xf numFmtId="3" fontId="16" fillId="4" borderId="8" xfId="0" applyNumberFormat="1" applyFont="1" applyFill="1" applyBorder="1"/>
    <xf numFmtId="3" fontId="16" fillId="4" borderId="10" xfId="0" applyNumberFormat="1" applyFont="1" applyFill="1" applyBorder="1"/>
    <xf numFmtId="3" fontId="16" fillId="4" borderId="17" xfId="0" applyNumberFormat="1" applyFont="1" applyFill="1" applyBorder="1"/>
    <xf numFmtId="3" fontId="16" fillId="4" borderId="13" xfId="0" applyNumberFormat="1" applyFont="1" applyFill="1" applyBorder="1" applyAlignment="1">
      <alignment horizontal="center" vertical="top" wrapText="1"/>
    </xf>
    <xf numFmtId="169" fontId="16" fillId="4" borderId="0" xfId="0" applyNumberFormat="1" applyFont="1" applyFill="1"/>
    <xf numFmtId="3" fontId="16" fillId="4" borderId="4" xfId="12" applyNumberFormat="1" applyFont="1" applyFill="1" applyBorder="1"/>
    <xf numFmtId="3" fontId="16" fillId="4" borderId="5" xfId="12" applyNumberFormat="1" applyFont="1" applyFill="1" applyBorder="1"/>
    <xf numFmtId="3" fontId="16" fillId="4" borderId="3" xfId="12" applyNumberFormat="1" applyFont="1" applyFill="1" applyBorder="1"/>
    <xf numFmtId="3" fontId="16" fillId="4" borderId="14" xfId="12" applyNumberFormat="1" applyFont="1" applyFill="1" applyBorder="1"/>
    <xf numFmtId="165" fontId="16" fillId="4" borderId="14" xfId="4" applyNumberFormat="1" applyFont="1" applyFill="1" applyBorder="1"/>
    <xf numFmtId="175" fontId="16" fillId="8" borderId="14" xfId="4" applyNumberFormat="1" applyFont="1" applyFill="1" applyBorder="1"/>
    <xf numFmtId="175" fontId="16" fillId="5" borderId="4" xfId="4" applyNumberFormat="1" applyFont="1" applyFill="1" applyBorder="1"/>
    <xf numFmtId="175" fontId="16" fillId="5" borderId="3" xfId="4" applyNumberFormat="1" applyFont="1" applyFill="1" applyBorder="1"/>
    <xf numFmtId="3" fontId="15" fillId="6" borderId="4" xfId="0" applyNumberFormat="1" applyFont="1" applyFill="1" applyBorder="1"/>
    <xf numFmtId="0" fontId="15" fillId="6" borderId="0" xfId="0" applyFont="1" applyFill="1"/>
    <xf numFmtId="0" fontId="16" fillId="4" borderId="8" xfId="0" applyFont="1" applyFill="1" applyBorder="1" applyAlignment="1">
      <alignment horizontal="center"/>
    </xf>
    <xf numFmtId="0" fontId="15" fillId="6" borderId="4" xfId="0" applyFont="1" applyFill="1" applyBorder="1" applyAlignment="1">
      <alignment horizontal="center"/>
    </xf>
    <xf numFmtId="0" fontId="15" fillId="6" borderId="3" xfId="0" applyFont="1" applyFill="1" applyBorder="1" applyAlignment="1">
      <alignment horizontal="center"/>
    </xf>
    <xf numFmtId="175" fontId="16" fillId="4" borderId="13" xfId="4" applyNumberFormat="1" applyFont="1" applyFill="1" applyBorder="1"/>
    <xf numFmtId="2" fontId="16" fillId="4" borderId="0" xfId="0" applyNumberFormat="1" applyFont="1" applyFill="1"/>
    <xf numFmtId="9" fontId="16" fillId="4" borderId="0" xfId="0" applyNumberFormat="1" applyFont="1" applyFill="1"/>
    <xf numFmtId="4" fontId="16" fillId="4" borderId="14" xfId="12" applyNumberFormat="1" applyFont="1" applyFill="1" applyBorder="1"/>
    <xf numFmtId="4" fontId="16" fillId="4" borderId="0" xfId="12" applyNumberFormat="1" applyFont="1" applyFill="1" applyBorder="1"/>
    <xf numFmtId="0" fontId="16" fillId="4" borderId="16" xfId="0" applyFont="1" applyFill="1" applyBorder="1"/>
    <xf numFmtId="0" fontId="15" fillId="6" borderId="4" xfId="0" applyFont="1" applyFill="1" applyBorder="1" applyAlignment="1">
      <alignment horizontal="center" vertical="top" wrapText="1"/>
    </xf>
    <xf numFmtId="9" fontId="15" fillId="6" borderId="4" xfId="0" applyNumberFormat="1" applyFont="1" applyFill="1" applyBorder="1" applyAlignment="1">
      <alignment horizontal="center"/>
    </xf>
    <xf numFmtId="175" fontId="16" fillId="5" borderId="11" xfId="4" applyNumberFormat="1" applyFont="1" applyFill="1" applyBorder="1"/>
    <xf numFmtId="3" fontId="16" fillId="4" borderId="17" xfId="12" applyNumberFormat="1" applyFont="1" applyFill="1" applyBorder="1"/>
    <xf numFmtId="171" fontId="16" fillId="4" borderId="0" xfId="0" applyNumberFormat="1" applyFont="1" applyFill="1"/>
    <xf numFmtId="2" fontId="15" fillId="6" borderId="3" xfId="0" applyNumberFormat="1" applyFont="1" applyFill="1" applyBorder="1" applyAlignment="1">
      <alignment horizontal="center" vertical="top" wrapText="1"/>
    </xf>
    <xf numFmtId="3" fontId="16" fillId="4" borderId="7" xfId="12" applyNumberFormat="1" applyFont="1" applyFill="1" applyBorder="1"/>
    <xf numFmtId="166" fontId="16" fillId="4" borderId="14" xfId="0" applyNumberFormat="1" applyFont="1" applyFill="1" applyBorder="1" applyAlignment="1">
      <alignment horizontal="center"/>
    </xf>
    <xf numFmtId="175" fontId="16" fillId="4" borderId="7" xfId="4" applyNumberFormat="1" applyFont="1" applyFill="1" applyBorder="1"/>
    <xf numFmtId="0" fontId="15" fillId="6" borderId="17" xfId="0" applyFont="1" applyFill="1" applyBorder="1"/>
    <xf numFmtId="0" fontId="15" fillId="6" borderId="6" xfId="0" applyFont="1" applyFill="1" applyBorder="1"/>
    <xf numFmtId="0" fontId="15" fillId="6" borderId="14" xfId="0" applyFont="1" applyFill="1" applyBorder="1" applyAlignment="1">
      <alignment horizontal="center"/>
    </xf>
    <xf numFmtId="167" fontId="16" fillId="4" borderId="4" xfId="0" applyNumberFormat="1" applyFont="1" applyFill="1" applyBorder="1"/>
    <xf numFmtId="0" fontId="5" fillId="4" borderId="0" xfId="0" applyFont="1" applyFill="1" applyBorder="1" applyAlignment="1">
      <alignment horizontal="left"/>
    </xf>
    <xf numFmtId="167" fontId="16" fillId="4" borderId="5" xfId="0" applyNumberFormat="1" applyFont="1" applyFill="1" applyBorder="1"/>
    <xf numFmtId="0" fontId="5" fillId="4" borderId="0" xfId="0" applyFont="1" applyFill="1" applyAlignment="1">
      <alignment horizontal="left"/>
    </xf>
    <xf numFmtId="167" fontId="16" fillId="4" borderId="3" xfId="0" applyNumberFormat="1" applyFont="1" applyFill="1" applyBorder="1"/>
    <xf numFmtId="175" fontId="16" fillId="3" borderId="4" xfId="4" applyNumberFormat="1" applyFont="1" applyFill="1" applyBorder="1"/>
    <xf numFmtId="175" fontId="16" fillId="5" borderId="15" xfId="4" applyNumberFormat="1" applyFont="1" applyFill="1" applyBorder="1"/>
    <xf numFmtId="175" fontId="16" fillId="5" borderId="0" xfId="4" applyNumberFormat="1" applyFont="1" applyFill="1" applyBorder="1"/>
    <xf numFmtId="175" fontId="16" fillId="3" borderId="3" xfId="4" applyNumberFormat="1" applyFont="1" applyFill="1" applyBorder="1"/>
    <xf numFmtId="175" fontId="16" fillId="5" borderId="16" xfId="4" applyNumberFormat="1" applyFont="1" applyFill="1" applyBorder="1"/>
    <xf numFmtId="165" fontId="16" fillId="4" borderId="0" xfId="4" applyFont="1" applyFill="1" applyBorder="1" applyAlignment="1">
      <alignment vertical="center"/>
    </xf>
    <xf numFmtId="165" fontId="16" fillId="4" borderId="0" xfId="4" applyFont="1" applyFill="1" applyAlignment="1">
      <alignment vertical="center"/>
    </xf>
    <xf numFmtId="4" fontId="16" fillId="4" borderId="4" xfId="12" applyNumberFormat="1" applyFont="1" applyFill="1" applyBorder="1"/>
    <xf numFmtId="4" fontId="16" fillId="4" borderId="5" xfId="12" applyNumberFormat="1" applyFont="1" applyFill="1" applyBorder="1"/>
    <xf numFmtId="0" fontId="16" fillId="4" borderId="0" xfId="0" applyFont="1" applyFill="1" applyBorder="1" applyAlignment="1">
      <alignment horizontal="center" vertical="top" wrapText="1"/>
    </xf>
    <xf numFmtId="177" fontId="16" fillId="4" borderId="0" xfId="11" applyNumberFormat="1" applyFont="1" applyFill="1" applyAlignment="1">
      <alignment vertical="center"/>
    </xf>
    <xf numFmtId="177" fontId="16" fillId="4" borderId="0" xfId="0" applyNumberFormat="1" applyFont="1" applyFill="1"/>
    <xf numFmtId="177" fontId="15" fillId="6" borderId="4" xfId="0" applyNumberFormat="1" applyFont="1" applyFill="1" applyBorder="1" applyAlignment="1">
      <alignment horizontal="center" vertical="top" wrapText="1"/>
    </xf>
    <xf numFmtId="2" fontId="15" fillId="6" borderId="5" xfId="0" applyNumberFormat="1" applyFont="1" applyFill="1" applyBorder="1" applyAlignment="1">
      <alignment horizontal="center" vertical="top" wrapText="1"/>
    </xf>
    <xf numFmtId="172" fontId="16" fillId="4" borderId="0" xfId="0" applyNumberFormat="1" applyFont="1" applyFill="1"/>
    <xf numFmtId="167" fontId="16" fillId="4" borderId="0" xfId="12" applyNumberFormat="1" applyFont="1" applyFill="1" applyBorder="1" applyAlignment="1">
      <alignment horizontal="center" vertical="top" wrapText="1"/>
    </xf>
    <xf numFmtId="167" fontId="16" fillId="4" borderId="12" xfId="0" applyNumberFormat="1" applyFont="1" applyFill="1" applyBorder="1"/>
    <xf numFmtId="172" fontId="16" fillId="4" borderId="0" xfId="0" applyNumberFormat="1" applyFont="1" applyFill="1" applyBorder="1"/>
    <xf numFmtId="167" fontId="16" fillId="4" borderId="11" xfId="0" applyNumberFormat="1" applyFont="1" applyFill="1" applyBorder="1"/>
    <xf numFmtId="167" fontId="16" fillId="4" borderId="13" xfId="0" applyNumberFormat="1" applyFont="1" applyFill="1" applyBorder="1"/>
    <xf numFmtId="172" fontId="16" fillId="4" borderId="14" xfId="0" applyNumberFormat="1" applyFont="1" applyFill="1" applyBorder="1"/>
    <xf numFmtId="172" fontId="16" fillId="4" borderId="0" xfId="12" applyNumberFormat="1" applyFont="1" applyFill="1" applyBorder="1"/>
    <xf numFmtId="3" fontId="16" fillId="3" borderId="4" xfId="12" applyNumberFormat="1" applyFont="1" applyFill="1" applyBorder="1"/>
    <xf numFmtId="3" fontId="16" fillId="3" borderId="5" xfId="12" applyNumberFormat="1" applyFont="1" applyFill="1" applyBorder="1"/>
    <xf numFmtId="3" fontId="16" fillId="3" borderId="7" xfId="12" applyNumberFormat="1" applyFont="1" applyFill="1" applyBorder="1"/>
    <xf numFmtId="0" fontId="20" fillId="4" borderId="0" xfId="0" applyFont="1" applyFill="1"/>
    <xf numFmtId="0" fontId="21" fillId="4" borderId="5" xfId="0" applyFont="1" applyFill="1" applyBorder="1" applyAlignment="1">
      <alignment horizontal="center"/>
    </xf>
    <xf numFmtId="0" fontId="21" fillId="4" borderId="5" xfId="0" applyFont="1" applyFill="1" applyBorder="1"/>
    <xf numFmtId="3" fontId="21" fillId="4" borderId="5" xfId="12" applyNumberFormat="1" applyFont="1" applyFill="1" applyBorder="1" applyAlignment="1">
      <alignment horizontal="right"/>
    </xf>
    <xf numFmtId="0" fontId="21" fillId="4" borderId="0" xfId="0" applyFont="1" applyFill="1"/>
    <xf numFmtId="168" fontId="16" fillId="4" borderId="0" xfId="0" applyNumberFormat="1" applyFont="1" applyFill="1"/>
    <xf numFmtId="172" fontId="16" fillId="4" borderId="14" xfId="12" applyNumberFormat="1" applyFont="1" applyFill="1" applyBorder="1"/>
    <xf numFmtId="172" fontId="21" fillId="4" borderId="4" xfId="0" applyNumberFormat="1" applyFont="1" applyFill="1" applyBorder="1"/>
    <xf numFmtId="0" fontId="16" fillId="8" borderId="0" xfId="0" applyFont="1" applyFill="1"/>
    <xf numFmtId="14" fontId="16" fillId="8" borderId="0" xfId="0" applyNumberFormat="1" applyFont="1" applyFill="1"/>
    <xf numFmtId="0" fontId="16" fillId="8" borderId="0" xfId="0" applyFont="1" applyFill="1" applyBorder="1"/>
    <xf numFmtId="0" fontId="17" fillId="8" borderId="0" xfId="0" applyFont="1" applyFill="1"/>
    <xf numFmtId="174" fontId="16" fillId="8" borderId="0" xfId="0" applyNumberFormat="1" applyFont="1" applyFill="1" applyBorder="1"/>
    <xf numFmtId="0" fontId="16" fillId="8" borderId="0" xfId="0" applyFont="1" applyFill="1" applyAlignment="1">
      <alignment horizontal="center" wrapText="1"/>
    </xf>
    <xf numFmtId="165" fontId="16" fillId="8" borderId="0" xfId="4" applyFont="1" applyFill="1"/>
    <xf numFmtId="3" fontId="16" fillId="8" borderId="0" xfId="0" applyNumberFormat="1" applyFont="1" applyFill="1"/>
    <xf numFmtId="2" fontId="16" fillId="8" borderId="0" xfId="0" applyNumberFormat="1" applyFont="1" applyFill="1"/>
    <xf numFmtId="0" fontId="16" fillId="8" borderId="0" xfId="0" applyFont="1" applyFill="1" applyAlignment="1">
      <alignment horizontal="center"/>
    </xf>
    <xf numFmtId="9" fontId="16" fillId="8" borderId="0" xfId="0" applyNumberFormat="1" applyFont="1" applyFill="1" applyBorder="1" applyAlignment="1">
      <alignment horizontal="center" vertical="top" wrapText="1"/>
    </xf>
    <xf numFmtId="2" fontId="16" fillId="8" borderId="0" xfId="0" applyNumberFormat="1" applyFont="1" applyFill="1" applyBorder="1" applyAlignment="1">
      <alignment horizontal="center"/>
    </xf>
    <xf numFmtId="10" fontId="16" fillId="8" borderId="14" xfId="0" applyNumberFormat="1" applyFont="1" applyFill="1" applyBorder="1" applyAlignment="1">
      <alignment horizontal="center" vertical="top" wrapText="1"/>
    </xf>
    <xf numFmtId="170" fontId="16" fillId="8" borderId="0" xfId="0" applyNumberFormat="1" applyFont="1" applyFill="1" applyBorder="1"/>
    <xf numFmtId="3" fontId="16" fillId="8" borderId="0" xfId="0" applyNumberFormat="1" applyFont="1" applyFill="1" applyBorder="1"/>
    <xf numFmtId="165" fontId="16" fillId="8" borderId="0" xfId="4" applyFont="1" applyFill="1" applyBorder="1"/>
    <xf numFmtId="0" fontId="16" fillId="8" borderId="14" xfId="0" applyFont="1" applyFill="1" applyBorder="1"/>
    <xf numFmtId="165" fontId="16" fillId="8" borderId="14" xfId="4" applyFont="1" applyFill="1" applyBorder="1"/>
    <xf numFmtId="0" fontId="16" fillId="8" borderId="0" xfId="0" applyFont="1" applyFill="1" applyAlignment="1">
      <alignment vertical="top"/>
    </xf>
    <xf numFmtId="0" fontId="18" fillId="8" borderId="0" xfId="0" applyFont="1" applyFill="1"/>
    <xf numFmtId="14" fontId="16" fillId="7" borderId="14" xfId="0" applyNumberFormat="1" applyFont="1" applyFill="1" applyBorder="1" applyAlignment="1">
      <alignment horizontal="center"/>
    </xf>
    <xf numFmtId="9" fontId="16" fillId="7" borderId="14" xfId="0" applyNumberFormat="1" applyFont="1" applyFill="1" applyBorder="1" applyAlignment="1">
      <alignment horizontal="center" vertical="top" wrapText="1"/>
    </xf>
    <xf numFmtId="10" fontId="16" fillId="7" borderId="14" xfId="0" applyNumberFormat="1" applyFont="1" applyFill="1" applyBorder="1" applyAlignment="1">
      <alignment horizontal="center"/>
    </xf>
    <xf numFmtId="0" fontId="16" fillId="8" borderId="0" xfId="0" applyFont="1" applyFill="1" applyBorder="1" applyAlignment="1"/>
    <xf numFmtId="0" fontId="16" fillId="8" borderId="0" xfId="0" applyFont="1" applyFill="1" applyBorder="1" applyAlignment="1">
      <alignment horizontal="left" vertical="top"/>
    </xf>
    <xf numFmtId="0" fontId="16" fillId="8" borderId="0" xfId="0" applyFont="1" applyFill="1" applyBorder="1" applyAlignment="1">
      <alignment horizontal="left"/>
    </xf>
    <xf numFmtId="3" fontId="16" fillId="7" borderId="14" xfId="0" applyNumberFormat="1" applyFont="1" applyFill="1" applyBorder="1"/>
    <xf numFmtId="3" fontId="16" fillId="8" borderId="14" xfId="0" applyNumberFormat="1" applyFont="1" applyFill="1" applyBorder="1"/>
    <xf numFmtId="3" fontId="16" fillId="8" borderId="14" xfId="0" applyNumberFormat="1" applyFont="1" applyFill="1" applyBorder="1" applyAlignment="1">
      <alignment horizontal="center"/>
    </xf>
    <xf numFmtId="9" fontId="16" fillId="7" borderId="14" xfId="0" applyNumberFormat="1" applyFont="1" applyFill="1" applyBorder="1" applyAlignment="1">
      <alignment horizontal="center"/>
    </xf>
    <xf numFmtId="0" fontId="16" fillId="7" borderId="14" xfId="0" applyFont="1" applyFill="1" applyBorder="1" applyAlignment="1">
      <alignment horizontal="center" vertical="top" wrapText="1"/>
    </xf>
    <xf numFmtId="0" fontId="16" fillId="8" borderId="4" xfId="0" applyFont="1" applyFill="1" applyBorder="1" applyAlignment="1">
      <alignment horizontal="center" vertical="center" wrapText="1"/>
    </xf>
    <xf numFmtId="176" fontId="16" fillId="8" borderId="14" xfId="4" applyNumberFormat="1" applyFont="1" applyFill="1" applyBorder="1"/>
    <xf numFmtId="175" fontId="16" fillId="8" borderId="17" xfId="4" applyNumberFormat="1" applyFont="1" applyFill="1" applyBorder="1"/>
    <xf numFmtId="0" fontId="16" fillId="8" borderId="7" xfId="0" applyFont="1" applyFill="1" applyBorder="1"/>
    <xf numFmtId="2" fontId="16" fillId="8" borderId="4" xfId="0" applyNumberFormat="1" applyFont="1" applyFill="1" applyBorder="1"/>
    <xf numFmtId="0" fontId="16" fillId="8" borderId="0" xfId="0" quotePrefix="1" applyFont="1" applyFill="1" applyBorder="1"/>
    <xf numFmtId="170" fontId="16" fillId="8" borderId="14" xfId="0" applyNumberFormat="1" applyFont="1" applyFill="1" applyBorder="1"/>
    <xf numFmtId="174" fontId="16" fillId="8" borderId="14" xfId="0" applyNumberFormat="1" applyFont="1" applyFill="1" applyBorder="1"/>
    <xf numFmtId="0" fontId="16" fillId="8" borderId="0" xfId="0" applyFont="1" applyFill="1" applyBorder="1" applyAlignment="1">
      <alignment horizontal="center" vertical="center" wrapText="1"/>
    </xf>
    <xf numFmtId="0" fontId="22" fillId="8" borderId="0" xfId="0" applyFont="1" applyFill="1"/>
    <xf numFmtId="0" fontId="18" fillId="8" borderId="0" xfId="0" applyFont="1" applyFill="1" applyBorder="1"/>
    <xf numFmtId="0" fontId="15" fillId="6" borderId="3" xfId="0" applyFont="1" applyFill="1" applyBorder="1" applyAlignment="1">
      <alignment horizontal="center" vertical="center" wrapText="1"/>
    </xf>
    <xf numFmtId="9" fontId="15" fillId="6" borderId="5" xfId="12" applyFont="1" applyFill="1" applyBorder="1" applyAlignment="1">
      <alignment horizontal="center"/>
    </xf>
    <xf numFmtId="4" fontId="16" fillId="4" borderId="0" xfId="0" applyNumberFormat="1" applyFont="1" applyFill="1" applyBorder="1"/>
    <xf numFmtId="1" fontId="18" fillId="4" borderId="0" xfId="11" applyNumberFormat="1" applyFont="1" applyFill="1" applyAlignment="1">
      <alignment horizontal="left" vertical="center"/>
    </xf>
    <xf numFmtId="175" fontId="16" fillId="8" borderId="0" xfId="4" applyNumberFormat="1" applyFont="1" applyFill="1"/>
    <xf numFmtId="0" fontId="23" fillId="8" borderId="0" xfId="0" applyFont="1" applyFill="1"/>
    <xf numFmtId="175" fontId="23" fillId="8" borderId="0" xfId="4" applyNumberFormat="1" applyFont="1" applyFill="1"/>
    <xf numFmtId="175" fontId="15" fillId="6" borderId="0" xfId="4" applyNumberFormat="1" applyFont="1" applyFill="1"/>
    <xf numFmtId="0" fontId="23" fillId="8" borderId="0" xfId="0" applyFont="1" applyFill="1" applyAlignment="1">
      <alignment horizontal="right"/>
    </xf>
    <xf numFmtId="169" fontId="19" fillId="4" borderId="0" xfId="11" applyNumberFormat="1" applyFont="1" applyFill="1" applyAlignment="1">
      <alignment vertical="center"/>
    </xf>
    <xf numFmtId="169" fontId="19" fillId="4" borderId="0" xfId="11" applyNumberFormat="1" applyFont="1" applyFill="1" applyBorder="1" applyAlignment="1">
      <alignment vertical="center"/>
    </xf>
    <xf numFmtId="176" fontId="16" fillId="4" borderId="0" xfId="14" applyNumberFormat="1" applyFont="1" applyFill="1" applyBorder="1" applyAlignment="1">
      <alignment vertical="center"/>
    </xf>
    <xf numFmtId="0" fontId="17" fillId="4" borderId="0" xfId="11" applyFont="1" applyFill="1" applyBorder="1"/>
    <xf numFmtId="176" fontId="17" fillId="4" borderId="0" xfId="14" applyNumberFormat="1" applyFont="1" applyFill="1" applyBorder="1"/>
    <xf numFmtId="0" fontId="16" fillId="4" borderId="0" xfId="15" applyFont="1" applyFill="1"/>
    <xf numFmtId="0" fontId="16" fillId="4" borderId="0" xfId="15" applyFont="1" applyFill="1" applyBorder="1"/>
    <xf numFmtId="176" fontId="16" fillId="4" borderId="0" xfId="14" applyNumberFormat="1" applyFont="1" applyFill="1" applyBorder="1"/>
    <xf numFmtId="3" fontId="4" fillId="4" borderId="5" xfId="15" applyNumberFormat="1" applyFont="1" applyFill="1" applyBorder="1" applyAlignment="1">
      <alignment horizontal="right"/>
    </xf>
    <xf numFmtId="164" fontId="16" fillId="4" borderId="5" xfId="14" applyFont="1" applyFill="1" applyBorder="1"/>
    <xf numFmtId="176" fontId="4" fillId="4" borderId="0" xfId="14" applyNumberFormat="1" applyFont="1" applyFill="1" applyBorder="1" applyAlignment="1">
      <alignment horizontal="left"/>
    </xf>
    <xf numFmtId="3" fontId="4" fillId="4" borderId="0" xfId="15" applyNumberFormat="1" applyFont="1" applyFill="1" applyBorder="1" applyAlignment="1">
      <alignment horizontal="right"/>
    </xf>
    <xf numFmtId="176" fontId="16" fillId="4" borderId="0" xfId="15" applyNumberFormat="1" applyFont="1" applyFill="1" applyBorder="1"/>
    <xf numFmtId="3" fontId="16" fillId="4" borderId="0" xfId="15" applyNumberFormat="1" applyFont="1" applyFill="1"/>
    <xf numFmtId="0" fontId="15" fillId="4" borderId="0" xfId="15" applyFont="1" applyFill="1" applyBorder="1" applyAlignment="1">
      <alignment vertical="center"/>
    </xf>
    <xf numFmtId="176" fontId="15" fillId="4" borderId="0" xfId="14" applyNumberFormat="1" applyFont="1" applyFill="1" applyBorder="1" applyAlignment="1">
      <alignment horizontal="center" vertical="center" wrapText="1"/>
    </xf>
    <xf numFmtId="176" fontId="15" fillId="4" borderId="0" xfId="14" applyNumberFormat="1" applyFont="1" applyFill="1" applyBorder="1" applyAlignment="1">
      <alignment vertical="center"/>
    </xf>
    <xf numFmtId="0" fontId="15" fillId="4" borderId="0" xfId="15" applyFont="1" applyFill="1" applyAlignment="1">
      <alignment vertical="center"/>
    </xf>
    <xf numFmtId="0" fontId="16" fillId="4" borderId="4" xfId="15" applyFont="1" applyFill="1" applyBorder="1"/>
    <xf numFmtId="0" fontId="16" fillId="4" borderId="5" xfId="15" applyFont="1" applyFill="1" applyBorder="1"/>
    <xf numFmtId="0" fontId="15" fillId="6" borderId="4" xfId="15" applyFont="1" applyFill="1" applyBorder="1" applyAlignment="1">
      <alignment horizontal="center" vertical="center" wrapText="1"/>
    </xf>
    <xf numFmtId="175" fontId="16" fillId="4" borderId="14" xfId="4" applyNumberFormat="1" applyFont="1" applyFill="1" applyBorder="1" applyAlignment="1">
      <alignment horizontal="center"/>
    </xf>
    <xf numFmtId="0" fontId="16" fillId="7" borderId="14" xfId="0" applyFont="1" applyFill="1" applyBorder="1"/>
    <xf numFmtId="175" fontId="16" fillId="4" borderId="7" xfId="4" applyNumberFormat="1" applyFont="1" applyFill="1" applyBorder="1" applyAlignment="1">
      <alignment horizontal="center"/>
    </xf>
    <xf numFmtId="175" fontId="16" fillId="5" borderId="14" xfId="4" applyNumberFormat="1" applyFont="1" applyFill="1" applyBorder="1" applyAlignment="1">
      <alignment horizontal="center"/>
    </xf>
    <xf numFmtId="172" fontId="21" fillId="5" borderId="4" xfId="0" applyNumberFormat="1" applyFont="1" applyFill="1" applyBorder="1"/>
    <xf numFmtId="172" fontId="21" fillId="5" borderId="5" xfId="0" applyNumberFormat="1" applyFont="1" applyFill="1" applyBorder="1"/>
    <xf numFmtId="172" fontId="16" fillId="5" borderId="14" xfId="0" applyNumberFormat="1" applyFont="1" applyFill="1" applyBorder="1"/>
    <xf numFmtId="172" fontId="21" fillId="5" borderId="3" xfId="0" applyNumberFormat="1" applyFont="1" applyFill="1" applyBorder="1"/>
    <xf numFmtId="0" fontId="16" fillId="7" borderId="14" xfId="15" applyFont="1" applyFill="1" applyBorder="1" applyAlignment="1">
      <alignment horizontal="center"/>
    </xf>
    <xf numFmtId="175" fontId="16" fillId="7" borderId="3" xfId="4" applyNumberFormat="1" applyFont="1" applyFill="1" applyBorder="1" applyAlignment="1">
      <alignment horizontal="center"/>
    </xf>
    <xf numFmtId="175" fontId="16" fillId="7" borderId="14" xfId="4" applyNumberFormat="1" applyFont="1" applyFill="1" applyBorder="1"/>
    <xf numFmtId="0" fontId="16" fillId="7" borderId="14" xfId="4" applyNumberFormat="1" applyFont="1" applyFill="1" applyBorder="1" applyAlignment="1">
      <alignment horizontal="center"/>
    </xf>
    <xf numFmtId="0" fontId="27" fillId="6" borderId="0" xfId="0" applyFont="1" applyFill="1"/>
    <xf numFmtId="0" fontId="16" fillId="7" borderId="4" xfId="15" applyFont="1" applyFill="1" applyBorder="1" applyAlignment="1">
      <alignment horizontal="center"/>
    </xf>
    <xf numFmtId="0" fontId="16" fillId="7" borderId="5" xfId="15" applyFont="1" applyFill="1" applyBorder="1" applyAlignment="1">
      <alignment horizontal="center"/>
    </xf>
    <xf numFmtId="175" fontId="16" fillId="4" borderId="0" xfId="15" applyNumberFormat="1" applyFont="1" applyFill="1"/>
    <xf numFmtId="0" fontId="15" fillId="6" borderId="5" xfId="15" quotePrefix="1" applyFont="1" applyFill="1" applyBorder="1" applyAlignment="1">
      <alignment horizontal="center" vertical="center" wrapText="1"/>
    </xf>
    <xf numFmtId="175" fontId="16" fillId="4" borderId="3" xfId="4" applyNumberFormat="1" applyFont="1" applyFill="1" applyBorder="1" applyAlignment="1">
      <alignment horizontal="center"/>
    </xf>
    <xf numFmtId="175" fontId="16" fillId="8" borderId="0" xfId="4" applyNumberFormat="1" applyFont="1" applyFill="1" applyBorder="1"/>
    <xf numFmtId="165" fontId="16" fillId="7" borderId="14" xfId="4" applyFont="1" applyFill="1" applyBorder="1" applyAlignment="1">
      <alignment horizontal="center"/>
    </xf>
    <xf numFmtId="0" fontId="26" fillId="4" borderId="0" xfId="0" applyFont="1" applyFill="1"/>
    <xf numFmtId="175" fontId="26" fillId="4" borderId="0" xfId="4" applyNumberFormat="1" applyFont="1" applyFill="1"/>
    <xf numFmtId="0" fontId="26" fillId="8" borderId="0" xfId="0" applyFont="1" applyFill="1"/>
    <xf numFmtId="175" fontId="26" fillId="3" borderId="0" xfId="4" applyNumberFormat="1" applyFont="1" applyFill="1"/>
    <xf numFmtId="165" fontId="26" fillId="4" borderId="0" xfId="4" applyFont="1" applyFill="1"/>
    <xf numFmtId="175" fontId="26" fillId="4" borderId="16" xfId="4" applyNumberFormat="1" applyFont="1" applyFill="1" applyBorder="1"/>
    <xf numFmtId="175" fontId="28" fillId="4" borderId="0" xfId="4" applyNumberFormat="1" applyFont="1" applyFill="1"/>
    <xf numFmtId="0" fontId="28" fillId="4" borderId="0" xfId="0" applyFont="1" applyFill="1"/>
    <xf numFmtId="0" fontId="26" fillId="4" borderId="0" xfId="0" applyFont="1" applyFill="1" applyAlignment="1">
      <alignment horizontal="right"/>
    </xf>
    <xf numFmtId="0" fontId="26" fillId="4" borderId="0" xfId="0" applyFont="1" applyFill="1" applyAlignment="1">
      <alignment horizontal="left"/>
    </xf>
    <xf numFmtId="165" fontId="21" fillId="4" borderId="14" xfId="4" applyFont="1" applyFill="1" applyBorder="1"/>
    <xf numFmtId="175" fontId="16" fillId="0" borderId="5" xfId="4" applyNumberFormat="1" applyFont="1" applyFill="1" applyBorder="1"/>
    <xf numFmtId="0" fontId="5" fillId="0" borderId="0" xfId="0" applyFont="1" applyFill="1" applyAlignment="1">
      <alignment horizontal="left"/>
    </xf>
    <xf numFmtId="0" fontId="16" fillId="0" borderId="0" xfId="0" applyFont="1" applyFill="1"/>
    <xf numFmtId="165" fontId="15" fillId="6" borderId="3" xfId="4" applyNumberFormat="1" applyFont="1" applyFill="1" applyBorder="1" applyAlignment="1">
      <alignment horizontal="center" vertical="center" wrapText="1"/>
    </xf>
    <xf numFmtId="10" fontId="16" fillId="8" borderId="3" xfId="12" applyNumberFormat="1" applyFont="1" applyFill="1" applyBorder="1"/>
    <xf numFmtId="2" fontId="16" fillId="8" borderId="14" xfId="0" applyNumberFormat="1" applyFont="1" applyFill="1" applyBorder="1" applyAlignment="1"/>
    <xf numFmtId="2" fontId="16" fillId="7" borderId="4" xfId="0" applyNumberFormat="1" applyFont="1" applyFill="1" applyBorder="1" applyAlignment="1"/>
    <xf numFmtId="2" fontId="16" fillId="8" borderId="14" xfId="4" applyNumberFormat="1" applyFont="1" applyFill="1" applyBorder="1"/>
    <xf numFmtId="4" fontId="16" fillId="4" borderId="5" xfId="0" applyNumberFormat="1" applyFont="1" applyFill="1" applyBorder="1"/>
    <xf numFmtId="165" fontId="16" fillId="4" borderId="5" xfId="4" applyNumberFormat="1" applyFont="1" applyFill="1" applyBorder="1"/>
    <xf numFmtId="176" fontId="16" fillId="5" borderId="14" xfId="4" applyNumberFormat="1" applyFont="1" applyFill="1" applyBorder="1"/>
    <xf numFmtId="175" fontId="16" fillId="7" borderId="14" xfId="4" applyNumberFormat="1" applyFont="1" applyFill="1" applyBorder="1" applyAlignment="1">
      <alignment horizontal="center" vertical="center" wrapText="1"/>
    </xf>
    <xf numFmtId="171" fontId="16" fillId="8" borderId="14" xfId="0" applyNumberFormat="1" applyFont="1" applyFill="1" applyBorder="1"/>
    <xf numFmtId="167" fontId="16" fillId="7" borderId="14" xfId="0" applyNumberFormat="1" applyFont="1" applyFill="1" applyBorder="1"/>
    <xf numFmtId="10" fontId="16" fillId="7" borderId="17" xfId="0" applyNumberFormat="1" applyFont="1" applyFill="1" applyBorder="1" applyAlignment="1">
      <alignment horizontal="center"/>
    </xf>
    <xf numFmtId="10" fontId="16" fillId="8" borderId="0" xfId="0" applyNumberFormat="1" applyFont="1" applyFill="1" applyBorder="1" applyAlignment="1">
      <alignment horizontal="center" vertical="top" wrapText="1"/>
    </xf>
    <xf numFmtId="0" fontId="16" fillId="8" borderId="14" xfId="0" applyFont="1" applyFill="1" applyBorder="1" applyAlignment="1">
      <alignment horizontal="right"/>
    </xf>
    <xf numFmtId="3" fontId="16" fillId="4" borderId="14" xfId="0" applyNumberFormat="1" applyFont="1" applyFill="1" applyBorder="1"/>
    <xf numFmtId="165" fontId="15" fillId="6" borderId="14" xfId="4" applyNumberFormat="1" applyFont="1" applyFill="1" applyBorder="1"/>
    <xf numFmtId="1" fontId="16" fillId="4" borderId="14" xfId="0" applyNumberFormat="1" applyFont="1" applyFill="1" applyBorder="1"/>
    <xf numFmtId="10" fontId="16" fillId="4" borderId="14" xfId="0" applyNumberFormat="1" applyFont="1" applyFill="1" applyBorder="1"/>
    <xf numFmtId="175" fontId="16" fillId="4" borderId="0" xfId="4" quotePrefix="1" applyNumberFormat="1" applyFont="1" applyFill="1" applyBorder="1"/>
    <xf numFmtId="10" fontId="16" fillId="4" borderId="0" xfId="0" applyNumberFormat="1" applyFont="1" applyFill="1" applyBorder="1"/>
    <xf numFmtId="165" fontId="16" fillId="7" borderId="14" xfId="4" applyNumberFormat="1" applyFont="1" applyFill="1" applyBorder="1"/>
    <xf numFmtId="165" fontId="16" fillId="4" borderId="0" xfId="4" applyNumberFormat="1" applyFont="1" applyFill="1"/>
    <xf numFmtId="0" fontId="16" fillId="4" borderId="0" xfId="0" applyFont="1" applyFill="1" applyAlignment="1">
      <alignment horizontal="left" vertical="center"/>
    </xf>
    <xf numFmtId="0" fontId="16" fillId="4" borderId="0" xfId="0" applyFont="1" applyFill="1" applyAlignment="1">
      <alignment vertical="center"/>
    </xf>
    <xf numFmtId="165" fontId="15" fillId="6" borderId="3" xfId="4" quotePrefix="1" applyFont="1" applyFill="1" applyBorder="1" applyAlignment="1">
      <alignment horizontal="center" vertical="center" wrapText="1"/>
    </xf>
    <xf numFmtId="175" fontId="15" fillId="6" borderId="4" xfId="4" applyNumberFormat="1" applyFont="1" applyFill="1" applyBorder="1" applyAlignment="1">
      <alignment horizontal="center" vertical="center" wrapText="1"/>
    </xf>
    <xf numFmtId="175" fontId="15" fillId="6" borderId="3" xfId="4" applyNumberFormat="1" applyFont="1" applyFill="1" applyBorder="1" applyAlignment="1">
      <alignment horizontal="center" vertical="center" wrapText="1"/>
    </xf>
    <xf numFmtId="175" fontId="16" fillId="4" borderId="0" xfId="4" applyNumberFormat="1" applyFont="1" applyFill="1" applyBorder="1" applyAlignment="1">
      <alignment horizontal="center"/>
    </xf>
    <xf numFmtId="175" fontId="15" fillId="6" borderId="5" xfId="4" applyNumberFormat="1" applyFont="1" applyFill="1" applyBorder="1" applyAlignment="1">
      <alignment horizontal="center" vertical="center" wrapText="1"/>
    </xf>
    <xf numFmtId="0" fontId="15" fillId="6" borderId="4" xfId="0" applyFont="1" applyFill="1" applyBorder="1" applyAlignment="1">
      <alignment horizontal="center" vertical="center" wrapText="1"/>
    </xf>
    <xf numFmtId="175" fontId="16" fillId="4" borderId="0" xfId="4" applyNumberFormat="1" applyFont="1" applyFill="1" applyBorder="1" applyAlignment="1">
      <alignment vertical="center"/>
    </xf>
    <xf numFmtId="175" fontId="15" fillId="6" borderId="15" xfId="4" applyNumberFormat="1" applyFont="1" applyFill="1" applyBorder="1" applyAlignment="1">
      <alignment horizontal="center" vertical="center" wrapText="1"/>
    </xf>
    <xf numFmtId="175" fontId="15" fillId="6" borderId="16" xfId="4" applyNumberFormat="1" applyFont="1" applyFill="1" applyBorder="1" applyAlignment="1">
      <alignment horizontal="center" vertical="top" wrapText="1"/>
    </xf>
    <xf numFmtId="9" fontId="16" fillId="7" borderId="14" xfId="12" applyFont="1" applyFill="1" applyBorder="1"/>
    <xf numFmtId="164" fontId="16" fillId="8" borderId="0" xfId="0" applyNumberFormat="1" applyFont="1" applyFill="1"/>
    <xf numFmtId="0" fontId="16" fillId="4" borderId="0" xfId="0" applyFont="1" applyFill="1" applyBorder="1" applyAlignment="1">
      <alignment horizontal="left"/>
    </xf>
    <xf numFmtId="9" fontId="15" fillId="6" borderId="3" xfId="12" applyFont="1" applyFill="1" applyBorder="1" applyAlignment="1">
      <alignment horizontal="center"/>
    </xf>
    <xf numFmtId="175" fontId="15" fillId="6" borderId="14" xfId="4" applyNumberFormat="1" applyFont="1" applyFill="1" applyBorder="1" applyAlignment="1">
      <alignment horizontal="center" vertical="center" wrapText="1"/>
    </xf>
    <xf numFmtId="3" fontId="16" fillId="4" borderId="0" xfId="0" applyNumberFormat="1" applyFont="1" applyFill="1" applyBorder="1"/>
    <xf numFmtId="3" fontId="16" fillId="4" borderId="7" xfId="0" applyNumberFormat="1" applyFont="1" applyFill="1" applyBorder="1"/>
    <xf numFmtId="0" fontId="16" fillId="4" borderId="9" xfId="0" applyFont="1" applyFill="1" applyBorder="1" applyAlignment="1">
      <alignment horizontal="center"/>
    </xf>
    <xf numFmtId="3" fontId="16" fillId="4" borderId="4" xfId="0" applyNumberFormat="1" applyFont="1" applyFill="1" applyBorder="1"/>
    <xf numFmtId="166" fontId="16" fillId="4" borderId="6" xfId="0" applyNumberFormat="1" applyFont="1" applyFill="1" applyBorder="1" applyAlignment="1">
      <alignment horizontal="center"/>
    </xf>
    <xf numFmtId="175" fontId="16" fillId="4" borderId="6" xfId="4" applyNumberFormat="1" applyFont="1" applyFill="1" applyBorder="1"/>
    <xf numFmtId="165" fontId="15" fillId="6" borderId="3" xfId="4" applyFont="1" applyFill="1" applyBorder="1" applyAlignment="1">
      <alignment horizontal="center" vertical="center"/>
    </xf>
    <xf numFmtId="3" fontId="16" fillId="4" borderId="3" xfId="0" applyNumberFormat="1" applyFont="1" applyFill="1" applyBorder="1"/>
    <xf numFmtId="175" fontId="16" fillId="3" borderId="11" xfId="4" applyNumberFormat="1" applyFont="1" applyFill="1" applyBorder="1"/>
    <xf numFmtId="175" fontId="16" fillId="3" borderId="7" xfId="4" applyNumberFormat="1" applyFont="1" applyFill="1" applyBorder="1"/>
    <xf numFmtId="175" fontId="16" fillId="4" borderId="4" xfId="4" applyNumberFormat="1" applyFont="1" applyFill="1" applyBorder="1" applyAlignment="1">
      <alignment horizontal="center"/>
    </xf>
    <xf numFmtId="175" fontId="16" fillId="4" borderId="5" xfId="4" applyNumberFormat="1" applyFont="1" applyFill="1" applyBorder="1" applyAlignment="1">
      <alignment horizontal="center"/>
    </xf>
    <xf numFmtId="177" fontId="16" fillId="4" borderId="0" xfId="4" applyNumberFormat="1" applyFont="1" applyFill="1" applyBorder="1"/>
    <xf numFmtId="4" fontId="16" fillId="4" borderId="6" xfId="12" applyNumberFormat="1" applyFont="1" applyFill="1" applyBorder="1"/>
    <xf numFmtId="177" fontId="16" fillId="4" borderId="6" xfId="4" applyNumberFormat="1" applyFont="1" applyFill="1" applyBorder="1"/>
    <xf numFmtId="0" fontId="16" fillId="4" borderId="4" xfId="15" applyFont="1" applyFill="1" applyBorder="1" applyAlignment="1">
      <alignment horizontal="center"/>
    </xf>
    <xf numFmtId="0" fontId="16" fillId="4" borderId="5" xfId="15" applyFont="1" applyFill="1" applyBorder="1" applyAlignment="1">
      <alignment horizontal="center"/>
    </xf>
    <xf numFmtId="0" fontId="16" fillId="4" borderId="3" xfId="15" applyFont="1" applyFill="1" applyBorder="1" applyAlignment="1">
      <alignment horizontal="center"/>
    </xf>
    <xf numFmtId="0" fontId="21" fillId="4" borderId="4" xfId="0" applyFont="1" applyFill="1" applyBorder="1" applyAlignment="1">
      <alignment horizontal="center"/>
    </xf>
    <xf numFmtId="172" fontId="21" fillId="5" borderId="12" xfId="0" applyNumberFormat="1" applyFont="1" applyFill="1" applyBorder="1"/>
    <xf numFmtId="172" fontId="21" fillId="5" borderId="11" xfId="0" applyNumberFormat="1" applyFont="1" applyFill="1" applyBorder="1"/>
    <xf numFmtId="3" fontId="21" fillId="4" borderId="0" xfId="12" applyNumberFormat="1" applyFont="1" applyFill="1" applyBorder="1"/>
    <xf numFmtId="172" fontId="21" fillId="4" borderId="0" xfId="0" applyNumberFormat="1" applyFont="1" applyFill="1" applyBorder="1"/>
    <xf numFmtId="165" fontId="21" fillId="4" borderId="9" xfId="4" applyFont="1" applyFill="1" applyBorder="1"/>
    <xf numFmtId="3" fontId="21" fillId="4" borderId="4" xfId="12" applyNumberFormat="1" applyFont="1" applyFill="1" applyBorder="1" applyAlignment="1">
      <alignment horizontal="right"/>
    </xf>
    <xf numFmtId="172" fontId="21" fillId="4" borderId="5" xfId="0" applyNumberFormat="1" applyFont="1" applyFill="1" applyBorder="1"/>
    <xf numFmtId="0" fontId="16" fillId="8" borderId="0" xfId="0" applyFont="1" applyFill="1" applyBorder="1" applyAlignment="1">
      <alignment horizontal="right"/>
    </xf>
    <xf numFmtId="179" fontId="16" fillId="7" borderId="14" xfId="4" applyNumberFormat="1" applyFont="1" applyFill="1" applyBorder="1"/>
    <xf numFmtId="3" fontId="21" fillId="4" borderId="0" xfId="0" applyNumberFormat="1" applyFont="1" applyFill="1"/>
    <xf numFmtId="165" fontId="16" fillId="7" borderId="17" xfId="4" applyFont="1" applyFill="1" applyBorder="1"/>
    <xf numFmtId="167" fontId="16" fillId="7" borderId="14" xfId="0" applyNumberFormat="1" applyFont="1" applyFill="1" applyBorder="1" applyAlignment="1">
      <alignment horizontal="center"/>
    </xf>
    <xf numFmtId="10" fontId="15" fillId="6" borderId="3" xfId="12" applyNumberFormat="1" applyFont="1" applyFill="1" applyBorder="1" applyAlignment="1">
      <alignment vertical="center"/>
    </xf>
    <xf numFmtId="165" fontId="15" fillId="6" borderId="4" xfId="4" applyFont="1" applyFill="1" applyBorder="1" applyAlignment="1">
      <alignment horizontal="center" vertical="center" wrapText="1"/>
    </xf>
    <xf numFmtId="175" fontId="26" fillId="4" borderId="0" xfId="4" applyNumberFormat="1" applyFont="1" applyFill="1" applyAlignment="1">
      <alignment horizontal="right"/>
    </xf>
    <xf numFmtId="165" fontId="15" fillId="6" borderId="5" xfId="4" applyFont="1" applyFill="1" applyBorder="1" applyAlignment="1">
      <alignment horizontal="center" vertical="top" wrapText="1"/>
    </xf>
    <xf numFmtId="180" fontId="15" fillId="6" borderId="5" xfId="12" applyNumberFormat="1" applyFont="1" applyFill="1" applyBorder="1" applyAlignment="1">
      <alignment vertical="center"/>
    </xf>
    <xf numFmtId="165" fontId="16" fillId="4" borderId="0" xfId="4" applyFont="1" applyFill="1" applyAlignment="1">
      <alignment horizontal="center"/>
    </xf>
    <xf numFmtId="165" fontId="16" fillId="4" borderId="0" xfId="4" applyFont="1" applyFill="1" applyBorder="1" applyAlignment="1">
      <alignment horizontal="center"/>
    </xf>
    <xf numFmtId="165" fontId="16" fillId="4" borderId="0" xfId="4" applyFont="1" applyFill="1" applyBorder="1" applyAlignment="1">
      <alignment horizontal="left"/>
    </xf>
    <xf numFmtId="165" fontId="16" fillId="4" borderId="0" xfId="4" applyFont="1" applyFill="1" applyAlignment="1">
      <alignment horizontal="left"/>
    </xf>
    <xf numFmtId="165" fontId="17" fillId="4" borderId="0" xfId="4" applyFont="1" applyFill="1"/>
    <xf numFmtId="165" fontId="16" fillId="4" borderId="0" xfId="4" applyFont="1" applyFill="1" applyAlignment="1">
      <alignment horizontal="center" vertical="top" wrapText="1"/>
    </xf>
    <xf numFmtId="165" fontId="15" fillId="6" borderId="14" xfId="4" applyFont="1" applyFill="1" applyBorder="1" applyAlignment="1">
      <alignment horizontal="center"/>
    </xf>
    <xf numFmtId="165" fontId="16" fillId="4" borderId="9" xfId="4" applyFont="1" applyFill="1" applyBorder="1"/>
    <xf numFmtId="165" fontId="31" fillId="4" borderId="5" xfId="4" applyFont="1" applyFill="1" applyBorder="1"/>
    <xf numFmtId="165" fontId="31" fillId="4" borderId="4" xfId="4" applyFont="1" applyFill="1" applyBorder="1"/>
    <xf numFmtId="165" fontId="31" fillId="4" borderId="0" xfId="4" applyFont="1" applyFill="1" applyBorder="1"/>
    <xf numFmtId="165" fontId="16" fillId="2" borderId="5" xfId="4" applyFont="1" applyFill="1" applyBorder="1"/>
    <xf numFmtId="165" fontId="16" fillId="2" borderId="0" xfId="4" applyFont="1" applyFill="1" applyBorder="1"/>
    <xf numFmtId="165" fontId="31" fillId="0" borderId="0" xfId="4" applyFont="1" applyFill="1" applyBorder="1"/>
    <xf numFmtId="165" fontId="16" fillId="0" borderId="9" xfId="4" applyFont="1" applyFill="1" applyBorder="1"/>
    <xf numFmtId="165" fontId="31" fillId="0" borderId="5" xfId="4" applyFont="1" applyFill="1" applyBorder="1"/>
    <xf numFmtId="165" fontId="16" fillId="0" borderId="5" xfId="4" applyFont="1" applyFill="1" applyBorder="1"/>
    <xf numFmtId="165" fontId="16" fillId="0" borderId="0" xfId="4" applyFont="1" applyFill="1"/>
    <xf numFmtId="165" fontId="31" fillId="4" borderId="3" xfId="4" applyFont="1" applyFill="1" applyBorder="1"/>
    <xf numFmtId="165" fontId="16" fillId="2" borderId="14" xfId="4" applyFont="1" applyFill="1" applyBorder="1"/>
    <xf numFmtId="165" fontId="16" fillId="4" borderId="0" xfId="4" applyFont="1" applyFill="1" applyBorder="1"/>
    <xf numFmtId="181" fontId="18" fillId="4" borderId="0" xfId="4" applyNumberFormat="1" applyFont="1" applyFill="1" applyAlignment="1">
      <alignment horizontal="left"/>
    </xf>
    <xf numFmtId="181" fontId="16" fillId="4" borderId="0" xfId="4" applyNumberFormat="1" applyFont="1" applyFill="1" applyAlignment="1">
      <alignment horizontal="left"/>
    </xf>
    <xf numFmtId="181" fontId="16" fillId="4" borderId="5" xfId="4" applyNumberFormat="1" applyFont="1" applyFill="1" applyBorder="1" applyAlignment="1">
      <alignment horizontal="center"/>
    </xf>
    <xf numFmtId="181" fontId="16" fillId="0" borderId="5" xfId="4" applyNumberFormat="1" applyFont="1" applyFill="1" applyBorder="1" applyAlignment="1">
      <alignment horizontal="center"/>
    </xf>
    <xf numFmtId="181" fontId="16" fillId="4" borderId="14" xfId="4" applyNumberFormat="1" applyFont="1" applyFill="1" applyBorder="1" applyAlignment="1">
      <alignment horizontal="center"/>
    </xf>
    <xf numFmtId="181" fontId="16" fillId="4" borderId="0" xfId="4" applyNumberFormat="1" applyFont="1" applyFill="1" applyAlignment="1">
      <alignment horizontal="center"/>
    </xf>
    <xf numFmtId="175" fontId="31" fillId="4" borderId="0" xfId="4" applyNumberFormat="1" applyFont="1" applyFill="1"/>
    <xf numFmtId="165" fontId="16" fillId="4" borderId="12" xfId="4" applyFont="1" applyFill="1" applyBorder="1"/>
    <xf numFmtId="165" fontId="16" fillId="4" borderId="11" xfId="4" applyFont="1" applyFill="1" applyBorder="1"/>
    <xf numFmtId="165" fontId="16" fillId="0" borderId="11" xfId="4" applyFont="1" applyFill="1" applyBorder="1"/>
    <xf numFmtId="165" fontId="16" fillId="4" borderId="13" xfId="4" applyFont="1" applyFill="1" applyBorder="1"/>
    <xf numFmtId="165" fontId="16" fillId="3" borderId="14" xfId="4" applyFont="1" applyFill="1" applyBorder="1"/>
    <xf numFmtId="165" fontId="31" fillId="4" borderId="11" xfId="4" applyFont="1" applyFill="1" applyBorder="1"/>
    <xf numFmtId="165" fontId="31" fillId="0" borderId="11" xfId="4" applyFont="1" applyFill="1" applyBorder="1"/>
    <xf numFmtId="165" fontId="30" fillId="6" borderId="4" xfId="4" applyFont="1" applyFill="1" applyBorder="1" applyAlignment="1">
      <alignment horizontal="center"/>
    </xf>
    <xf numFmtId="165" fontId="15" fillId="6" borderId="12" xfId="4" applyFont="1" applyFill="1" applyBorder="1" applyAlignment="1">
      <alignment horizontal="center"/>
    </xf>
    <xf numFmtId="165" fontId="16" fillId="4" borderId="4" xfId="4" applyFont="1" applyFill="1" applyBorder="1" applyAlignment="1">
      <alignment horizontal="center"/>
    </xf>
    <xf numFmtId="165" fontId="16" fillId="4" borderId="3" xfId="4" applyFont="1" applyFill="1" applyBorder="1" applyAlignment="1">
      <alignment horizontal="center"/>
    </xf>
    <xf numFmtId="14" fontId="30" fillId="6" borderId="4" xfId="0" applyNumberFormat="1" applyFont="1" applyFill="1" applyBorder="1" applyAlignment="1">
      <alignment horizontal="center"/>
    </xf>
    <xf numFmtId="0" fontId="16" fillId="7" borderId="14" xfId="0" applyFont="1" applyFill="1" applyBorder="1" applyAlignment="1">
      <alignment horizontal="center"/>
    </xf>
    <xf numFmtId="175" fontId="26" fillId="8" borderId="0" xfId="0" applyNumberFormat="1" applyFont="1" applyFill="1"/>
    <xf numFmtId="175" fontId="28" fillId="4" borderId="0" xfId="4" applyNumberFormat="1" applyFont="1" applyFill="1" applyAlignment="1">
      <alignment horizontal="center"/>
    </xf>
    <xf numFmtId="0" fontId="30" fillId="6" borderId="4" xfId="4" quotePrefix="1" applyNumberFormat="1" applyFont="1" applyFill="1" applyBorder="1" applyAlignment="1">
      <alignment horizontal="center"/>
    </xf>
    <xf numFmtId="0" fontId="15" fillId="6" borderId="5" xfId="0" applyFont="1" applyFill="1" applyBorder="1" applyAlignment="1">
      <alignment horizontal="center" vertical="center" wrapText="1"/>
    </xf>
    <xf numFmtId="0" fontId="16" fillId="4" borderId="9" xfId="0" applyFont="1" applyFill="1" applyBorder="1" applyAlignment="1">
      <alignment horizontal="left"/>
    </xf>
    <xf numFmtId="0" fontId="16" fillId="4" borderId="10" xfId="0" applyFont="1" applyFill="1" applyBorder="1" applyAlignment="1">
      <alignment horizontal="left"/>
    </xf>
    <xf numFmtId="3" fontId="16" fillId="3" borderId="13" xfId="12" applyNumberFormat="1" applyFont="1" applyFill="1" applyBorder="1"/>
    <xf numFmtId="3" fontId="16" fillId="3" borderId="0" xfId="0" applyNumberFormat="1" applyFont="1" applyFill="1" applyBorder="1"/>
    <xf numFmtId="0" fontId="16" fillId="4" borderId="8" xfId="0" applyFont="1" applyFill="1" applyBorder="1" applyAlignment="1">
      <alignment horizontal="left"/>
    </xf>
    <xf numFmtId="3" fontId="16" fillId="4" borderId="12" xfId="12" applyNumberFormat="1" applyFont="1" applyFill="1" applyBorder="1"/>
    <xf numFmtId="3" fontId="16" fillId="4" borderId="11" xfId="12" applyNumberFormat="1" applyFont="1" applyFill="1" applyBorder="1"/>
    <xf numFmtId="3" fontId="16" fillId="4" borderId="13" xfId="12" applyNumberFormat="1" applyFont="1" applyFill="1" applyBorder="1"/>
    <xf numFmtId="3" fontId="16" fillId="3" borderId="3" xfId="12" applyNumberFormat="1" applyFont="1" applyFill="1" applyBorder="1"/>
    <xf numFmtId="0" fontId="15" fillId="6" borderId="5" xfId="0" applyFont="1" applyFill="1" applyBorder="1" applyAlignment="1">
      <alignment horizontal="center" vertical="center"/>
    </xf>
    <xf numFmtId="171" fontId="16" fillId="8" borderId="0" xfId="0" applyNumberFormat="1" applyFont="1" applyFill="1"/>
    <xf numFmtId="175" fontId="16" fillId="4" borderId="17" xfId="4" applyNumberFormat="1" applyFont="1" applyFill="1" applyBorder="1" applyAlignment="1">
      <alignment horizontal="center"/>
    </xf>
    <xf numFmtId="172" fontId="16" fillId="4" borderId="3" xfId="0" applyNumberFormat="1" applyFont="1" applyFill="1" applyBorder="1"/>
    <xf numFmtId="172" fontId="21" fillId="4" borderId="3" xfId="0" applyNumberFormat="1" applyFont="1" applyFill="1" applyBorder="1"/>
    <xf numFmtId="176" fontId="16" fillId="4" borderId="0" xfId="4" applyNumberFormat="1" applyFont="1" applyFill="1"/>
    <xf numFmtId="175" fontId="16" fillId="7" borderId="14" xfId="4" applyNumberFormat="1" applyFont="1" applyFill="1" applyBorder="1" applyAlignment="1">
      <alignment horizontal="center"/>
    </xf>
    <xf numFmtId="0" fontId="16" fillId="8" borderId="0" xfId="0" quotePrefix="1" applyFont="1" applyFill="1" applyBorder="1" applyAlignment="1"/>
    <xf numFmtId="10" fontId="16" fillId="4" borderId="9" xfId="12" applyNumberFormat="1" applyFont="1" applyFill="1" applyBorder="1"/>
    <xf numFmtId="2" fontId="16" fillId="4" borderId="8" xfId="13" applyNumberFormat="1" applyFont="1" applyFill="1" applyBorder="1"/>
    <xf numFmtId="2" fontId="16" fillId="4" borderId="0" xfId="13" applyNumberFormat="1" applyFont="1" applyFill="1" applyBorder="1"/>
    <xf numFmtId="2" fontId="16" fillId="4" borderId="9" xfId="13" applyNumberFormat="1" applyFont="1" applyFill="1" applyBorder="1"/>
    <xf numFmtId="2" fontId="16" fillId="4" borderId="10" xfId="13" applyNumberFormat="1" applyFont="1" applyFill="1" applyBorder="1"/>
    <xf numFmtId="165" fontId="16" fillId="4" borderId="0" xfId="4" applyFont="1" applyFill="1"/>
    <xf numFmtId="0" fontId="16" fillId="4" borderId="3" xfId="0" applyFont="1" applyFill="1" applyBorder="1"/>
    <xf numFmtId="165" fontId="16" fillId="4" borderId="5" xfId="4" applyNumberFormat="1" applyFont="1" applyFill="1" applyBorder="1"/>
    <xf numFmtId="2" fontId="16" fillId="4" borderId="0" xfId="13" applyNumberFormat="1" applyFont="1" applyFill="1" applyBorder="1"/>
    <xf numFmtId="165" fontId="16" fillId="4" borderId="4" xfId="4" applyNumberFormat="1" applyFont="1" applyFill="1" applyBorder="1"/>
    <xf numFmtId="2" fontId="16" fillId="4" borderId="4" xfId="13" applyNumberFormat="1" applyFont="1" applyFill="1" applyBorder="1"/>
    <xf numFmtId="2" fontId="16" fillId="4" borderId="5" xfId="13" applyNumberFormat="1" applyFont="1" applyFill="1" applyBorder="1"/>
    <xf numFmtId="2" fontId="16" fillId="4" borderId="3" xfId="13" applyNumberFormat="1" applyFont="1" applyFill="1" applyBorder="1"/>
    <xf numFmtId="165" fontId="16" fillId="4" borderId="3" xfId="4" applyNumberFormat="1" applyFont="1" applyFill="1" applyBorder="1"/>
    <xf numFmtId="165" fontId="31" fillId="4" borderId="13" xfId="4" applyFont="1" applyFill="1" applyBorder="1"/>
    <xf numFmtId="165" fontId="31" fillId="10" borderId="4" xfId="4" applyFont="1" applyFill="1" applyBorder="1"/>
    <xf numFmtId="165" fontId="31" fillId="10" borderId="5" xfId="4" applyFont="1" applyFill="1" applyBorder="1"/>
    <xf numFmtId="165" fontId="31" fillId="10" borderId="3" xfId="4" applyFont="1" applyFill="1" applyBorder="1"/>
    <xf numFmtId="165" fontId="16" fillId="10" borderId="3" xfId="4" applyFont="1" applyFill="1" applyBorder="1"/>
    <xf numFmtId="178" fontId="16" fillId="8" borderId="0" xfId="0" quotePrefix="1" applyNumberFormat="1" applyFont="1" applyFill="1" applyAlignment="1">
      <alignment horizontal="right"/>
    </xf>
    <xf numFmtId="43" fontId="16" fillId="8" borderId="0" xfId="0" applyNumberFormat="1" applyFont="1" applyFill="1"/>
    <xf numFmtId="175" fontId="16" fillId="3" borderId="0" xfId="4" applyNumberFormat="1" applyFont="1" applyFill="1" applyBorder="1"/>
    <xf numFmtId="165" fontId="15" fillId="6" borderId="14" xfId="4" applyNumberFormat="1" applyFont="1" applyFill="1" applyBorder="1" applyAlignment="1">
      <alignment horizontal="center" vertical="top" wrapText="1"/>
    </xf>
    <xf numFmtId="2" fontId="15" fillId="6" borderId="14" xfId="0" applyNumberFormat="1" applyFont="1" applyFill="1" applyBorder="1" applyAlignment="1">
      <alignment horizontal="center" vertical="top" wrapText="1"/>
    </xf>
    <xf numFmtId="165" fontId="15" fillId="10" borderId="14" xfId="4" applyFont="1" applyFill="1" applyBorder="1" applyAlignment="1">
      <alignment horizontal="center"/>
    </xf>
    <xf numFmtId="165" fontId="16" fillId="10" borderId="14" xfId="4" applyFont="1" applyFill="1" applyBorder="1"/>
    <xf numFmtId="0" fontId="16" fillId="7" borderId="14" xfId="0" applyFont="1" applyFill="1" applyBorder="1" applyAlignment="1">
      <alignment horizontal="center"/>
    </xf>
    <xf numFmtId="3" fontId="16" fillId="8" borderId="8" xfId="0" applyNumberFormat="1" applyFont="1" applyFill="1" applyBorder="1" applyAlignment="1">
      <alignment horizontal="center" wrapText="1"/>
    </xf>
    <xf numFmtId="3" fontId="16" fillId="8" borderId="12" xfId="0" applyNumberFormat="1" applyFont="1" applyFill="1" applyBorder="1" applyAlignment="1">
      <alignment horizontal="center" wrapText="1"/>
    </xf>
    <xf numFmtId="3" fontId="16" fillId="8" borderId="10" xfId="0" applyNumberFormat="1" applyFont="1" applyFill="1" applyBorder="1" applyAlignment="1">
      <alignment horizontal="center" wrapText="1"/>
    </xf>
    <xf numFmtId="3" fontId="16" fillId="8" borderId="13" xfId="0" applyNumberFormat="1" applyFont="1" applyFill="1" applyBorder="1" applyAlignment="1">
      <alignment horizontal="center" wrapText="1"/>
    </xf>
    <xf numFmtId="0" fontId="16" fillId="7" borderId="17" xfId="0" applyFont="1" applyFill="1" applyBorder="1" applyAlignment="1">
      <alignment horizontal="center"/>
    </xf>
    <xf numFmtId="0" fontId="16" fillId="7" borderId="6" xfId="0" applyFont="1" applyFill="1" applyBorder="1" applyAlignment="1">
      <alignment horizontal="center"/>
    </xf>
    <xf numFmtId="0" fontId="16" fillId="7" borderId="7" xfId="0" applyFont="1" applyFill="1" applyBorder="1" applyAlignment="1">
      <alignment horizontal="center"/>
    </xf>
    <xf numFmtId="0" fontId="16" fillId="8" borderId="9" xfId="0" quotePrefix="1" applyFont="1" applyFill="1" applyBorder="1" applyAlignment="1">
      <alignment horizontal="center"/>
    </xf>
    <xf numFmtId="0" fontId="16" fillId="8" borderId="0" xfId="0" quotePrefix="1" applyFont="1" applyFill="1" applyBorder="1" applyAlignment="1">
      <alignment horizontal="center"/>
    </xf>
    <xf numFmtId="0" fontId="16" fillId="8" borderId="11" xfId="0" quotePrefix="1" applyFont="1" applyFill="1" applyBorder="1" applyAlignment="1">
      <alignment horizontal="center"/>
    </xf>
    <xf numFmtId="0" fontId="16" fillId="8" borderId="10" xfId="0" quotePrefix="1" applyFont="1" applyFill="1" applyBorder="1" applyAlignment="1">
      <alignment horizontal="center"/>
    </xf>
    <xf numFmtId="0" fontId="16" fillId="8" borderId="16" xfId="0" quotePrefix="1" applyFont="1" applyFill="1" applyBorder="1" applyAlignment="1">
      <alignment horizontal="center"/>
    </xf>
    <xf numFmtId="0" fontId="16" fillId="8" borderId="13" xfId="0" quotePrefix="1" applyFont="1" applyFill="1" applyBorder="1" applyAlignment="1">
      <alignment horizontal="center"/>
    </xf>
    <xf numFmtId="0" fontId="29" fillId="4" borderId="0" xfId="0" applyFont="1" applyFill="1" applyAlignment="1">
      <alignment horizontal="center"/>
    </xf>
    <xf numFmtId="15" fontId="24" fillId="9" borderId="0" xfId="0" applyNumberFormat="1" applyFont="1" applyFill="1" applyAlignment="1">
      <alignment horizontal="center"/>
    </xf>
    <xf numFmtId="165" fontId="15" fillId="6" borderId="4" xfId="4" applyFont="1" applyFill="1" applyBorder="1" applyAlignment="1">
      <alignment horizontal="center" vertical="center" textRotation="90" wrapText="1"/>
    </xf>
    <xf numFmtId="165" fontId="15" fillId="6" borderId="3" xfId="4" applyFont="1" applyFill="1" applyBorder="1" applyAlignment="1">
      <alignment horizontal="center" vertical="center" textRotation="90" wrapText="1"/>
    </xf>
    <xf numFmtId="165" fontId="15" fillId="10" borderId="4" xfId="4" applyFont="1" applyFill="1" applyBorder="1" applyAlignment="1">
      <alignment horizontal="center" vertical="center" textRotation="90" wrapText="1"/>
    </xf>
    <xf numFmtId="165" fontId="15" fillId="10" borderId="3" xfId="4" applyFont="1" applyFill="1" applyBorder="1" applyAlignment="1">
      <alignment horizontal="center" vertical="center" textRotation="90" wrapText="1"/>
    </xf>
    <xf numFmtId="165" fontId="30" fillId="6" borderId="4" xfId="4" applyFont="1" applyFill="1" applyBorder="1" applyAlignment="1">
      <alignment horizontal="center" vertical="center" textRotation="90" wrapText="1"/>
    </xf>
    <xf numFmtId="165" fontId="30" fillId="6" borderId="3" xfId="4" applyFont="1" applyFill="1" applyBorder="1" applyAlignment="1">
      <alignment horizontal="center" vertical="center" textRotation="90" wrapText="1"/>
    </xf>
    <xf numFmtId="181" fontId="15" fillId="6" borderId="4" xfId="4" applyNumberFormat="1" applyFont="1" applyFill="1" applyBorder="1" applyAlignment="1">
      <alignment horizontal="center" vertical="center" wrapText="1"/>
    </xf>
    <xf numFmtId="181" fontId="15" fillId="6" borderId="5" xfId="4" applyNumberFormat="1" applyFont="1" applyFill="1" applyBorder="1" applyAlignment="1">
      <alignment horizontal="center" vertical="center" wrapText="1"/>
    </xf>
    <xf numFmtId="181" fontId="15" fillId="6" borderId="3" xfId="4" applyNumberFormat="1" applyFont="1" applyFill="1" applyBorder="1" applyAlignment="1">
      <alignment horizontal="center" vertical="center" wrapText="1"/>
    </xf>
    <xf numFmtId="165" fontId="15" fillId="6" borderId="8" xfId="4" applyFont="1" applyFill="1" applyBorder="1" applyAlignment="1">
      <alignment horizontal="center" vertical="center" wrapText="1"/>
    </xf>
    <xf numFmtId="165" fontId="15" fillId="6" borderId="9" xfId="4" applyFont="1" applyFill="1" applyBorder="1" applyAlignment="1">
      <alignment horizontal="center" vertical="center" wrapText="1"/>
    </xf>
    <xf numFmtId="165" fontId="15" fillId="6" borderId="10" xfId="4" applyFont="1" applyFill="1" applyBorder="1" applyAlignment="1">
      <alignment horizontal="center" vertical="center" wrapText="1"/>
    </xf>
    <xf numFmtId="165" fontId="15" fillId="6" borderId="5" xfId="4" applyFont="1" applyFill="1" applyBorder="1" applyAlignment="1">
      <alignment horizontal="center" vertical="center" textRotation="90" wrapText="1"/>
    </xf>
    <xf numFmtId="165" fontId="15" fillId="6" borderId="12" xfId="4" applyFont="1" applyFill="1" applyBorder="1" applyAlignment="1">
      <alignment horizontal="center" vertical="center" textRotation="90" wrapText="1"/>
    </xf>
    <xf numFmtId="165" fontId="15" fillId="6" borderId="13" xfId="4" applyFont="1" applyFill="1" applyBorder="1" applyAlignment="1">
      <alignment horizontal="center" vertical="center" textRotation="90" wrapText="1"/>
    </xf>
    <xf numFmtId="3" fontId="30" fillId="6" borderId="4" xfId="0" applyNumberFormat="1" applyFont="1" applyFill="1" applyBorder="1" applyAlignment="1">
      <alignment horizontal="center" vertical="center" textRotation="90" wrapText="1"/>
    </xf>
    <xf numFmtId="0" fontId="30" fillId="6" borderId="3" xfId="0" applyFont="1" applyFill="1" applyBorder="1" applyAlignment="1">
      <alignment horizontal="center" vertical="center" textRotation="90" wrapText="1"/>
    </xf>
    <xf numFmtId="0" fontId="15" fillId="6" borderId="4" xfId="0" applyNumberFormat="1" applyFont="1" applyFill="1" applyBorder="1" applyAlignment="1">
      <alignment horizontal="center" vertical="center" wrapText="1"/>
    </xf>
    <xf numFmtId="0" fontId="15" fillId="6" borderId="5" xfId="0" applyNumberFormat="1" applyFont="1" applyFill="1" applyBorder="1" applyAlignment="1">
      <alignment horizontal="center" vertical="center" wrapText="1"/>
    </xf>
    <xf numFmtId="0" fontId="15" fillId="6" borderId="3" xfId="0" applyNumberFormat="1" applyFont="1" applyFill="1" applyBorder="1" applyAlignment="1">
      <alignment horizontal="center" vertical="center" wrapText="1"/>
    </xf>
    <xf numFmtId="3" fontId="15" fillId="6" borderId="4" xfId="0" applyNumberFormat="1" applyFont="1" applyFill="1" applyBorder="1" applyAlignment="1">
      <alignment horizontal="center" vertical="center" wrapText="1"/>
    </xf>
    <xf numFmtId="3" fontId="15" fillId="6" borderId="5" xfId="0" applyNumberFormat="1" applyFont="1" applyFill="1" applyBorder="1" applyAlignment="1">
      <alignment horizontal="center" vertical="center" wrapText="1"/>
    </xf>
    <xf numFmtId="3" fontId="15" fillId="6" borderId="3" xfId="0" applyNumberFormat="1" applyFont="1" applyFill="1" applyBorder="1" applyAlignment="1">
      <alignment horizontal="center" vertical="center" wrapText="1"/>
    </xf>
    <xf numFmtId="175" fontId="15" fillId="6" borderId="4" xfId="4" applyNumberFormat="1" applyFont="1" applyFill="1" applyBorder="1" applyAlignment="1">
      <alignment horizontal="center" vertical="center" textRotation="90" wrapText="1"/>
    </xf>
    <xf numFmtId="175" fontId="15" fillId="6" borderId="5" xfId="4" applyNumberFormat="1" applyFont="1" applyFill="1" applyBorder="1" applyAlignment="1">
      <alignment horizontal="center" vertical="center" textRotation="90" wrapText="1"/>
    </xf>
    <xf numFmtId="175" fontId="15" fillId="6" borderId="3" xfId="4" applyNumberFormat="1" applyFont="1" applyFill="1" applyBorder="1" applyAlignment="1">
      <alignment horizontal="center" vertical="center" textRotation="90" wrapText="1"/>
    </xf>
    <xf numFmtId="3" fontId="15" fillId="6" borderId="4" xfId="0" applyNumberFormat="1" applyFont="1" applyFill="1" applyBorder="1" applyAlignment="1">
      <alignment horizontal="center" vertical="center" textRotation="90" wrapText="1"/>
    </xf>
    <xf numFmtId="3" fontId="15" fillId="6" borderId="3" xfId="0" applyNumberFormat="1" applyFont="1" applyFill="1" applyBorder="1" applyAlignment="1">
      <alignment horizontal="center" vertical="center" textRotation="90" wrapText="1"/>
    </xf>
    <xf numFmtId="4" fontId="15" fillId="6" borderId="4" xfId="0" applyNumberFormat="1" applyFont="1" applyFill="1" applyBorder="1" applyAlignment="1">
      <alignment horizontal="center" vertical="center" textRotation="90" wrapText="1"/>
    </xf>
    <xf numFmtId="4" fontId="15" fillId="6" borderId="5" xfId="0" applyNumberFormat="1" applyFont="1" applyFill="1" applyBorder="1" applyAlignment="1">
      <alignment horizontal="center" vertical="center" textRotation="90" wrapText="1"/>
    </xf>
    <xf numFmtId="4" fontId="15" fillId="6" borderId="3" xfId="0" applyNumberFormat="1" applyFont="1" applyFill="1" applyBorder="1" applyAlignment="1">
      <alignment horizontal="center" vertical="center" textRotation="90" wrapText="1"/>
    </xf>
    <xf numFmtId="175" fontId="15" fillId="6" borderId="4" xfId="4" applyNumberFormat="1" applyFont="1" applyFill="1" applyBorder="1" applyAlignment="1">
      <alignment horizontal="center" vertical="center" wrapText="1"/>
    </xf>
    <xf numFmtId="175" fontId="15" fillId="6" borderId="5" xfId="4" applyNumberFormat="1" applyFont="1" applyFill="1" applyBorder="1" applyAlignment="1">
      <alignment horizontal="center" vertical="center" wrapText="1"/>
    </xf>
    <xf numFmtId="175" fontId="15" fillId="6" borderId="3" xfId="4" applyNumberFormat="1" applyFont="1" applyFill="1" applyBorder="1" applyAlignment="1">
      <alignment horizontal="center" vertical="center" wrapText="1"/>
    </xf>
    <xf numFmtId="0" fontId="15" fillId="6" borderId="4" xfId="0" applyFont="1" applyFill="1" applyBorder="1" applyAlignment="1">
      <alignment horizontal="center" vertical="center" wrapText="1"/>
    </xf>
    <xf numFmtId="0" fontId="15" fillId="6" borderId="5" xfId="0" applyFont="1" applyFill="1" applyBorder="1" applyAlignment="1">
      <alignment horizontal="center" vertical="center" wrapText="1"/>
    </xf>
    <xf numFmtId="0" fontId="15" fillId="6" borderId="3" xfId="0" applyFont="1" applyFill="1" applyBorder="1" applyAlignment="1">
      <alignment horizontal="center" vertical="center" wrapText="1"/>
    </xf>
    <xf numFmtId="3" fontId="15" fillId="6" borderId="5" xfId="0" applyNumberFormat="1" applyFont="1" applyFill="1" applyBorder="1" applyAlignment="1">
      <alignment horizontal="center" vertical="center" textRotation="90" wrapText="1"/>
    </xf>
    <xf numFmtId="4" fontId="15" fillId="6" borderId="4" xfId="0" applyNumberFormat="1" applyFont="1" applyFill="1" applyBorder="1" applyAlignment="1">
      <alignment horizontal="center" vertical="center" wrapText="1"/>
    </xf>
    <xf numFmtId="4" fontId="15" fillId="6" borderId="5" xfId="0" applyNumberFormat="1" applyFont="1" applyFill="1" applyBorder="1" applyAlignment="1">
      <alignment horizontal="center" vertical="center" wrapText="1"/>
    </xf>
    <xf numFmtId="10" fontId="15" fillId="6" borderId="14" xfId="12" applyNumberFormat="1" applyFont="1" applyFill="1" applyBorder="1" applyAlignment="1">
      <alignment horizontal="center" vertical="center" wrapText="1"/>
    </xf>
    <xf numFmtId="0" fontId="15" fillId="6" borderId="17" xfId="0" applyFont="1" applyFill="1" applyBorder="1" applyAlignment="1">
      <alignment horizontal="center" vertical="center"/>
    </xf>
    <xf numFmtId="0" fontId="15" fillId="6" borderId="6" xfId="0" applyFont="1" applyFill="1" applyBorder="1" applyAlignment="1">
      <alignment horizontal="center" vertical="center"/>
    </xf>
    <xf numFmtId="0" fontId="15" fillId="6" borderId="7" xfId="0" applyFont="1" applyFill="1" applyBorder="1" applyAlignment="1">
      <alignment horizontal="center" vertical="center"/>
    </xf>
    <xf numFmtId="10" fontId="15" fillId="6" borderId="4" xfId="12" applyNumberFormat="1" applyFont="1" applyFill="1" applyBorder="1" applyAlignment="1">
      <alignment horizontal="center" vertical="center" wrapText="1"/>
    </xf>
    <xf numFmtId="0" fontId="15" fillId="6" borderId="17" xfId="0" applyFont="1" applyFill="1" applyBorder="1" applyAlignment="1">
      <alignment horizontal="center" vertical="center" wrapText="1"/>
    </xf>
    <xf numFmtId="0" fontId="15" fillId="6" borderId="6"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6" borderId="12" xfId="0" applyFont="1" applyFill="1" applyBorder="1" applyAlignment="1">
      <alignment horizontal="center" vertical="center" wrapText="1"/>
    </xf>
    <xf numFmtId="0" fontId="15" fillId="6" borderId="13" xfId="0" applyFont="1" applyFill="1" applyBorder="1" applyAlignment="1">
      <alignment horizontal="center" vertical="center" wrapText="1"/>
    </xf>
    <xf numFmtId="0" fontId="15" fillId="6" borderId="8" xfId="0" applyFont="1" applyFill="1" applyBorder="1" applyAlignment="1">
      <alignment horizontal="center" vertical="center" wrapText="1"/>
    </xf>
    <xf numFmtId="0" fontId="15" fillId="6" borderId="10" xfId="0" applyFont="1" applyFill="1" applyBorder="1" applyAlignment="1">
      <alignment horizontal="center" vertical="center" wrapText="1"/>
    </xf>
    <xf numFmtId="0" fontId="15" fillId="6" borderId="17" xfId="0" applyFont="1" applyFill="1" applyBorder="1" applyAlignment="1">
      <alignment horizontal="center"/>
    </xf>
    <xf numFmtId="0" fontId="15" fillId="6" borderId="6" xfId="0" applyFont="1" applyFill="1" applyBorder="1" applyAlignment="1">
      <alignment horizontal="center"/>
    </xf>
    <xf numFmtId="0" fontId="15" fillId="6" borderId="7" xfId="0" applyFont="1" applyFill="1" applyBorder="1" applyAlignment="1">
      <alignment horizontal="center"/>
    </xf>
    <xf numFmtId="165" fontId="15" fillId="6" borderId="4" xfId="4" applyFont="1" applyFill="1" applyBorder="1" applyAlignment="1">
      <alignment horizontal="center" vertical="center" wrapText="1"/>
    </xf>
    <xf numFmtId="165" fontId="15" fillId="6" borderId="5" xfId="4" applyFont="1" applyFill="1" applyBorder="1" applyAlignment="1">
      <alignment horizontal="center" vertical="center" wrapText="1"/>
    </xf>
    <xf numFmtId="0" fontId="15" fillId="6" borderId="14" xfId="0" applyFont="1" applyFill="1" applyBorder="1" applyAlignment="1">
      <alignment horizontal="center" vertical="center" wrapText="1"/>
    </xf>
    <xf numFmtId="175" fontId="15" fillId="6" borderId="12" xfId="4" applyNumberFormat="1" applyFont="1" applyFill="1" applyBorder="1" applyAlignment="1">
      <alignment horizontal="center" vertical="center" wrapText="1"/>
    </xf>
    <xf numFmtId="175" fontId="15" fillId="6" borderId="13" xfId="4" applyNumberFormat="1" applyFont="1" applyFill="1" applyBorder="1" applyAlignment="1">
      <alignment horizontal="center" vertical="center" wrapText="1"/>
    </xf>
    <xf numFmtId="0" fontId="15" fillId="6" borderId="11" xfId="0" applyFont="1" applyFill="1" applyBorder="1" applyAlignment="1">
      <alignment horizontal="center" vertical="center" wrapText="1"/>
    </xf>
    <xf numFmtId="0" fontId="15" fillId="6" borderId="9" xfId="0" applyFont="1" applyFill="1" applyBorder="1" applyAlignment="1">
      <alignment horizontal="center" vertical="center" wrapText="1"/>
    </xf>
    <xf numFmtId="165" fontId="15" fillId="6" borderId="3" xfId="4" applyFont="1" applyFill="1" applyBorder="1" applyAlignment="1">
      <alignment horizontal="center" vertical="center" wrapText="1"/>
    </xf>
    <xf numFmtId="0" fontId="5" fillId="3" borderId="17" xfId="11" applyFont="1" applyFill="1" applyBorder="1" applyAlignment="1">
      <alignment horizontal="center"/>
    </xf>
    <xf numFmtId="0" fontId="5" fillId="3" borderId="6" xfId="11" applyFont="1" applyFill="1" applyBorder="1" applyAlignment="1">
      <alignment horizontal="center"/>
    </xf>
    <xf numFmtId="0" fontId="5" fillId="3" borderId="7" xfId="11" applyFont="1" applyFill="1" applyBorder="1" applyAlignment="1">
      <alignment horizontal="center"/>
    </xf>
    <xf numFmtId="0" fontId="15" fillId="6" borderId="4" xfId="15" applyFont="1" applyFill="1" applyBorder="1" applyAlignment="1">
      <alignment horizontal="center" vertical="center" wrapText="1"/>
    </xf>
    <xf numFmtId="0" fontId="15" fillId="6" borderId="3" xfId="15" applyFont="1" applyFill="1" applyBorder="1" applyAlignment="1">
      <alignment horizontal="center" vertical="center" wrapText="1"/>
    </xf>
    <xf numFmtId="0" fontId="15" fillId="6" borderId="8" xfId="15" applyFont="1" applyFill="1" applyBorder="1" applyAlignment="1">
      <alignment horizontal="center" vertical="center" wrapText="1"/>
    </xf>
    <xf numFmtId="0" fontId="15" fillId="6" borderId="10" xfId="15" applyFont="1" applyFill="1" applyBorder="1" applyAlignment="1">
      <alignment horizontal="center" vertical="center" wrapText="1"/>
    </xf>
    <xf numFmtId="0" fontId="15" fillId="4" borderId="9" xfId="0" applyFont="1" applyFill="1" applyBorder="1" applyAlignment="1">
      <alignment horizontal="center"/>
    </xf>
    <xf numFmtId="167" fontId="15" fillId="6" borderId="4" xfId="12" applyNumberFormat="1" applyFont="1" applyFill="1" applyBorder="1" applyAlignment="1">
      <alignment horizontal="center" vertical="center" wrapText="1"/>
    </xf>
    <xf numFmtId="167" fontId="15" fillId="6" borderId="3" xfId="12" applyNumberFormat="1" applyFont="1" applyFill="1" applyBorder="1" applyAlignment="1">
      <alignment horizontal="center" vertical="center" wrapText="1"/>
    </xf>
    <xf numFmtId="167" fontId="15" fillId="6" borderId="12" xfId="12" applyNumberFormat="1" applyFont="1" applyFill="1" applyBorder="1" applyAlignment="1">
      <alignment horizontal="center" vertical="center" wrapText="1"/>
    </xf>
    <xf numFmtId="167" fontId="15" fillId="6" borderId="13" xfId="12" applyNumberFormat="1" applyFont="1" applyFill="1" applyBorder="1" applyAlignment="1">
      <alignment horizontal="center" vertical="center" wrapText="1"/>
    </xf>
    <xf numFmtId="1" fontId="16" fillId="4" borderId="0" xfId="11" applyNumberFormat="1" applyFont="1" applyFill="1" applyAlignment="1">
      <alignment horizontal="left" vertical="center"/>
    </xf>
    <xf numFmtId="0" fontId="16" fillId="4" borderId="0" xfId="0" applyFont="1" applyFill="1" applyAlignment="1">
      <alignment vertical="center"/>
    </xf>
    <xf numFmtId="167" fontId="15" fillId="6" borderId="5" xfId="12" applyNumberFormat="1" applyFont="1" applyFill="1" applyBorder="1" applyAlignment="1">
      <alignment horizontal="center" vertical="center" wrapText="1"/>
    </xf>
  </cellXfs>
  <cellStyles count="41">
    <cellStyle name="cexColumnHeadings" xfId="1"/>
    <cellStyle name="cexReportTitle" xfId="2"/>
    <cellStyle name="cexTableEntry" xfId="3"/>
    <cellStyle name="Milliers" xfId="4" builtinId="3"/>
    <cellStyle name="Milliers 2" xfId="5"/>
    <cellStyle name="Milliers 3" xfId="6"/>
    <cellStyle name="Milliers 3 2" xfId="16"/>
    <cellStyle name="Milliers 3 2 2" xfId="19"/>
    <cellStyle name="Milliers 3 2 2 2" xfId="35"/>
    <cellStyle name="Milliers 3 2 3" xfId="20"/>
    <cellStyle name="Milliers 3 2 3 2" xfId="39"/>
    <cellStyle name="Milliers 3 2 4" xfId="31"/>
    <cellStyle name="Milliers 3 3" xfId="21"/>
    <cellStyle name="Milliers 3 3 2" xfId="33"/>
    <cellStyle name="Milliers 3 4" xfId="22"/>
    <cellStyle name="Milliers 3 4 2" xfId="37"/>
    <cellStyle name="Milliers 3 5" xfId="29"/>
    <cellStyle name="Milliers 4" xfId="14"/>
    <cellStyle name="Milliers 4 2" xfId="23"/>
    <cellStyle name="Normal" xfId="0" builtinId="0"/>
    <cellStyle name="Normal 2" xfId="7"/>
    <cellStyle name="Normal 2 2" xfId="8"/>
    <cellStyle name="Normal 2 3" xfId="9"/>
    <cellStyle name="Normal 3" xfId="10"/>
    <cellStyle name="Normal 3 2" xfId="17"/>
    <cellStyle name="Normal 3 2 2" xfId="24"/>
    <cellStyle name="Normal 3 2 2 2" xfId="36"/>
    <cellStyle name="Normal 3 2 3" xfId="25"/>
    <cellStyle name="Normal 3 2 3 2" xfId="40"/>
    <cellStyle name="Normal 3 2 4" xfId="32"/>
    <cellStyle name="Normal 3 3" xfId="26"/>
    <cellStyle name="Normal 3 3 2" xfId="34"/>
    <cellStyle name="Normal 3 4" xfId="27"/>
    <cellStyle name="Normal 3 4 2" xfId="38"/>
    <cellStyle name="Normal 3 5" xfId="30"/>
    <cellStyle name="Normal 4" xfId="15"/>
    <cellStyle name="Normal 4 2" xfId="28"/>
    <cellStyle name="Normal 5" xfId="18"/>
    <cellStyle name="Normal_3crit_2002-03.xls" xfId="11"/>
    <cellStyle name="Pourcentage" xfId="12" builtinId="5"/>
    <cellStyle name="Pourcentage 2" xfId="1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zasccl/AppData/Local/Temp/notes075DFA/~19227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zasccl/AppData/Local/Temp/notes075DFA/IBC-Communes-PF%202015-2016-2017-31.12.2017-global-SC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sheetName val="Tableau (2)"/>
      <sheetName val="Feuil2"/>
      <sheetName val="Feuil3"/>
    </sheetNames>
    <sheetDataSet>
      <sheetData sheetId="0" refreshError="1"/>
      <sheetData sheetId="1">
        <row r="1">
          <cell r="A1" t="str">
            <v>BENEFICE et CAPITAL EXERCICE 2017 - Estimation 2019</v>
          </cell>
        </row>
        <row r="3">
          <cell r="C3" t="str">
            <v>Période comptable 2017 adaptée taux RIEIII</v>
          </cell>
        </row>
        <row r="4">
          <cell r="C4" t="str">
            <v>BENEFICE</v>
          </cell>
          <cell r="D4" t="str">
            <v>CAPITAL</v>
          </cell>
          <cell r="E4" t="str">
            <v>TOTAUX</v>
          </cell>
        </row>
        <row r="5">
          <cell r="A5" t="str">
            <v>TOTAL DES COMMUNES</v>
          </cell>
          <cell r="C5">
            <v>146194868.2033307</v>
          </cell>
          <cell r="D5">
            <v>56427835.549999967</v>
          </cell>
          <cell r="E5">
            <v>202622703.75333065</v>
          </cell>
        </row>
        <row r="6">
          <cell r="A6">
            <v>5401</v>
          </cell>
          <cell r="B6" t="str">
            <v>Aigle</v>
          </cell>
          <cell r="C6">
            <v>1440920.64</v>
          </cell>
          <cell r="D6">
            <v>251362.65</v>
          </cell>
          <cell r="E6">
            <v>1692283.2899999998</v>
          </cell>
        </row>
        <row r="7">
          <cell r="A7">
            <v>5402</v>
          </cell>
          <cell r="B7" t="str">
            <v>Bex</v>
          </cell>
          <cell r="C7">
            <v>527293.34</v>
          </cell>
          <cell r="D7">
            <v>179212.80000000002</v>
          </cell>
          <cell r="E7">
            <v>706506.14</v>
          </cell>
        </row>
        <row r="8">
          <cell r="A8">
            <v>5403</v>
          </cell>
          <cell r="B8" t="str">
            <v>Chessel</v>
          </cell>
          <cell r="C8">
            <v>5401.03</v>
          </cell>
          <cell r="D8">
            <v>282.89999999999998</v>
          </cell>
          <cell r="E8">
            <v>5683.9299999999994</v>
          </cell>
        </row>
        <row r="9">
          <cell r="A9">
            <v>5404</v>
          </cell>
          <cell r="B9" t="str">
            <v>Corbeyrier</v>
          </cell>
          <cell r="C9">
            <v>6714.19</v>
          </cell>
          <cell r="D9">
            <v>201.8</v>
          </cell>
          <cell r="E9">
            <v>6915.99</v>
          </cell>
        </row>
        <row r="10">
          <cell r="A10">
            <v>5405</v>
          </cell>
          <cell r="B10" t="str">
            <v>Gryon</v>
          </cell>
          <cell r="C10">
            <v>19822.16</v>
          </cell>
          <cell r="D10">
            <v>16656.8</v>
          </cell>
          <cell r="E10">
            <v>36478.959999999999</v>
          </cell>
        </row>
        <row r="11">
          <cell r="A11">
            <v>5406</v>
          </cell>
          <cell r="B11" t="str">
            <v>Lavey-Morcles</v>
          </cell>
          <cell r="C11">
            <v>59784.18</v>
          </cell>
          <cell r="D11">
            <v>4553.05</v>
          </cell>
          <cell r="E11">
            <v>64337.23</v>
          </cell>
        </row>
        <row r="12">
          <cell r="A12">
            <v>5407</v>
          </cell>
          <cell r="B12" t="str">
            <v>Leysin</v>
          </cell>
          <cell r="C12">
            <v>122598.21</v>
          </cell>
          <cell r="D12">
            <v>160161.20000000001</v>
          </cell>
          <cell r="E12">
            <v>282759.41000000003</v>
          </cell>
        </row>
        <row r="13">
          <cell r="A13">
            <v>5408</v>
          </cell>
          <cell r="B13" t="str">
            <v>Noville</v>
          </cell>
          <cell r="C13">
            <v>202717.69</v>
          </cell>
          <cell r="D13">
            <v>8548.1</v>
          </cell>
          <cell r="E13">
            <v>211265.79</v>
          </cell>
        </row>
        <row r="14">
          <cell r="A14">
            <v>5409</v>
          </cell>
          <cell r="B14" t="str">
            <v>Ollon</v>
          </cell>
          <cell r="C14">
            <v>711140.75</v>
          </cell>
          <cell r="D14">
            <v>118870.3</v>
          </cell>
          <cell r="E14">
            <v>830011.05</v>
          </cell>
        </row>
        <row r="15">
          <cell r="A15">
            <v>5410</v>
          </cell>
          <cell r="B15" t="str">
            <v>Ormont-Dessous</v>
          </cell>
          <cell r="C15">
            <v>64056.26</v>
          </cell>
          <cell r="D15">
            <v>3928.8999999999996</v>
          </cell>
          <cell r="E15">
            <v>67985.16</v>
          </cell>
        </row>
        <row r="16">
          <cell r="A16">
            <v>5411</v>
          </cell>
          <cell r="B16" t="str">
            <v>Ormont-Dessus</v>
          </cell>
          <cell r="C16">
            <v>111258.65</v>
          </cell>
          <cell r="D16">
            <v>9766.4500000000007</v>
          </cell>
          <cell r="E16">
            <v>121025.09999999999</v>
          </cell>
        </row>
        <row r="17">
          <cell r="A17">
            <v>5412</v>
          </cell>
          <cell r="B17" t="str">
            <v>Rennaz</v>
          </cell>
          <cell r="C17">
            <v>90317.3</v>
          </cell>
          <cell r="D17">
            <v>24894.5</v>
          </cell>
          <cell r="E17">
            <v>115211.8</v>
          </cell>
        </row>
        <row r="18">
          <cell r="A18">
            <v>5413</v>
          </cell>
          <cell r="B18" t="str">
            <v>Roche</v>
          </cell>
          <cell r="C18">
            <v>100284.16</v>
          </cell>
          <cell r="D18">
            <v>3450.4</v>
          </cell>
          <cell r="E18">
            <v>103734.56</v>
          </cell>
        </row>
        <row r="19">
          <cell r="A19">
            <v>5414</v>
          </cell>
          <cell r="B19" t="str">
            <v>Villeneuve</v>
          </cell>
          <cell r="C19">
            <v>623447.79</v>
          </cell>
          <cell r="D19">
            <v>75627.200000000012</v>
          </cell>
          <cell r="E19">
            <v>699074.99</v>
          </cell>
        </row>
        <row r="20">
          <cell r="A20">
            <v>5415</v>
          </cell>
          <cell r="B20" t="str">
            <v>Yvorne</v>
          </cell>
          <cell r="C20">
            <v>55014.879999999997</v>
          </cell>
          <cell r="D20">
            <v>1671.2</v>
          </cell>
          <cell r="E20">
            <v>56686.079999999994</v>
          </cell>
        </row>
        <row r="21">
          <cell r="A21">
            <v>5421</v>
          </cell>
          <cell r="B21" t="str">
            <v>Apples</v>
          </cell>
          <cell r="C21">
            <v>78325.31</v>
          </cell>
          <cell r="D21">
            <v>116661.45000000001</v>
          </cell>
          <cell r="E21">
            <v>194986.76</v>
          </cell>
        </row>
        <row r="22">
          <cell r="A22">
            <v>5422</v>
          </cell>
          <cell r="B22" t="str">
            <v>Aubonne</v>
          </cell>
          <cell r="C22">
            <v>2250497.9900000002</v>
          </cell>
          <cell r="D22">
            <v>171306.85</v>
          </cell>
          <cell r="E22">
            <v>2421804.8400000003</v>
          </cell>
        </row>
        <row r="23">
          <cell r="A23">
            <v>5423</v>
          </cell>
          <cell r="B23" t="str">
            <v>Ballens</v>
          </cell>
          <cell r="C23">
            <v>-5167.6499999999996</v>
          </cell>
          <cell r="D23">
            <v>1058.8</v>
          </cell>
          <cell r="E23">
            <v>-4108.8499999999995</v>
          </cell>
        </row>
        <row r="24">
          <cell r="A24">
            <v>5424</v>
          </cell>
          <cell r="B24" t="str">
            <v>Berolle</v>
          </cell>
          <cell r="C24">
            <v>811.97</v>
          </cell>
          <cell r="D24">
            <v>96.3</v>
          </cell>
          <cell r="E24">
            <v>908.27</v>
          </cell>
        </row>
        <row r="25">
          <cell r="A25">
            <v>5425</v>
          </cell>
          <cell r="B25" t="str">
            <v>Bière</v>
          </cell>
          <cell r="C25">
            <v>69757.19</v>
          </cell>
          <cell r="D25">
            <v>2428.9500000000003</v>
          </cell>
          <cell r="E25">
            <v>72186.14</v>
          </cell>
        </row>
        <row r="26">
          <cell r="A26">
            <v>5426</v>
          </cell>
          <cell r="B26" t="str">
            <v>Bougy-Villars</v>
          </cell>
          <cell r="C26">
            <v>11699.09</v>
          </cell>
          <cell r="D26">
            <v>1988.9499999999998</v>
          </cell>
          <cell r="E26">
            <v>13688.04</v>
          </cell>
        </row>
        <row r="27">
          <cell r="A27">
            <v>5427</v>
          </cell>
          <cell r="B27" t="str">
            <v>Féchy</v>
          </cell>
          <cell r="C27">
            <v>32742.3</v>
          </cell>
          <cell r="D27">
            <v>1440.1</v>
          </cell>
          <cell r="E27">
            <v>34182.400000000001</v>
          </cell>
        </row>
        <row r="28">
          <cell r="A28">
            <v>5428</v>
          </cell>
          <cell r="B28" t="str">
            <v>Gimel</v>
          </cell>
          <cell r="C28">
            <v>81030.64</v>
          </cell>
          <cell r="D28">
            <v>1964.1</v>
          </cell>
          <cell r="E28">
            <v>82994.740000000005</v>
          </cell>
        </row>
        <row r="29">
          <cell r="A29">
            <v>5429</v>
          </cell>
          <cell r="B29" t="str">
            <v>Longirod</v>
          </cell>
          <cell r="C29">
            <v>1696.18</v>
          </cell>
          <cell r="D29">
            <v>8401.2000000000007</v>
          </cell>
          <cell r="E29">
            <v>10097.380000000001</v>
          </cell>
        </row>
        <row r="30">
          <cell r="A30">
            <v>5430</v>
          </cell>
          <cell r="B30" t="str">
            <v>Marchissy</v>
          </cell>
          <cell r="C30">
            <v>1688.08</v>
          </cell>
          <cell r="D30">
            <v>559.6</v>
          </cell>
          <cell r="E30">
            <v>2247.6799999999998</v>
          </cell>
        </row>
        <row r="31">
          <cell r="A31">
            <v>5431</v>
          </cell>
          <cell r="B31" t="str">
            <v>Mollens</v>
          </cell>
          <cell r="C31">
            <v>386.66</v>
          </cell>
          <cell r="D31">
            <v>236.5</v>
          </cell>
          <cell r="E31">
            <v>623.16000000000008</v>
          </cell>
        </row>
        <row r="32">
          <cell r="A32">
            <v>5432</v>
          </cell>
          <cell r="B32" t="str">
            <v>Montherod</v>
          </cell>
          <cell r="C32">
            <v>15578.6</v>
          </cell>
          <cell r="D32">
            <v>1490.6</v>
          </cell>
          <cell r="E32">
            <v>17069.2</v>
          </cell>
        </row>
        <row r="33">
          <cell r="A33">
            <v>5434</v>
          </cell>
          <cell r="B33" t="str">
            <v>Saint-George</v>
          </cell>
          <cell r="C33">
            <v>11149.12</v>
          </cell>
          <cell r="D33">
            <v>1226.2</v>
          </cell>
          <cell r="E33">
            <v>12375.320000000002</v>
          </cell>
        </row>
        <row r="34">
          <cell r="A34">
            <v>5435</v>
          </cell>
          <cell r="B34" t="str">
            <v>Saint-Livres</v>
          </cell>
          <cell r="C34">
            <v>10734.72</v>
          </cell>
          <cell r="D34">
            <v>398</v>
          </cell>
          <cell r="E34">
            <v>11132.72</v>
          </cell>
        </row>
        <row r="35">
          <cell r="A35">
            <v>5436</v>
          </cell>
          <cell r="B35" t="str">
            <v>Saint-Oyens</v>
          </cell>
          <cell r="C35">
            <v>403.52</v>
          </cell>
          <cell r="D35">
            <v>95</v>
          </cell>
          <cell r="E35">
            <v>498.52</v>
          </cell>
        </row>
        <row r="36">
          <cell r="A36">
            <v>5437</v>
          </cell>
          <cell r="B36" t="str">
            <v>Saubraz</v>
          </cell>
          <cell r="C36">
            <v>3350.23</v>
          </cell>
          <cell r="D36">
            <v>169.2</v>
          </cell>
          <cell r="E36">
            <v>3519.43</v>
          </cell>
        </row>
        <row r="37">
          <cell r="A37">
            <v>5451</v>
          </cell>
          <cell r="B37" t="str">
            <v>Avenches</v>
          </cell>
          <cell r="C37">
            <v>194834.53</v>
          </cell>
          <cell r="D37">
            <v>39951.699999999997</v>
          </cell>
          <cell r="E37">
            <v>234786.22999999998</v>
          </cell>
        </row>
        <row r="38">
          <cell r="A38">
            <v>5456</v>
          </cell>
          <cell r="B38" t="str">
            <v>Cudrefin</v>
          </cell>
          <cell r="C38">
            <v>71490.429999999993</v>
          </cell>
          <cell r="D38">
            <v>2626</v>
          </cell>
          <cell r="E38">
            <v>74116.429999999993</v>
          </cell>
        </row>
        <row r="39">
          <cell r="A39">
            <v>5458</v>
          </cell>
          <cell r="B39" t="str">
            <v>Faoug</v>
          </cell>
          <cell r="C39">
            <v>17123.02</v>
          </cell>
          <cell r="D39">
            <v>1474.4</v>
          </cell>
          <cell r="E39">
            <v>18597.420000000002</v>
          </cell>
        </row>
        <row r="40">
          <cell r="A40">
            <v>5464</v>
          </cell>
          <cell r="B40" t="str">
            <v>Vully-les-Lacs</v>
          </cell>
          <cell r="C40">
            <v>23603.01</v>
          </cell>
          <cell r="D40">
            <v>5095</v>
          </cell>
          <cell r="E40">
            <v>28698.01</v>
          </cell>
        </row>
        <row r="41">
          <cell r="A41">
            <v>5471</v>
          </cell>
          <cell r="B41" t="str">
            <v>Bettens</v>
          </cell>
          <cell r="C41">
            <v>9479.98</v>
          </cell>
          <cell r="D41">
            <v>6663.1</v>
          </cell>
          <cell r="E41">
            <v>16143.08</v>
          </cell>
        </row>
        <row r="42">
          <cell r="A42">
            <v>5472</v>
          </cell>
          <cell r="B42" t="str">
            <v>Bournens</v>
          </cell>
          <cell r="C42">
            <v>27571.62</v>
          </cell>
          <cell r="D42">
            <v>128.6</v>
          </cell>
          <cell r="E42">
            <v>27700.219999999998</v>
          </cell>
        </row>
        <row r="43">
          <cell r="A43">
            <v>5473</v>
          </cell>
          <cell r="B43" t="str">
            <v>Boussens</v>
          </cell>
          <cell r="C43">
            <v>23259.119999999999</v>
          </cell>
          <cell r="D43">
            <v>819.1</v>
          </cell>
          <cell r="E43">
            <v>24078.219999999998</v>
          </cell>
        </row>
        <row r="44">
          <cell r="A44">
            <v>5474</v>
          </cell>
          <cell r="B44" t="str">
            <v>La Chaux (Cossonay)</v>
          </cell>
          <cell r="C44">
            <v>2398.6</v>
          </cell>
          <cell r="D44">
            <v>231.3</v>
          </cell>
          <cell r="E44">
            <v>2629.9</v>
          </cell>
        </row>
        <row r="45">
          <cell r="A45">
            <v>5475</v>
          </cell>
          <cell r="B45" t="str">
            <v>Chavannes-le-Veyron</v>
          </cell>
          <cell r="C45">
            <v>718.93</v>
          </cell>
          <cell r="D45">
            <v>163.69999999999999</v>
          </cell>
          <cell r="E45">
            <v>882.62999999999988</v>
          </cell>
        </row>
        <row r="46">
          <cell r="A46">
            <v>5476</v>
          </cell>
          <cell r="B46" t="str">
            <v>Chevilly</v>
          </cell>
          <cell r="C46">
            <v>2866.93</v>
          </cell>
          <cell r="D46">
            <v>3796.8</v>
          </cell>
          <cell r="E46">
            <v>6663.73</v>
          </cell>
        </row>
        <row r="47">
          <cell r="A47">
            <v>5477</v>
          </cell>
          <cell r="B47" t="str">
            <v>Cossonay</v>
          </cell>
          <cell r="C47">
            <v>253020.65</v>
          </cell>
          <cell r="D47">
            <v>30967.4</v>
          </cell>
          <cell r="E47">
            <v>283988.05</v>
          </cell>
        </row>
        <row r="48">
          <cell r="A48">
            <v>5478</v>
          </cell>
          <cell r="B48" t="str">
            <v>Cottens</v>
          </cell>
          <cell r="C48">
            <v>13412.24</v>
          </cell>
          <cell r="D48">
            <v>149.5</v>
          </cell>
          <cell r="E48">
            <v>13561.74</v>
          </cell>
        </row>
        <row r="49">
          <cell r="A49">
            <v>5479</v>
          </cell>
          <cell r="B49" t="str">
            <v>Cuarnens</v>
          </cell>
          <cell r="C49">
            <v>12293.99</v>
          </cell>
          <cell r="D49">
            <v>1261.5999999999999</v>
          </cell>
          <cell r="E49">
            <v>13555.59</v>
          </cell>
        </row>
        <row r="50">
          <cell r="A50">
            <v>5480</v>
          </cell>
          <cell r="B50" t="str">
            <v>Daillens</v>
          </cell>
          <cell r="C50">
            <v>61935.25</v>
          </cell>
          <cell r="D50">
            <v>3211.1</v>
          </cell>
          <cell r="E50">
            <v>65146.35</v>
          </cell>
        </row>
        <row r="51">
          <cell r="A51">
            <v>5481</v>
          </cell>
          <cell r="B51" t="str">
            <v>Dizy</v>
          </cell>
          <cell r="C51">
            <v>6578.96</v>
          </cell>
          <cell r="D51">
            <v>142.5</v>
          </cell>
          <cell r="E51">
            <v>6721.46</v>
          </cell>
        </row>
        <row r="52">
          <cell r="A52">
            <v>5482</v>
          </cell>
          <cell r="B52" t="str">
            <v>Eclépens</v>
          </cell>
          <cell r="C52">
            <v>106719.18</v>
          </cell>
          <cell r="D52">
            <v>29529.15</v>
          </cell>
          <cell r="E52">
            <v>136248.32999999999</v>
          </cell>
        </row>
        <row r="53">
          <cell r="A53">
            <v>5483</v>
          </cell>
          <cell r="B53" t="str">
            <v>Ferreyres</v>
          </cell>
          <cell r="C53">
            <v>-461.54</v>
          </cell>
          <cell r="D53">
            <v>104.3</v>
          </cell>
          <cell r="E53">
            <v>-357.24</v>
          </cell>
        </row>
        <row r="54">
          <cell r="A54">
            <v>5484</v>
          </cell>
          <cell r="B54" t="str">
            <v>Gollion</v>
          </cell>
          <cell r="C54">
            <v>66690.55</v>
          </cell>
          <cell r="D54">
            <v>4651.5</v>
          </cell>
          <cell r="E54">
            <v>71342.05</v>
          </cell>
        </row>
        <row r="55">
          <cell r="A55">
            <v>5485</v>
          </cell>
          <cell r="B55" t="str">
            <v>Grancy</v>
          </cell>
          <cell r="C55">
            <v>10310.870000000001</v>
          </cell>
          <cell r="D55">
            <v>168.6</v>
          </cell>
          <cell r="E55">
            <v>10479.470000000001</v>
          </cell>
        </row>
        <row r="56">
          <cell r="A56">
            <v>5486</v>
          </cell>
          <cell r="B56" t="str">
            <v>L'Isle</v>
          </cell>
          <cell r="C56">
            <v>43030.07</v>
          </cell>
          <cell r="D56">
            <v>-101.80000000000109</v>
          </cell>
          <cell r="E56">
            <v>42928.27</v>
          </cell>
        </row>
        <row r="57">
          <cell r="A57">
            <v>5487</v>
          </cell>
          <cell r="B57" t="str">
            <v>Lussery-Villars</v>
          </cell>
          <cell r="C57">
            <v>2422.02</v>
          </cell>
          <cell r="D57">
            <v>171.4</v>
          </cell>
          <cell r="E57">
            <v>2593.42</v>
          </cell>
        </row>
        <row r="58">
          <cell r="A58">
            <v>5488</v>
          </cell>
          <cell r="B58" t="str">
            <v>Mauraz</v>
          </cell>
          <cell r="C58">
            <v>114.26</v>
          </cell>
          <cell r="D58">
            <v>271.5</v>
          </cell>
          <cell r="E58">
            <v>385.76</v>
          </cell>
        </row>
        <row r="59">
          <cell r="A59">
            <v>5489</v>
          </cell>
          <cell r="B59" t="str">
            <v>Mex</v>
          </cell>
          <cell r="C59">
            <v>256482.28</v>
          </cell>
          <cell r="D59">
            <v>47798.549999999974</v>
          </cell>
          <cell r="E59">
            <v>304280.82999999996</v>
          </cell>
        </row>
        <row r="60">
          <cell r="A60">
            <v>5490</v>
          </cell>
          <cell r="B60" t="str">
            <v>Moiry</v>
          </cell>
          <cell r="C60">
            <v>77.34</v>
          </cell>
          <cell r="D60">
            <v>356</v>
          </cell>
          <cell r="E60">
            <v>433.34000000000003</v>
          </cell>
        </row>
        <row r="61">
          <cell r="A61">
            <v>5491</v>
          </cell>
          <cell r="B61" t="str">
            <v>Mont-la-Ville</v>
          </cell>
          <cell r="C61">
            <v>855.9</v>
          </cell>
          <cell r="D61">
            <v>2093.4000000000005</v>
          </cell>
          <cell r="E61">
            <v>2949.3000000000006</v>
          </cell>
        </row>
        <row r="62">
          <cell r="A62">
            <v>5492</v>
          </cell>
          <cell r="B62" t="str">
            <v>Montricher</v>
          </cell>
          <cell r="C62">
            <v>63660.46</v>
          </cell>
          <cell r="D62">
            <v>3404.3999999999978</v>
          </cell>
          <cell r="E62">
            <v>67064.86</v>
          </cell>
        </row>
        <row r="63">
          <cell r="A63">
            <v>5493</v>
          </cell>
          <cell r="B63" t="str">
            <v>Orny</v>
          </cell>
          <cell r="C63">
            <v>1386.88</v>
          </cell>
          <cell r="D63">
            <v>814.59999999999968</v>
          </cell>
          <cell r="E63">
            <v>2201.4799999999996</v>
          </cell>
        </row>
        <row r="64">
          <cell r="A64">
            <v>5494</v>
          </cell>
          <cell r="B64" t="str">
            <v>Pampigny</v>
          </cell>
          <cell r="C64">
            <v>18919.8</v>
          </cell>
          <cell r="D64">
            <v>2322.4</v>
          </cell>
          <cell r="E64">
            <v>21242.2</v>
          </cell>
        </row>
        <row r="65">
          <cell r="A65">
            <v>5495</v>
          </cell>
          <cell r="B65" t="str">
            <v>Penthalaz</v>
          </cell>
          <cell r="C65">
            <v>70244.61</v>
          </cell>
          <cell r="D65">
            <v>-571.04999999999745</v>
          </cell>
          <cell r="E65">
            <v>69673.56</v>
          </cell>
        </row>
        <row r="66">
          <cell r="A66">
            <v>5496</v>
          </cell>
          <cell r="B66" t="str">
            <v>Penthaz</v>
          </cell>
          <cell r="C66">
            <v>58714.239999999998</v>
          </cell>
          <cell r="D66">
            <v>18478.400000000009</v>
          </cell>
          <cell r="E66">
            <v>77192.640000000014</v>
          </cell>
        </row>
        <row r="67">
          <cell r="A67">
            <v>5497</v>
          </cell>
          <cell r="B67" t="str">
            <v>Pompaples</v>
          </cell>
          <cell r="C67">
            <v>3595.62</v>
          </cell>
          <cell r="D67">
            <v>569.79999999999995</v>
          </cell>
          <cell r="E67">
            <v>4165.42</v>
          </cell>
        </row>
        <row r="68">
          <cell r="A68">
            <v>5498</v>
          </cell>
          <cell r="B68" t="str">
            <v>La Sarraz</v>
          </cell>
          <cell r="C68">
            <v>72882.87</v>
          </cell>
          <cell r="D68">
            <v>1761.099999999999</v>
          </cell>
          <cell r="E68">
            <v>74643.97</v>
          </cell>
        </row>
        <row r="69">
          <cell r="A69">
            <v>5499</v>
          </cell>
          <cell r="B69" t="str">
            <v>Senarclens</v>
          </cell>
          <cell r="C69">
            <v>8467.48</v>
          </cell>
          <cell r="D69">
            <v>1140.1500000000001</v>
          </cell>
          <cell r="E69">
            <v>9607.6299999999992</v>
          </cell>
        </row>
        <row r="70">
          <cell r="A70">
            <v>5500</v>
          </cell>
          <cell r="B70" t="str">
            <v>Sévery</v>
          </cell>
          <cell r="C70">
            <v>2227.77</v>
          </cell>
          <cell r="D70">
            <v>578.5</v>
          </cell>
          <cell r="E70">
            <v>2806.27</v>
          </cell>
        </row>
        <row r="71">
          <cell r="A71">
            <v>5501</v>
          </cell>
          <cell r="B71" t="str">
            <v>Sullens</v>
          </cell>
          <cell r="C71">
            <v>21732.49</v>
          </cell>
          <cell r="D71">
            <v>1608.9</v>
          </cell>
          <cell r="E71">
            <v>23341.390000000003</v>
          </cell>
        </row>
        <row r="72">
          <cell r="A72">
            <v>5503</v>
          </cell>
          <cell r="B72" t="str">
            <v>Vufflens-la-Ville</v>
          </cell>
          <cell r="C72">
            <v>335351.82</v>
          </cell>
          <cell r="D72">
            <v>-10321.000000000005</v>
          </cell>
          <cell r="E72">
            <v>325030.82</v>
          </cell>
        </row>
        <row r="73">
          <cell r="A73">
            <v>5511</v>
          </cell>
          <cell r="B73" t="str">
            <v>Assens</v>
          </cell>
          <cell r="C73">
            <v>130748.68</v>
          </cell>
          <cell r="D73">
            <v>1693.7999999999995</v>
          </cell>
          <cell r="E73">
            <v>132442.47999999998</v>
          </cell>
        </row>
        <row r="74">
          <cell r="A74">
            <v>5512</v>
          </cell>
          <cell r="B74" t="str">
            <v>Bercher</v>
          </cell>
          <cell r="C74">
            <v>57902.63</v>
          </cell>
          <cell r="D74">
            <v>1042.8999999999999</v>
          </cell>
          <cell r="E74">
            <v>58945.53</v>
          </cell>
        </row>
        <row r="75">
          <cell r="A75">
            <v>5513</v>
          </cell>
          <cell r="B75" t="str">
            <v>Bioley-Orjulaz</v>
          </cell>
          <cell r="C75">
            <v>198928.68</v>
          </cell>
          <cell r="D75">
            <v>21339.299999999996</v>
          </cell>
          <cell r="E75">
            <v>220267.97999999998</v>
          </cell>
        </row>
        <row r="76">
          <cell r="A76">
            <v>5514</v>
          </cell>
          <cell r="B76" t="str">
            <v>Bottens</v>
          </cell>
          <cell r="C76">
            <v>12777.21</v>
          </cell>
          <cell r="D76">
            <v>7935.9500000000007</v>
          </cell>
          <cell r="E76">
            <v>20713.16</v>
          </cell>
        </row>
        <row r="77">
          <cell r="A77">
            <v>5515</v>
          </cell>
          <cell r="B77" t="str">
            <v>Bretigny-sur-Morrens</v>
          </cell>
          <cell r="C77">
            <v>4085.71</v>
          </cell>
          <cell r="D77">
            <v>299.5</v>
          </cell>
          <cell r="E77">
            <v>4385.21</v>
          </cell>
        </row>
        <row r="78">
          <cell r="A78">
            <v>5516</v>
          </cell>
          <cell r="B78" t="str">
            <v>Cugy</v>
          </cell>
          <cell r="C78">
            <v>112082.26</v>
          </cell>
          <cell r="D78">
            <v>4580.3500000000031</v>
          </cell>
          <cell r="E78">
            <v>116662.61</v>
          </cell>
        </row>
        <row r="79">
          <cell r="A79">
            <v>5518</v>
          </cell>
          <cell r="B79" t="str">
            <v>Echallens</v>
          </cell>
          <cell r="C79">
            <v>672363.99</v>
          </cell>
          <cell r="D79">
            <v>87133.400000000038</v>
          </cell>
          <cell r="E79">
            <v>759497.39</v>
          </cell>
        </row>
        <row r="80">
          <cell r="A80">
            <v>5520</v>
          </cell>
          <cell r="B80" t="str">
            <v>Essertines-sur-Yverdon</v>
          </cell>
          <cell r="C80">
            <v>4576.04</v>
          </cell>
          <cell r="D80">
            <v>2690.800000000002</v>
          </cell>
          <cell r="E80">
            <v>7266.840000000002</v>
          </cell>
        </row>
        <row r="81">
          <cell r="A81">
            <v>5521</v>
          </cell>
          <cell r="B81" t="str">
            <v>Etagnières</v>
          </cell>
          <cell r="C81">
            <v>68485.179999999993</v>
          </cell>
          <cell r="D81">
            <v>1274.9000000000001</v>
          </cell>
          <cell r="E81">
            <v>69760.079999999987</v>
          </cell>
        </row>
        <row r="82">
          <cell r="A82">
            <v>5522</v>
          </cell>
          <cell r="B82" t="str">
            <v>Fey</v>
          </cell>
          <cell r="C82">
            <v>23248.52</v>
          </cell>
          <cell r="D82">
            <v>641.79999999999995</v>
          </cell>
          <cell r="E82">
            <v>23890.32</v>
          </cell>
        </row>
        <row r="83">
          <cell r="A83">
            <v>5523</v>
          </cell>
          <cell r="B83" t="str">
            <v>Froideville</v>
          </cell>
          <cell r="C83">
            <v>14410.36</v>
          </cell>
          <cell r="D83">
            <v>5475.2000000000016</v>
          </cell>
          <cell r="E83">
            <v>19885.560000000001</v>
          </cell>
        </row>
        <row r="84">
          <cell r="A84">
            <v>5527</v>
          </cell>
          <cell r="B84" t="str">
            <v>Morrens</v>
          </cell>
          <cell r="C84">
            <v>6642.61</v>
          </cell>
          <cell r="D84">
            <v>3030.25</v>
          </cell>
          <cell r="E84">
            <v>9672.86</v>
          </cell>
        </row>
        <row r="85">
          <cell r="A85">
            <v>5529</v>
          </cell>
          <cell r="B85" t="str">
            <v>Oulens-sous-Echallens</v>
          </cell>
          <cell r="C85">
            <v>5408.6</v>
          </cell>
          <cell r="D85">
            <v>1214.5999999999999</v>
          </cell>
          <cell r="E85">
            <v>6623.2000000000007</v>
          </cell>
        </row>
        <row r="86">
          <cell r="A86">
            <v>5530</v>
          </cell>
          <cell r="B86" t="str">
            <v>Pailly</v>
          </cell>
          <cell r="C86">
            <v>60005.37</v>
          </cell>
          <cell r="D86">
            <v>376.00000000000011</v>
          </cell>
          <cell r="E86">
            <v>60381.37</v>
          </cell>
        </row>
        <row r="87">
          <cell r="A87">
            <v>5531</v>
          </cell>
          <cell r="B87" t="str">
            <v>Penthéréaz</v>
          </cell>
          <cell r="C87">
            <v>2524.2199999999998</v>
          </cell>
          <cell r="D87">
            <v>767.19999999999993</v>
          </cell>
          <cell r="E87">
            <v>3291.4199999999996</v>
          </cell>
        </row>
        <row r="88">
          <cell r="A88">
            <v>5533</v>
          </cell>
          <cell r="B88" t="str">
            <v>Poliez-Pittet</v>
          </cell>
          <cell r="C88">
            <v>50947.55</v>
          </cell>
          <cell r="D88">
            <v>568.79999999999995</v>
          </cell>
          <cell r="E88">
            <v>51516.350000000006</v>
          </cell>
        </row>
        <row r="89">
          <cell r="A89">
            <v>5534</v>
          </cell>
          <cell r="B89" t="str">
            <v>Rueyres</v>
          </cell>
          <cell r="C89">
            <v>43999.49</v>
          </cell>
          <cell r="D89">
            <v>3868.4</v>
          </cell>
          <cell r="E89">
            <v>47867.89</v>
          </cell>
        </row>
        <row r="90">
          <cell r="A90">
            <v>5535</v>
          </cell>
          <cell r="B90" t="str">
            <v>Saint-Barthélemy</v>
          </cell>
          <cell r="C90">
            <v>9536.7999999999993</v>
          </cell>
          <cell r="D90">
            <v>5808.9000000000005</v>
          </cell>
          <cell r="E90">
            <v>15345.7</v>
          </cell>
        </row>
        <row r="91">
          <cell r="A91">
            <v>5537</v>
          </cell>
          <cell r="B91" t="str">
            <v>Villars-le-Terroir</v>
          </cell>
          <cell r="C91">
            <v>20319.46</v>
          </cell>
          <cell r="D91">
            <v>332.5</v>
          </cell>
          <cell r="E91">
            <v>20651.96</v>
          </cell>
        </row>
        <row r="92">
          <cell r="A92">
            <v>5539</v>
          </cell>
          <cell r="B92" t="str">
            <v>Vuarrens</v>
          </cell>
          <cell r="C92">
            <v>4407.1400000000003</v>
          </cell>
          <cell r="D92">
            <v>1123.7999999999997</v>
          </cell>
          <cell r="E92">
            <v>5530.9400000000005</v>
          </cell>
        </row>
        <row r="93">
          <cell r="A93">
            <v>5540</v>
          </cell>
          <cell r="B93" t="str">
            <v>Montilliez</v>
          </cell>
          <cell r="C93">
            <v>50157.31</v>
          </cell>
          <cell r="D93">
            <v>4683</v>
          </cell>
          <cell r="E93">
            <v>54840.31</v>
          </cell>
        </row>
        <row r="94">
          <cell r="A94">
            <v>5541</v>
          </cell>
          <cell r="B94" t="str">
            <v>Goumoëns</v>
          </cell>
          <cell r="C94">
            <v>36866.370000000003</v>
          </cell>
          <cell r="D94">
            <v>2382</v>
          </cell>
          <cell r="E94">
            <v>39248.370000000003</v>
          </cell>
        </row>
        <row r="95">
          <cell r="A95">
            <v>5551</v>
          </cell>
          <cell r="B95" t="str">
            <v>Bonvillars</v>
          </cell>
          <cell r="C95">
            <v>9652.09</v>
          </cell>
          <cell r="D95">
            <v>396.9</v>
          </cell>
          <cell r="E95">
            <v>10048.99</v>
          </cell>
        </row>
        <row r="96">
          <cell r="A96">
            <v>5552</v>
          </cell>
          <cell r="B96" t="str">
            <v>Bullet</v>
          </cell>
          <cell r="C96">
            <v>12442.87</v>
          </cell>
          <cell r="D96">
            <v>2742</v>
          </cell>
          <cell r="E96">
            <v>15184.87</v>
          </cell>
        </row>
        <row r="97">
          <cell r="A97">
            <v>5553</v>
          </cell>
          <cell r="B97" t="str">
            <v>Champagne</v>
          </cell>
          <cell r="C97">
            <v>36697.58</v>
          </cell>
          <cell r="D97">
            <v>22916.25</v>
          </cell>
          <cell r="E97">
            <v>59613.83</v>
          </cell>
        </row>
        <row r="98">
          <cell r="A98">
            <v>5554</v>
          </cell>
          <cell r="B98" t="str">
            <v>Concise</v>
          </cell>
          <cell r="C98">
            <v>4754.95</v>
          </cell>
          <cell r="D98">
            <v>1246.9000000000001</v>
          </cell>
          <cell r="E98">
            <v>6001.85</v>
          </cell>
        </row>
        <row r="99">
          <cell r="A99">
            <v>5555</v>
          </cell>
          <cell r="B99" t="str">
            <v>Corcelles-près-Concise</v>
          </cell>
          <cell r="C99">
            <v>3978.5</v>
          </cell>
          <cell r="D99">
            <v>4125.5000000000055</v>
          </cell>
          <cell r="E99">
            <v>8104.0000000000055</v>
          </cell>
        </row>
        <row r="100">
          <cell r="A100">
            <v>5556</v>
          </cell>
          <cell r="B100" t="str">
            <v>Fiez</v>
          </cell>
          <cell r="C100">
            <v>569.41999999999996</v>
          </cell>
          <cell r="D100">
            <v>30.300000000000004</v>
          </cell>
          <cell r="E100">
            <v>599.71999999999991</v>
          </cell>
        </row>
        <row r="101">
          <cell r="A101">
            <v>5557</v>
          </cell>
          <cell r="B101" t="str">
            <v>Fontaines-sur-Grandson</v>
          </cell>
          <cell r="C101">
            <v>3930.33</v>
          </cell>
          <cell r="D101">
            <v>325.50000000000006</v>
          </cell>
          <cell r="E101">
            <v>4255.83</v>
          </cell>
        </row>
        <row r="102">
          <cell r="A102">
            <v>5559</v>
          </cell>
          <cell r="B102" t="str">
            <v>Giez</v>
          </cell>
          <cell r="C102">
            <v>-69588.289999999994</v>
          </cell>
          <cell r="D102">
            <v>3311.9999999999995</v>
          </cell>
          <cell r="E102">
            <v>-66276.289999999994</v>
          </cell>
        </row>
        <row r="103">
          <cell r="A103">
            <v>5560</v>
          </cell>
          <cell r="B103" t="str">
            <v>Grandevent</v>
          </cell>
          <cell r="C103">
            <v>364.24</v>
          </cell>
          <cell r="D103">
            <v>9.2000000000000064</v>
          </cell>
          <cell r="E103">
            <v>373.44</v>
          </cell>
        </row>
        <row r="104">
          <cell r="A104">
            <v>5561</v>
          </cell>
          <cell r="B104" t="str">
            <v>Grandson</v>
          </cell>
          <cell r="C104">
            <v>127487.27</v>
          </cell>
          <cell r="D104">
            <v>13315.400000000005</v>
          </cell>
          <cell r="E104">
            <v>140802.67000000001</v>
          </cell>
        </row>
        <row r="105">
          <cell r="A105">
            <v>5562</v>
          </cell>
          <cell r="B105" t="str">
            <v>Mauborget</v>
          </cell>
          <cell r="C105">
            <v>1063.22</v>
          </cell>
          <cell r="D105">
            <v>114.10000000000001</v>
          </cell>
          <cell r="E105">
            <v>1177.32</v>
          </cell>
        </row>
        <row r="106">
          <cell r="A106">
            <v>5563</v>
          </cell>
          <cell r="B106" t="str">
            <v>Mutrux</v>
          </cell>
          <cell r="C106">
            <v>368.67</v>
          </cell>
          <cell r="D106">
            <v>22.5</v>
          </cell>
          <cell r="E106">
            <v>391.17</v>
          </cell>
        </row>
        <row r="107">
          <cell r="A107">
            <v>5564</v>
          </cell>
          <cell r="B107" t="str">
            <v>Novalles</v>
          </cell>
          <cell r="C107">
            <v>100.72</v>
          </cell>
          <cell r="D107">
            <v>23.7</v>
          </cell>
          <cell r="E107">
            <v>124.42</v>
          </cell>
        </row>
        <row r="108">
          <cell r="A108">
            <v>5565</v>
          </cell>
          <cell r="B108" t="str">
            <v>Onnens</v>
          </cell>
          <cell r="C108">
            <v>45585.59</v>
          </cell>
          <cell r="D108">
            <v>7621.9000000000015</v>
          </cell>
          <cell r="E108">
            <v>53207.49</v>
          </cell>
        </row>
        <row r="109">
          <cell r="A109">
            <v>5566</v>
          </cell>
          <cell r="B109" t="str">
            <v>Provence</v>
          </cell>
          <cell r="C109">
            <v>2962.59</v>
          </cell>
          <cell r="D109">
            <v>3602.7000000000003</v>
          </cell>
          <cell r="E109">
            <v>6565.2900000000009</v>
          </cell>
        </row>
        <row r="110">
          <cell r="A110">
            <v>5568</v>
          </cell>
          <cell r="B110" t="str">
            <v>Sainte-Croix</v>
          </cell>
          <cell r="C110">
            <v>114964.08</v>
          </cell>
          <cell r="D110">
            <v>33118.550000000017</v>
          </cell>
          <cell r="E110">
            <v>148082.63</v>
          </cell>
        </row>
        <row r="111">
          <cell r="A111">
            <v>5571</v>
          </cell>
          <cell r="B111" t="str">
            <v>Tévenon</v>
          </cell>
          <cell r="C111">
            <v>2646.85</v>
          </cell>
          <cell r="D111">
            <v>310.09999999999997</v>
          </cell>
          <cell r="E111">
            <v>2956.95</v>
          </cell>
        </row>
        <row r="112">
          <cell r="A112">
            <v>5581</v>
          </cell>
          <cell r="B112" t="str">
            <v>Belmont-sur-Lausanne</v>
          </cell>
          <cell r="C112">
            <v>68111.53</v>
          </cell>
          <cell r="D112">
            <v>4820.2999999999993</v>
          </cell>
          <cell r="E112">
            <v>72931.83</v>
          </cell>
        </row>
        <row r="113">
          <cell r="A113">
            <v>5582</v>
          </cell>
          <cell r="B113" t="str">
            <v>Cheseaux-sur-Lausanne</v>
          </cell>
          <cell r="C113">
            <v>334889.51</v>
          </cell>
          <cell r="D113">
            <v>500007.35</v>
          </cell>
          <cell r="E113">
            <v>834896.86</v>
          </cell>
        </row>
        <row r="114">
          <cell r="A114">
            <v>5583</v>
          </cell>
          <cell r="B114" t="str">
            <v>Crissier</v>
          </cell>
          <cell r="C114">
            <v>1888111.64</v>
          </cell>
          <cell r="D114">
            <v>408488.79999999964</v>
          </cell>
          <cell r="E114">
            <v>2296600.4399999995</v>
          </cell>
        </row>
        <row r="115">
          <cell r="A115">
            <v>5584</v>
          </cell>
          <cell r="B115" t="str">
            <v>Epalinges</v>
          </cell>
          <cell r="C115">
            <v>229868.99</v>
          </cell>
          <cell r="D115">
            <v>-1005849.9999999992</v>
          </cell>
          <cell r="E115">
            <v>-775981.00999999919</v>
          </cell>
        </row>
        <row r="116">
          <cell r="A116">
            <v>5585</v>
          </cell>
          <cell r="B116" t="str">
            <v>Jouxtens-Mézery</v>
          </cell>
          <cell r="C116">
            <v>13058.37</v>
          </cell>
          <cell r="D116">
            <v>1302.7</v>
          </cell>
          <cell r="E116">
            <v>14361.070000000002</v>
          </cell>
        </row>
        <row r="117">
          <cell r="A117">
            <v>5586</v>
          </cell>
          <cell r="B117" t="str">
            <v>Lausanne</v>
          </cell>
          <cell r="C117">
            <v>49762554.890000001</v>
          </cell>
          <cell r="D117">
            <v>9783549.0500000082</v>
          </cell>
          <cell r="E117">
            <v>59546103.940000013</v>
          </cell>
        </row>
        <row r="118">
          <cell r="A118">
            <v>5587</v>
          </cell>
          <cell r="B118" t="str">
            <v>Le Mont-sur-Lausanne</v>
          </cell>
          <cell r="C118">
            <v>1108768.8999999999</v>
          </cell>
          <cell r="D118">
            <v>1263967.4000000008</v>
          </cell>
          <cell r="E118">
            <v>2372736.3000000007</v>
          </cell>
        </row>
        <row r="119">
          <cell r="A119">
            <v>5588</v>
          </cell>
          <cell r="B119" t="str">
            <v>Paudex</v>
          </cell>
          <cell r="C119">
            <v>435932.86</v>
          </cell>
          <cell r="D119">
            <v>434790.90000000055</v>
          </cell>
          <cell r="E119">
            <v>870723.76000000047</v>
          </cell>
        </row>
        <row r="120">
          <cell r="A120">
            <v>5589</v>
          </cell>
          <cell r="B120" t="str">
            <v>Prilly</v>
          </cell>
          <cell r="C120">
            <v>3417722.15</v>
          </cell>
          <cell r="D120">
            <v>360475.14999999909</v>
          </cell>
          <cell r="E120">
            <v>3778197.2999999989</v>
          </cell>
        </row>
        <row r="121">
          <cell r="A121">
            <v>5590</v>
          </cell>
          <cell r="B121" t="str">
            <v>Pully</v>
          </cell>
          <cell r="C121">
            <v>3641966.34</v>
          </cell>
          <cell r="D121">
            <v>463272.49999999948</v>
          </cell>
          <cell r="E121">
            <v>4105238.8399999994</v>
          </cell>
        </row>
        <row r="122">
          <cell r="A122">
            <v>5591</v>
          </cell>
          <cell r="B122" t="str">
            <v>Renens</v>
          </cell>
          <cell r="C122">
            <v>2655780.08</v>
          </cell>
          <cell r="D122">
            <v>998089.00000000058</v>
          </cell>
          <cell r="E122">
            <v>3653869.0800000005</v>
          </cell>
        </row>
        <row r="123">
          <cell r="A123">
            <v>5592</v>
          </cell>
          <cell r="B123" t="str">
            <v>Romanel-sur-Lausanne</v>
          </cell>
          <cell r="C123">
            <v>366218.13</v>
          </cell>
          <cell r="D123">
            <v>56937.399999999994</v>
          </cell>
          <cell r="E123">
            <v>423155.53</v>
          </cell>
        </row>
        <row r="124">
          <cell r="A124">
            <v>5601</v>
          </cell>
          <cell r="B124" t="str">
            <v>Chexbres</v>
          </cell>
          <cell r="C124">
            <v>58141.19</v>
          </cell>
          <cell r="D124">
            <v>6863.199999999998</v>
          </cell>
          <cell r="E124">
            <v>65004.39</v>
          </cell>
        </row>
        <row r="125">
          <cell r="A125">
            <v>5604</v>
          </cell>
          <cell r="B125" t="str">
            <v>Forel (Lavaux)</v>
          </cell>
          <cell r="C125">
            <v>194379.22</v>
          </cell>
          <cell r="D125">
            <v>3024.1000000000008</v>
          </cell>
          <cell r="E125">
            <v>197403.32</v>
          </cell>
        </row>
        <row r="126">
          <cell r="A126">
            <v>5606</v>
          </cell>
          <cell r="B126" t="str">
            <v>Lutry</v>
          </cell>
          <cell r="C126">
            <v>860319.08</v>
          </cell>
          <cell r="D126">
            <v>112658.05000000018</v>
          </cell>
          <cell r="E126">
            <v>972977.13000000012</v>
          </cell>
        </row>
        <row r="127">
          <cell r="A127">
            <v>5607</v>
          </cell>
          <cell r="B127" t="str">
            <v>Puidoux</v>
          </cell>
          <cell r="C127">
            <v>369585.69</v>
          </cell>
          <cell r="D127">
            <v>87735.400000000009</v>
          </cell>
          <cell r="E127">
            <v>457321.09</v>
          </cell>
        </row>
        <row r="128">
          <cell r="A128">
            <v>5609</v>
          </cell>
          <cell r="B128" t="str">
            <v>Rivaz</v>
          </cell>
          <cell r="C128">
            <v>3244.1</v>
          </cell>
          <cell r="D128">
            <v>436.49999999999994</v>
          </cell>
          <cell r="E128">
            <v>3680.6</v>
          </cell>
        </row>
        <row r="129">
          <cell r="A129">
            <v>5610</v>
          </cell>
          <cell r="B129" t="str">
            <v>St-Saphorin (Lavaux)</v>
          </cell>
          <cell r="C129">
            <v>3156.62</v>
          </cell>
          <cell r="D129">
            <v>2952.1000000000008</v>
          </cell>
          <cell r="E129">
            <v>6108.7200000000012</v>
          </cell>
        </row>
        <row r="130">
          <cell r="A130">
            <v>5611</v>
          </cell>
          <cell r="B130" t="str">
            <v>Savigny</v>
          </cell>
          <cell r="C130">
            <v>210060.08</v>
          </cell>
          <cell r="D130">
            <v>15766.39999999998</v>
          </cell>
          <cell r="E130">
            <v>225826.47999999998</v>
          </cell>
        </row>
        <row r="131">
          <cell r="A131">
            <v>5613</v>
          </cell>
          <cell r="B131" t="str">
            <v>Bourg-en-Lavaux</v>
          </cell>
          <cell r="C131">
            <v>112411.91</v>
          </cell>
          <cell r="D131">
            <v>52865.199999999983</v>
          </cell>
          <cell r="E131">
            <v>165277.10999999999</v>
          </cell>
        </row>
        <row r="132">
          <cell r="A132">
            <v>5621</v>
          </cell>
          <cell r="B132" t="str">
            <v>Aclens</v>
          </cell>
          <cell r="C132">
            <v>235006.09</v>
          </cell>
          <cell r="D132">
            <v>10064.749999999995</v>
          </cell>
          <cell r="E132">
            <v>245070.84</v>
          </cell>
        </row>
        <row r="133">
          <cell r="A133">
            <v>5622</v>
          </cell>
          <cell r="B133" t="str">
            <v>Bremblens</v>
          </cell>
          <cell r="C133">
            <v>95896.7</v>
          </cell>
          <cell r="D133">
            <v>1520.95</v>
          </cell>
          <cell r="E133">
            <v>97417.65</v>
          </cell>
        </row>
        <row r="134">
          <cell r="A134">
            <v>5623</v>
          </cell>
          <cell r="B134" t="str">
            <v>Buchillon</v>
          </cell>
          <cell r="C134">
            <v>26666.77</v>
          </cell>
          <cell r="D134">
            <v>192857.69999999998</v>
          </cell>
          <cell r="E134">
            <v>219524.46999999997</v>
          </cell>
        </row>
        <row r="135">
          <cell r="A135">
            <v>5624</v>
          </cell>
          <cell r="B135" t="str">
            <v>Bussigny</v>
          </cell>
          <cell r="C135">
            <v>1879636.22</v>
          </cell>
          <cell r="D135">
            <v>205897.24999999956</v>
          </cell>
          <cell r="E135">
            <v>2085533.4699999995</v>
          </cell>
        </row>
        <row r="136">
          <cell r="A136">
            <v>5625</v>
          </cell>
          <cell r="B136" t="str">
            <v>Bussy-Chardonney</v>
          </cell>
          <cell r="C136">
            <v>11338.57</v>
          </cell>
          <cell r="D136">
            <v>405.70000000000005</v>
          </cell>
          <cell r="E136">
            <v>11744.27</v>
          </cell>
        </row>
        <row r="137">
          <cell r="A137">
            <v>5627</v>
          </cell>
          <cell r="B137" t="str">
            <v>Chavannes-près-Renens</v>
          </cell>
          <cell r="C137">
            <v>812660.71</v>
          </cell>
          <cell r="D137">
            <v>193551.34999999989</v>
          </cell>
          <cell r="E137">
            <v>1006212.0599999998</v>
          </cell>
        </row>
        <row r="138">
          <cell r="A138">
            <v>5628</v>
          </cell>
          <cell r="B138" t="str">
            <v>Chigny</v>
          </cell>
          <cell r="C138">
            <v>222.89</v>
          </cell>
          <cell r="D138">
            <v>547.1</v>
          </cell>
          <cell r="E138">
            <v>769.99</v>
          </cell>
        </row>
        <row r="139">
          <cell r="A139">
            <v>5629</v>
          </cell>
          <cell r="B139" t="str">
            <v>Clarmont</v>
          </cell>
          <cell r="C139">
            <v>5503.02</v>
          </cell>
          <cell r="D139">
            <v>281.29999999999995</v>
          </cell>
          <cell r="E139">
            <v>5784.3200000000006</v>
          </cell>
        </row>
        <row r="140">
          <cell r="A140">
            <v>5631</v>
          </cell>
          <cell r="B140" t="str">
            <v>Denens</v>
          </cell>
          <cell r="C140">
            <v>10028.08</v>
          </cell>
          <cell r="D140">
            <v>11181.950000000003</v>
          </cell>
          <cell r="E140">
            <v>21210.030000000002</v>
          </cell>
        </row>
        <row r="141">
          <cell r="A141">
            <v>5632</v>
          </cell>
          <cell r="B141" t="str">
            <v>Denges</v>
          </cell>
          <cell r="C141">
            <v>70734.67</v>
          </cell>
          <cell r="D141">
            <v>17453.949999999993</v>
          </cell>
          <cell r="E141">
            <v>88188.62</v>
          </cell>
        </row>
        <row r="142">
          <cell r="A142">
            <v>5633</v>
          </cell>
          <cell r="B142" t="str">
            <v>Echandens</v>
          </cell>
          <cell r="C142">
            <v>167649.34</v>
          </cell>
          <cell r="D142">
            <v>176839.14999999994</v>
          </cell>
          <cell r="E142">
            <v>344488.48999999993</v>
          </cell>
        </row>
        <row r="143">
          <cell r="A143">
            <v>5634</v>
          </cell>
          <cell r="B143" t="str">
            <v>Echichens</v>
          </cell>
          <cell r="C143">
            <v>47410.43</v>
          </cell>
          <cell r="D143">
            <v>9671.3999999999978</v>
          </cell>
          <cell r="E143">
            <v>57081.83</v>
          </cell>
        </row>
        <row r="144">
          <cell r="A144">
            <v>5635</v>
          </cell>
          <cell r="B144" t="str">
            <v>Ecublens</v>
          </cell>
          <cell r="C144">
            <v>1300933.29</v>
          </cell>
          <cell r="D144">
            <v>1315788.9499999983</v>
          </cell>
          <cell r="E144">
            <v>2616722.2399999984</v>
          </cell>
        </row>
        <row r="145">
          <cell r="A145">
            <v>5636</v>
          </cell>
          <cell r="B145" t="str">
            <v>Etoy</v>
          </cell>
          <cell r="C145">
            <v>581604.23</v>
          </cell>
          <cell r="D145">
            <v>449951.39999999997</v>
          </cell>
          <cell r="E145">
            <v>1031555.6299999999</v>
          </cell>
        </row>
        <row r="146">
          <cell r="A146">
            <v>5637</v>
          </cell>
          <cell r="B146" t="str">
            <v>Lavigny</v>
          </cell>
          <cell r="C146">
            <v>18097.849999999999</v>
          </cell>
          <cell r="D146">
            <v>401.29999999999973</v>
          </cell>
          <cell r="E146">
            <v>18499.149999999998</v>
          </cell>
        </row>
        <row r="147">
          <cell r="A147">
            <v>5638</v>
          </cell>
          <cell r="B147" t="str">
            <v>Lonay</v>
          </cell>
          <cell r="C147">
            <v>511394.87</v>
          </cell>
          <cell r="D147">
            <v>148694.14999999982</v>
          </cell>
          <cell r="E147">
            <v>660089.01999999979</v>
          </cell>
        </row>
        <row r="148">
          <cell r="A148">
            <v>5639</v>
          </cell>
          <cell r="B148" t="str">
            <v>Lully</v>
          </cell>
          <cell r="C148">
            <v>37646.54</v>
          </cell>
          <cell r="D148">
            <v>3467.3</v>
          </cell>
          <cell r="E148">
            <v>41113.840000000004</v>
          </cell>
        </row>
        <row r="149">
          <cell r="A149">
            <v>5640</v>
          </cell>
          <cell r="B149" t="str">
            <v>Lussy-sur-Morges</v>
          </cell>
          <cell r="C149">
            <v>50397.46</v>
          </cell>
          <cell r="D149">
            <v>4580.7999999999993</v>
          </cell>
          <cell r="E149">
            <v>54978.259999999995</v>
          </cell>
        </row>
        <row r="150">
          <cell r="A150">
            <v>5642</v>
          </cell>
          <cell r="B150" t="str">
            <v>Morges</v>
          </cell>
          <cell r="C150">
            <v>4836646.3600000003</v>
          </cell>
          <cell r="D150">
            <v>-187486.85000000609</v>
          </cell>
          <cell r="E150">
            <v>4649159.5099999942</v>
          </cell>
        </row>
        <row r="151">
          <cell r="A151">
            <v>5643</v>
          </cell>
          <cell r="B151" t="str">
            <v>Préverenges</v>
          </cell>
          <cell r="C151">
            <v>342997.84</v>
          </cell>
          <cell r="D151">
            <v>40896.050000000083</v>
          </cell>
          <cell r="E151">
            <v>383893.89000000013</v>
          </cell>
        </row>
        <row r="152">
          <cell r="A152">
            <v>5644</v>
          </cell>
          <cell r="B152" t="str">
            <v>Reverolle</v>
          </cell>
          <cell r="C152">
            <v>15995.18</v>
          </cell>
          <cell r="D152">
            <v>129.69999999999996</v>
          </cell>
          <cell r="E152">
            <v>16124.880000000001</v>
          </cell>
        </row>
        <row r="153">
          <cell r="A153">
            <v>5645</v>
          </cell>
          <cell r="B153" t="str">
            <v>Romanel-sur-Morges</v>
          </cell>
          <cell r="C153">
            <v>35501.5</v>
          </cell>
          <cell r="D153">
            <v>4914.75</v>
          </cell>
          <cell r="E153">
            <v>40416.25</v>
          </cell>
        </row>
        <row r="154">
          <cell r="A154">
            <v>5646</v>
          </cell>
          <cell r="B154" t="str">
            <v>Saint-Prex</v>
          </cell>
          <cell r="C154">
            <v>747904.55</v>
          </cell>
          <cell r="D154">
            <v>12711881.44999999</v>
          </cell>
          <cell r="E154">
            <v>13459785.999999991</v>
          </cell>
        </row>
        <row r="155">
          <cell r="A155">
            <v>5648</v>
          </cell>
          <cell r="B155" t="str">
            <v>Saint-Sulpice</v>
          </cell>
          <cell r="C155">
            <v>371854.9</v>
          </cell>
          <cell r="D155">
            <v>440224.60000000009</v>
          </cell>
          <cell r="E155">
            <v>812079.50000000012</v>
          </cell>
        </row>
        <row r="156">
          <cell r="A156">
            <v>5649</v>
          </cell>
          <cell r="B156" t="str">
            <v>Tolochenaz</v>
          </cell>
          <cell r="C156">
            <v>4183357.94</v>
          </cell>
          <cell r="D156">
            <v>943568.20000000007</v>
          </cell>
          <cell r="E156">
            <v>5126926.1399999997</v>
          </cell>
        </row>
        <row r="157">
          <cell r="A157">
            <v>5650</v>
          </cell>
          <cell r="B157" t="str">
            <v>Vaux-sur-Morges</v>
          </cell>
          <cell r="C157">
            <v>11253.31</v>
          </cell>
          <cell r="D157">
            <v>31</v>
          </cell>
          <cell r="E157">
            <v>11284.31</v>
          </cell>
        </row>
        <row r="158">
          <cell r="A158">
            <v>5651</v>
          </cell>
          <cell r="B158" t="str">
            <v>Villars-Sainte-Croix</v>
          </cell>
          <cell r="C158">
            <v>320847.95</v>
          </cell>
          <cell r="D158">
            <v>1794.3</v>
          </cell>
          <cell r="E158">
            <v>322642.25</v>
          </cell>
        </row>
        <row r="159">
          <cell r="A159">
            <v>5652</v>
          </cell>
          <cell r="B159" t="str">
            <v>Villars-sous-Yens</v>
          </cell>
          <cell r="C159">
            <v>8232.7000000000007</v>
          </cell>
          <cell r="D159">
            <v>633.6</v>
          </cell>
          <cell r="E159">
            <v>8866.3000000000011</v>
          </cell>
        </row>
        <row r="160">
          <cell r="A160">
            <v>5653</v>
          </cell>
          <cell r="B160" t="str">
            <v>Vufflens-le-Château</v>
          </cell>
          <cell r="C160">
            <v>3250.13</v>
          </cell>
          <cell r="D160">
            <v>164.2</v>
          </cell>
          <cell r="E160">
            <v>3414.33</v>
          </cell>
        </row>
        <row r="161">
          <cell r="A161">
            <v>5654</v>
          </cell>
          <cell r="B161" t="str">
            <v>Vullierens</v>
          </cell>
          <cell r="C161">
            <v>12918</v>
          </cell>
          <cell r="D161">
            <v>1532.7</v>
          </cell>
          <cell r="E161">
            <v>14450.7</v>
          </cell>
        </row>
        <row r="162">
          <cell r="A162">
            <v>5655</v>
          </cell>
          <cell r="B162" t="str">
            <v>Yens</v>
          </cell>
          <cell r="C162">
            <v>66531.820000000007</v>
          </cell>
          <cell r="D162">
            <v>2374.3000000000002</v>
          </cell>
          <cell r="E162">
            <v>68906.12000000001</v>
          </cell>
        </row>
        <row r="163">
          <cell r="A163">
            <v>5661</v>
          </cell>
          <cell r="B163" t="str">
            <v>Boulens</v>
          </cell>
          <cell r="C163">
            <v>657.5</v>
          </cell>
          <cell r="D163">
            <v>231.3</v>
          </cell>
          <cell r="E163">
            <v>888.8</v>
          </cell>
        </row>
        <row r="164">
          <cell r="A164">
            <v>5663</v>
          </cell>
          <cell r="B164" t="str">
            <v>Bussy-sur-Moudon</v>
          </cell>
          <cell r="C164">
            <v>2304.3000000000002</v>
          </cell>
          <cell r="D164">
            <v>190.1</v>
          </cell>
          <cell r="E164">
            <v>2494.4</v>
          </cell>
        </row>
        <row r="165">
          <cell r="A165">
            <v>5665</v>
          </cell>
          <cell r="B165" t="str">
            <v>Chavannes-sur-Moudon</v>
          </cell>
          <cell r="C165">
            <v>1367.87</v>
          </cell>
          <cell r="D165">
            <v>8.6999999999999993</v>
          </cell>
          <cell r="E165">
            <v>1376.57</v>
          </cell>
        </row>
        <row r="166">
          <cell r="A166">
            <v>5669</v>
          </cell>
          <cell r="B166" t="str">
            <v>Curtilles</v>
          </cell>
          <cell r="C166">
            <v>127.62</v>
          </cell>
          <cell r="D166">
            <v>653.70000000000005</v>
          </cell>
          <cell r="E166">
            <v>781.32</v>
          </cell>
        </row>
        <row r="167">
          <cell r="A167">
            <v>5671</v>
          </cell>
          <cell r="B167" t="str">
            <v>Dompierre</v>
          </cell>
          <cell r="C167">
            <v>5123.1499999999996</v>
          </cell>
          <cell r="D167">
            <v>94.4</v>
          </cell>
          <cell r="E167">
            <v>5217.5499999999993</v>
          </cell>
        </row>
        <row r="168">
          <cell r="A168">
            <v>5673</v>
          </cell>
          <cell r="B168" t="str">
            <v>Hermenches</v>
          </cell>
          <cell r="C168">
            <v>-1075.3</v>
          </cell>
          <cell r="D168">
            <v>463.6</v>
          </cell>
          <cell r="E168">
            <v>-611.69999999999993</v>
          </cell>
        </row>
        <row r="169">
          <cell r="A169">
            <v>5674</v>
          </cell>
          <cell r="B169" t="str">
            <v>Lovatens</v>
          </cell>
          <cell r="C169">
            <v>225.64</v>
          </cell>
          <cell r="D169">
            <v>121.3</v>
          </cell>
          <cell r="E169">
            <v>346.94</v>
          </cell>
        </row>
        <row r="170">
          <cell r="A170">
            <v>5675</v>
          </cell>
          <cell r="B170" t="str">
            <v>Lucens</v>
          </cell>
          <cell r="C170">
            <v>195949.21000000002</v>
          </cell>
          <cell r="D170">
            <v>26995</v>
          </cell>
          <cell r="E170">
            <v>222944.21000000002</v>
          </cell>
        </row>
        <row r="171">
          <cell r="A171">
            <v>5678</v>
          </cell>
          <cell r="B171" t="str">
            <v>Moudon</v>
          </cell>
          <cell r="C171">
            <v>377884.48</v>
          </cell>
          <cell r="D171">
            <v>25788.75</v>
          </cell>
          <cell r="E171">
            <v>403673.23</v>
          </cell>
        </row>
        <row r="172">
          <cell r="A172">
            <v>5680</v>
          </cell>
          <cell r="B172" t="str">
            <v>Ogens</v>
          </cell>
          <cell r="C172">
            <v>3189.16</v>
          </cell>
          <cell r="D172">
            <v>187.3</v>
          </cell>
          <cell r="E172">
            <v>3376.46</v>
          </cell>
        </row>
        <row r="173">
          <cell r="A173">
            <v>5683</v>
          </cell>
          <cell r="B173" t="str">
            <v>Prévonloup</v>
          </cell>
          <cell r="C173">
            <v>3407.24</v>
          </cell>
          <cell r="D173">
            <v>21.8</v>
          </cell>
          <cell r="E173">
            <v>3429.04</v>
          </cell>
        </row>
        <row r="174">
          <cell r="A174">
            <v>5684</v>
          </cell>
          <cell r="B174" t="str">
            <v>Rossenges</v>
          </cell>
          <cell r="C174">
            <v>108.7</v>
          </cell>
          <cell r="D174">
            <v>7.2</v>
          </cell>
          <cell r="E174">
            <v>115.9</v>
          </cell>
        </row>
        <row r="175">
          <cell r="A175">
            <v>5688</v>
          </cell>
          <cell r="B175" t="str">
            <v>Syens</v>
          </cell>
          <cell r="C175">
            <v>16571.87</v>
          </cell>
          <cell r="D175">
            <v>253.3</v>
          </cell>
          <cell r="E175">
            <v>16825.169999999998</v>
          </cell>
        </row>
        <row r="176">
          <cell r="A176">
            <v>5690</v>
          </cell>
          <cell r="B176" t="str">
            <v>Villars-le-Comte</v>
          </cell>
          <cell r="C176">
            <v>322.38</v>
          </cell>
          <cell r="D176">
            <v>807.7</v>
          </cell>
          <cell r="E176">
            <v>1130.08</v>
          </cell>
        </row>
        <row r="177">
          <cell r="A177">
            <v>5692</v>
          </cell>
          <cell r="B177" t="str">
            <v>Vucherens</v>
          </cell>
          <cell r="C177">
            <v>6841.51</v>
          </cell>
          <cell r="D177">
            <v>251.7</v>
          </cell>
          <cell r="E177">
            <v>7093.21</v>
          </cell>
        </row>
        <row r="178">
          <cell r="A178">
            <v>5693</v>
          </cell>
          <cell r="B178" t="str">
            <v>Montanaire</v>
          </cell>
          <cell r="C178">
            <v>74292.460000000006</v>
          </cell>
          <cell r="D178">
            <v>3927.1000000000004</v>
          </cell>
          <cell r="E178">
            <v>78219.560000000012</v>
          </cell>
        </row>
        <row r="179">
          <cell r="A179">
            <v>5701</v>
          </cell>
          <cell r="B179" t="str">
            <v>Arnex-sur-Nyon</v>
          </cell>
          <cell r="C179">
            <v>14170.96</v>
          </cell>
          <cell r="D179">
            <v>59.4</v>
          </cell>
          <cell r="E179">
            <v>14230.359999999999</v>
          </cell>
        </row>
        <row r="180">
          <cell r="A180">
            <v>5702</v>
          </cell>
          <cell r="B180" t="str">
            <v>Arzier-Le Muids</v>
          </cell>
          <cell r="C180">
            <v>55254.92</v>
          </cell>
          <cell r="D180">
            <v>16183.25</v>
          </cell>
          <cell r="E180">
            <v>71438.17</v>
          </cell>
        </row>
        <row r="181">
          <cell r="A181">
            <v>5703</v>
          </cell>
          <cell r="B181" t="str">
            <v>Bassins</v>
          </cell>
          <cell r="C181">
            <v>5965.7</v>
          </cell>
          <cell r="D181">
            <v>847.5</v>
          </cell>
          <cell r="E181">
            <v>6813.2</v>
          </cell>
        </row>
        <row r="182">
          <cell r="A182">
            <v>5704</v>
          </cell>
          <cell r="B182" t="str">
            <v>Begnins</v>
          </cell>
          <cell r="C182">
            <v>78619.89</v>
          </cell>
          <cell r="D182">
            <v>7186.35</v>
          </cell>
          <cell r="E182">
            <v>85806.24</v>
          </cell>
        </row>
        <row r="183">
          <cell r="A183">
            <v>5705</v>
          </cell>
          <cell r="B183" t="str">
            <v>Bogis-Bossey</v>
          </cell>
          <cell r="C183">
            <v>7787.54</v>
          </cell>
          <cell r="D183">
            <v>1530.05</v>
          </cell>
          <cell r="E183">
            <v>9317.59</v>
          </cell>
        </row>
        <row r="184">
          <cell r="A184">
            <v>5706</v>
          </cell>
          <cell r="B184" t="str">
            <v>Borex</v>
          </cell>
          <cell r="C184">
            <v>2011.94</v>
          </cell>
          <cell r="D184">
            <v>723.1</v>
          </cell>
          <cell r="E184">
            <v>2735.04</v>
          </cell>
        </row>
        <row r="185">
          <cell r="A185">
            <v>5707</v>
          </cell>
          <cell r="B185" t="str">
            <v>Chavannes-de-Bogis</v>
          </cell>
          <cell r="C185">
            <v>117332.78</v>
          </cell>
          <cell r="D185">
            <v>20680.5</v>
          </cell>
          <cell r="E185">
            <v>138013.28</v>
          </cell>
        </row>
        <row r="186">
          <cell r="A186">
            <v>5708</v>
          </cell>
          <cell r="B186" t="str">
            <v>Chavannes-des-Bois</v>
          </cell>
          <cell r="C186">
            <v>-5138.12</v>
          </cell>
          <cell r="D186">
            <v>11490.7</v>
          </cell>
          <cell r="E186">
            <v>6352.5800000000008</v>
          </cell>
        </row>
        <row r="187">
          <cell r="A187">
            <v>5709</v>
          </cell>
          <cell r="B187" t="str">
            <v>Chéserex</v>
          </cell>
          <cell r="C187">
            <v>-78089.490000000005</v>
          </cell>
          <cell r="D187">
            <v>12293.25</v>
          </cell>
          <cell r="E187">
            <v>-65796.240000000005</v>
          </cell>
        </row>
        <row r="188">
          <cell r="A188">
            <v>5710</v>
          </cell>
          <cell r="B188" t="str">
            <v>Coinsins</v>
          </cell>
          <cell r="C188">
            <v>1457651.58</v>
          </cell>
          <cell r="D188">
            <v>1267619.5</v>
          </cell>
          <cell r="E188">
            <v>2725271.08</v>
          </cell>
        </row>
        <row r="189">
          <cell r="A189">
            <v>5711</v>
          </cell>
          <cell r="B189" t="str">
            <v>Commugny</v>
          </cell>
          <cell r="C189">
            <v>36644.31</v>
          </cell>
          <cell r="D189">
            <v>10248.15</v>
          </cell>
          <cell r="E189">
            <v>46892.46</v>
          </cell>
        </row>
        <row r="190">
          <cell r="A190">
            <v>5712</v>
          </cell>
          <cell r="B190" t="str">
            <v>Coppet</v>
          </cell>
          <cell r="C190">
            <v>68061.66</v>
          </cell>
          <cell r="D190">
            <v>42837.3</v>
          </cell>
          <cell r="E190">
            <v>110898.96</v>
          </cell>
        </row>
        <row r="191">
          <cell r="A191">
            <v>5713</v>
          </cell>
          <cell r="B191" t="str">
            <v>Crans-près-Céligny</v>
          </cell>
          <cell r="C191">
            <v>24887.919999999998</v>
          </cell>
          <cell r="D191">
            <v>9659.3499999999985</v>
          </cell>
          <cell r="E191">
            <v>34547.269999999997</v>
          </cell>
        </row>
        <row r="192">
          <cell r="A192">
            <v>5714</v>
          </cell>
          <cell r="B192" t="str">
            <v>Crassier</v>
          </cell>
          <cell r="C192">
            <v>73131.41</v>
          </cell>
          <cell r="D192">
            <v>928.8</v>
          </cell>
          <cell r="E192">
            <v>74060.210000000006</v>
          </cell>
        </row>
        <row r="193">
          <cell r="A193">
            <v>5715</v>
          </cell>
          <cell r="B193" t="str">
            <v>Duillier</v>
          </cell>
          <cell r="C193">
            <v>18566.849999999999</v>
          </cell>
          <cell r="D193">
            <v>5575.7999999999975</v>
          </cell>
          <cell r="E193">
            <v>24142.649999999994</v>
          </cell>
        </row>
        <row r="194">
          <cell r="A194">
            <v>5716</v>
          </cell>
          <cell r="B194" t="str">
            <v>Eysins</v>
          </cell>
          <cell r="C194">
            <v>2009235.4</v>
          </cell>
          <cell r="D194">
            <v>318369.0499999997</v>
          </cell>
          <cell r="E194">
            <v>2327604.4499999997</v>
          </cell>
        </row>
        <row r="195">
          <cell r="A195">
            <v>5717</v>
          </cell>
          <cell r="B195" t="str">
            <v>Founex</v>
          </cell>
          <cell r="C195">
            <v>70509.240000000005</v>
          </cell>
          <cell r="D195">
            <v>14169.850000000008</v>
          </cell>
          <cell r="E195">
            <v>84679.090000000011</v>
          </cell>
        </row>
        <row r="196">
          <cell r="A196">
            <v>5718</v>
          </cell>
          <cell r="B196" t="str">
            <v>Genolier</v>
          </cell>
          <cell r="C196">
            <v>234698.09</v>
          </cell>
          <cell r="D196">
            <v>70716.100000000006</v>
          </cell>
          <cell r="E196">
            <v>305414.19</v>
          </cell>
        </row>
        <row r="197">
          <cell r="A197">
            <v>5719</v>
          </cell>
          <cell r="B197" t="str">
            <v>Gingins</v>
          </cell>
          <cell r="C197">
            <v>40428.980000000003</v>
          </cell>
          <cell r="D197">
            <v>1389.4999999999998</v>
          </cell>
          <cell r="E197">
            <v>41818.480000000003</v>
          </cell>
        </row>
        <row r="198">
          <cell r="A198">
            <v>5720</v>
          </cell>
          <cell r="B198" t="str">
            <v>Givrins</v>
          </cell>
          <cell r="C198">
            <v>15990.94</v>
          </cell>
          <cell r="D198">
            <v>6365.65</v>
          </cell>
          <cell r="E198">
            <v>22356.59</v>
          </cell>
        </row>
        <row r="199">
          <cell r="A199">
            <v>5721</v>
          </cell>
          <cell r="B199" t="str">
            <v>Gland</v>
          </cell>
          <cell r="C199">
            <v>1049245.96</v>
          </cell>
          <cell r="D199">
            <v>533031.20000000054</v>
          </cell>
          <cell r="E199">
            <v>1582277.1600000006</v>
          </cell>
        </row>
        <row r="200">
          <cell r="A200">
            <v>5722</v>
          </cell>
          <cell r="B200" t="str">
            <v>Grens</v>
          </cell>
          <cell r="C200">
            <v>6095.36</v>
          </cell>
          <cell r="D200">
            <v>6160</v>
          </cell>
          <cell r="E200">
            <v>12255.36</v>
          </cell>
        </row>
        <row r="201">
          <cell r="A201">
            <v>5723</v>
          </cell>
          <cell r="B201" t="str">
            <v>Mies</v>
          </cell>
          <cell r="C201">
            <v>146033.82999999999</v>
          </cell>
          <cell r="D201">
            <v>15335.550000000001</v>
          </cell>
          <cell r="E201">
            <v>161369.37999999998</v>
          </cell>
        </row>
        <row r="202">
          <cell r="A202">
            <v>5724</v>
          </cell>
          <cell r="B202" t="str">
            <v>Nyon</v>
          </cell>
          <cell r="C202">
            <v>5331800.28</v>
          </cell>
          <cell r="D202">
            <v>1872727.9000000216</v>
          </cell>
          <cell r="E202">
            <v>7204528.1800000221</v>
          </cell>
        </row>
        <row r="203">
          <cell r="A203">
            <v>5725</v>
          </cell>
          <cell r="B203" t="str">
            <v>Prangins</v>
          </cell>
          <cell r="C203">
            <v>524609.81000000006</v>
          </cell>
          <cell r="D203">
            <v>16183.950000000004</v>
          </cell>
          <cell r="E203">
            <v>540793.76</v>
          </cell>
        </row>
        <row r="204">
          <cell r="A204">
            <v>5726</v>
          </cell>
          <cell r="B204" t="str">
            <v>La Rippe</v>
          </cell>
          <cell r="C204">
            <v>8346.91</v>
          </cell>
          <cell r="D204">
            <v>1794.3999999999996</v>
          </cell>
          <cell r="E204">
            <v>10141.31</v>
          </cell>
        </row>
        <row r="205">
          <cell r="A205">
            <v>5727</v>
          </cell>
          <cell r="B205" t="str">
            <v>Saint-Cergue</v>
          </cell>
          <cell r="C205">
            <v>31420.46</v>
          </cell>
          <cell r="D205">
            <v>31780.30000000001</v>
          </cell>
          <cell r="E205">
            <v>63200.760000000009</v>
          </cell>
        </row>
        <row r="206">
          <cell r="A206">
            <v>5728</v>
          </cell>
          <cell r="B206" t="str">
            <v>Signy-Avenex</v>
          </cell>
          <cell r="C206">
            <v>163597.29999999999</v>
          </cell>
          <cell r="D206">
            <v>11092.599999999999</v>
          </cell>
          <cell r="E206">
            <v>174689.9</v>
          </cell>
        </row>
        <row r="207">
          <cell r="A207">
            <v>5729</v>
          </cell>
          <cell r="B207" t="str">
            <v>Tannay</v>
          </cell>
          <cell r="C207">
            <v>211112.79</v>
          </cell>
          <cell r="D207">
            <v>4863.0499999999993</v>
          </cell>
          <cell r="E207">
            <v>215975.84</v>
          </cell>
        </row>
        <row r="208">
          <cell r="A208">
            <v>5730</v>
          </cell>
          <cell r="B208" t="str">
            <v>Trélex</v>
          </cell>
          <cell r="C208">
            <v>102062.47</v>
          </cell>
          <cell r="D208">
            <v>1732.4500000000007</v>
          </cell>
          <cell r="E208">
            <v>103794.92</v>
          </cell>
        </row>
        <row r="209">
          <cell r="A209">
            <v>5731</v>
          </cell>
          <cell r="B209" t="str">
            <v>Le Vaud</v>
          </cell>
          <cell r="C209">
            <v>6959.66</v>
          </cell>
          <cell r="D209">
            <v>772.10000000000014</v>
          </cell>
          <cell r="E209">
            <v>7731.76</v>
          </cell>
        </row>
        <row r="210">
          <cell r="A210">
            <v>5732</v>
          </cell>
          <cell r="B210" t="str">
            <v>Vich</v>
          </cell>
          <cell r="C210">
            <v>210123.44</v>
          </cell>
          <cell r="D210">
            <v>2231.4999999999991</v>
          </cell>
          <cell r="E210">
            <v>212354.94</v>
          </cell>
        </row>
        <row r="211">
          <cell r="A211">
            <v>5741</v>
          </cell>
          <cell r="B211" t="str">
            <v>L'Abergement</v>
          </cell>
          <cell r="C211">
            <v>3512.23</v>
          </cell>
          <cell r="D211">
            <v>385</v>
          </cell>
          <cell r="E211">
            <v>3897.23</v>
          </cell>
        </row>
        <row r="212">
          <cell r="A212">
            <v>5742</v>
          </cell>
          <cell r="B212" t="str">
            <v>Agiez</v>
          </cell>
          <cell r="C212">
            <v>7458.88</v>
          </cell>
          <cell r="D212">
            <v>360.7</v>
          </cell>
          <cell r="E212">
            <v>7819.58</v>
          </cell>
        </row>
        <row r="213">
          <cell r="A213">
            <v>5743</v>
          </cell>
          <cell r="B213" t="str">
            <v>Arnex-sur-Orbe</v>
          </cell>
          <cell r="C213">
            <v>6913.52</v>
          </cell>
          <cell r="D213">
            <v>729.6</v>
          </cell>
          <cell r="E213">
            <v>7643.1200000000008</v>
          </cell>
        </row>
        <row r="214">
          <cell r="A214">
            <v>5744</v>
          </cell>
          <cell r="B214" t="str">
            <v>Ballaigues</v>
          </cell>
          <cell r="C214">
            <v>1038230.1</v>
          </cell>
          <cell r="D214">
            <v>42885.900000000009</v>
          </cell>
          <cell r="E214">
            <v>1081116</v>
          </cell>
        </row>
        <row r="215">
          <cell r="A215">
            <v>5745</v>
          </cell>
          <cell r="B215" t="str">
            <v>Baulmes</v>
          </cell>
          <cell r="C215">
            <v>35588.33</v>
          </cell>
          <cell r="D215">
            <v>1340.6999999999998</v>
          </cell>
          <cell r="E215">
            <v>36929.03</v>
          </cell>
        </row>
        <row r="216">
          <cell r="A216">
            <v>5746</v>
          </cell>
          <cell r="B216" t="str">
            <v>Bavois</v>
          </cell>
          <cell r="C216">
            <v>44634.89</v>
          </cell>
          <cell r="D216">
            <v>1443.6999999999998</v>
          </cell>
          <cell r="E216">
            <v>46078.59</v>
          </cell>
        </row>
        <row r="217">
          <cell r="A217">
            <v>5747</v>
          </cell>
          <cell r="B217" t="str">
            <v>Bofflens</v>
          </cell>
          <cell r="C217">
            <v>2600.33</v>
          </cell>
          <cell r="D217">
            <v>702.60000000000014</v>
          </cell>
          <cell r="E217">
            <v>3302.9300000000003</v>
          </cell>
        </row>
        <row r="218">
          <cell r="A218">
            <v>5748</v>
          </cell>
          <cell r="B218" t="str">
            <v>Bretonnières</v>
          </cell>
          <cell r="C218">
            <v>2163.9899999999998</v>
          </cell>
          <cell r="D218">
            <v>42.699999999999996</v>
          </cell>
          <cell r="E218">
            <v>2206.6899999999996</v>
          </cell>
        </row>
        <row r="219">
          <cell r="A219">
            <v>5749</v>
          </cell>
          <cell r="B219" t="str">
            <v>Chavornay</v>
          </cell>
          <cell r="C219">
            <v>210352.01727272727</v>
          </cell>
          <cell r="D219">
            <v>63283.999999999927</v>
          </cell>
          <cell r="E219">
            <v>273636.01727272721</v>
          </cell>
        </row>
        <row r="220">
          <cell r="A220">
            <v>5750</v>
          </cell>
          <cell r="B220" t="str">
            <v>Les Clées</v>
          </cell>
          <cell r="C220">
            <v>2676.37</v>
          </cell>
          <cell r="D220">
            <v>166.7</v>
          </cell>
          <cell r="E220">
            <v>2843.0699999999997</v>
          </cell>
        </row>
        <row r="221">
          <cell r="A221">
            <v>5752</v>
          </cell>
          <cell r="B221" t="str">
            <v>Croy</v>
          </cell>
          <cell r="C221">
            <v>4424.42</v>
          </cell>
          <cell r="D221">
            <v>844.5</v>
          </cell>
          <cell r="E221">
            <v>5268.92</v>
          </cell>
        </row>
        <row r="222">
          <cell r="A222">
            <v>5754</v>
          </cell>
          <cell r="B222" t="str">
            <v>Juriens</v>
          </cell>
          <cell r="C222">
            <v>598.5719058160596</v>
          </cell>
          <cell r="D222">
            <v>990.30000000000007</v>
          </cell>
          <cell r="E222">
            <v>1588.8719058160596</v>
          </cell>
        </row>
        <row r="223">
          <cell r="A223">
            <v>5755</v>
          </cell>
          <cell r="B223" t="str">
            <v>Lignerolle</v>
          </cell>
          <cell r="C223">
            <v>9126.5083515609476</v>
          </cell>
          <cell r="D223">
            <v>374.89999999999992</v>
          </cell>
          <cell r="E223">
            <v>9501.4083515609473</v>
          </cell>
        </row>
        <row r="224">
          <cell r="A224">
            <v>5756</v>
          </cell>
          <cell r="B224" t="str">
            <v>Montcherand</v>
          </cell>
          <cell r="C224">
            <v>28910.216069465812</v>
          </cell>
          <cell r="D224">
            <v>1979.6</v>
          </cell>
          <cell r="E224">
            <v>30889.816069465811</v>
          </cell>
        </row>
        <row r="225">
          <cell r="A225">
            <v>5757</v>
          </cell>
          <cell r="B225" t="str">
            <v>Orbe</v>
          </cell>
          <cell r="C225">
            <v>1004061.446359743</v>
          </cell>
          <cell r="D225">
            <v>38334.500000000022</v>
          </cell>
          <cell r="E225">
            <v>1042395.946359743</v>
          </cell>
        </row>
        <row r="226">
          <cell r="A226">
            <v>5758</v>
          </cell>
          <cell r="B226" t="str">
            <v>La Praz</v>
          </cell>
          <cell r="C226">
            <v>1695.030529953917</v>
          </cell>
          <cell r="D226">
            <v>981.69999999999982</v>
          </cell>
          <cell r="E226">
            <v>2676.7305299539166</v>
          </cell>
        </row>
        <row r="227">
          <cell r="A227">
            <v>5759</v>
          </cell>
          <cell r="B227" t="str">
            <v>Premier</v>
          </cell>
          <cell r="C227">
            <v>499.49278836706617</v>
          </cell>
          <cell r="D227">
            <v>116.4</v>
          </cell>
          <cell r="E227">
            <v>615.89278836706615</v>
          </cell>
        </row>
        <row r="228">
          <cell r="A228">
            <v>5760</v>
          </cell>
          <cell r="B228" t="str">
            <v>Rances</v>
          </cell>
          <cell r="C228">
            <v>4788.4493279022399</v>
          </cell>
          <cell r="D228">
            <v>1575.8000000000002</v>
          </cell>
          <cell r="E228">
            <v>6364.2493279022401</v>
          </cell>
        </row>
        <row r="229">
          <cell r="A229">
            <v>5761</v>
          </cell>
          <cell r="B229" t="str">
            <v>Romainmôtier-Envy</v>
          </cell>
          <cell r="C229">
            <v>6856.4940501043839</v>
          </cell>
          <cell r="D229">
            <v>616.5</v>
          </cell>
          <cell r="E229">
            <v>7472.9940501043839</v>
          </cell>
        </row>
        <row r="230">
          <cell r="A230">
            <v>5762</v>
          </cell>
          <cell r="B230" t="str">
            <v>Sergey</v>
          </cell>
          <cell r="C230">
            <v>5998.3582484725048</v>
          </cell>
          <cell r="D230">
            <v>152.59999999999997</v>
          </cell>
          <cell r="E230">
            <v>6150.9582484725051</v>
          </cell>
        </row>
        <row r="231">
          <cell r="A231">
            <v>5763</v>
          </cell>
          <cell r="B231" t="str">
            <v>Valeyres-sous-Rances</v>
          </cell>
          <cell r="C231">
            <v>-1313.5558545454544</v>
          </cell>
          <cell r="D231">
            <v>570</v>
          </cell>
          <cell r="E231">
            <v>-743.55585454545439</v>
          </cell>
        </row>
        <row r="232">
          <cell r="A232">
            <v>5764</v>
          </cell>
          <cell r="B232" t="str">
            <v>Vallorbe</v>
          </cell>
          <cell r="C232">
            <v>226506.73301927192</v>
          </cell>
          <cell r="D232">
            <v>51753.749999999985</v>
          </cell>
          <cell r="E232">
            <v>278260.48301927192</v>
          </cell>
        </row>
        <row r="233">
          <cell r="A233">
            <v>5765</v>
          </cell>
          <cell r="B233" t="str">
            <v>Vaulion</v>
          </cell>
          <cell r="C233">
            <v>3134.8114560817448</v>
          </cell>
          <cell r="D233">
            <v>880.4000000000002</v>
          </cell>
          <cell r="E233">
            <v>4015.2114560817449</v>
          </cell>
        </row>
        <row r="234">
          <cell r="A234">
            <v>5766</v>
          </cell>
          <cell r="B234" t="str">
            <v>Vuiteboeuf</v>
          </cell>
          <cell r="C234">
            <v>12741.219216494846</v>
          </cell>
          <cell r="D234">
            <v>383.6</v>
          </cell>
          <cell r="E234">
            <v>13124.819216494847</v>
          </cell>
        </row>
        <row r="235">
          <cell r="A235">
            <v>5785</v>
          </cell>
          <cell r="B235" t="str">
            <v>Corcelles-le-Jorat</v>
          </cell>
          <cell r="C235">
            <v>-9390.4416701030932</v>
          </cell>
          <cell r="D235">
            <v>747.9</v>
          </cell>
          <cell r="E235">
            <v>-8642.5416701030936</v>
          </cell>
        </row>
        <row r="236">
          <cell r="A236">
            <v>5788</v>
          </cell>
          <cell r="B236" t="str">
            <v>Essertes</v>
          </cell>
          <cell r="C236">
            <v>3033.6682567597268</v>
          </cell>
          <cell r="D236">
            <v>40.9</v>
          </cell>
          <cell r="E236">
            <v>3074.5682567597269</v>
          </cell>
        </row>
        <row r="237">
          <cell r="A237">
            <v>5790</v>
          </cell>
          <cell r="B237" t="str">
            <v>Maracon</v>
          </cell>
          <cell r="C237">
            <v>1235.3670563674323</v>
          </cell>
          <cell r="D237">
            <v>1118.8</v>
          </cell>
          <cell r="E237">
            <v>2354.1670563674325</v>
          </cell>
        </row>
        <row r="238">
          <cell r="A238">
            <v>5792</v>
          </cell>
          <cell r="B238" t="str">
            <v>Montpreveyres</v>
          </cell>
          <cell r="C238">
            <v>12376.137587628866</v>
          </cell>
          <cell r="D238">
            <v>1648.2</v>
          </cell>
          <cell r="E238">
            <v>14024.337587628866</v>
          </cell>
        </row>
        <row r="239">
          <cell r="A239">
            <v>5798</v>
          </cell>
          <cell r="B239" t="str">
            <v>Ropraz</v>
          </cell>
          <cell r="C239">
            <v>10209.748155737707</v>
          </cell>
          <cell r="D239">
            <v>3334</v>
          </cell>
          <cell r="E239">
            <v>13543.748155737707</v>
          </cell>
        </row>
        <row r="240">
          <cell r="A240">
            <v>5799</v>
          </cell>
          <cell r="B240" t="str">
            <v>Servion</v>
          </cell>
          <cell r="C240">
            <v>37080.824175824171</v>
          </cell>
          <cell r="D240">
            <v>3701.6</v>
          </cell>
          <cell r="E240">
            <v>40782.42417582417</v>
          </cell>
        </row>
        <row r="241">
          <cell r="A241">
            <v>5803</v>
          </cell>
          <cell r="B241" t="str">
            <v>Vulliens</v>
          </cell>
          <cell r="C241">
            <v>10561.997107942974</v>
          </cell>
          <cell r="D241">
            <v>374.3</v>
          </cell>
          <cell r="E241">
            <v>10936.297107942974</v>
          </cell>
        </row>
        <row r="242">
          <cell r="A242">
            <v>5804</v>
          </cell>
          <cell r="B242" t="str">
            <v>Jorat-Menthue</v>
          </cell>
          <cell r="C242">
            <v>8586.3441415695743</v>
          </cell>
          <cell r="D242">
            <v>1324.9</v>
          </cell>
          <cell r="E242">
            <v>9911.2441415695739</v>
          </cell>
        </row>
        <row r="243">
          <cell r="A243">
            <v>5805</v>
          </cell>
          <cell r="B243" t="str">
            <v>Oron</v>
          </cell>
          <cell r="C243">
            <v>316353.81270604389</v>
          </cell>
          <cell r="D243">
            <v>105191.8</v>
          </cell>
          <cell r="E243">
            <v>421545.61270604387</v>
          </cell>
        </row>
        <row r="244">
          <cell r="A244">
            <v>5806</v>
          </cell>
          <cell r="B244" t="str">
            <v>Jorat-Mézières</v>
          </cell>
          <cell r="C244">
            <v>107801</v>
          </cell>
          <cell r="D244">
            <v>6692.2</v>
          </cell>
          <cell r="E244">
            <v>114493.2</v>
          </cell>
        </row>
        <row r="245">
          <cell r="A245">
            <v>5812</v>
          </cell>
          <cell r="B245" t="str">
            <v>Champtauroz</v>
          </cell>
          <cell r="C245">
            <v>271.63364948453614</v>
          </cell>
          <cell r="D245">
            <v>469.4</v>
          </cell>
          <cell r="E245">
            <v>741.03364948453611</v>
          </cell>
        </row>
        <row r="246">
          <cell r="A246">
            <v>5813</v>
          </cell>
          <cell r="B246" t="str">
            <v>Chevroux</v>
          </cell>
          <cell r="C246">
            <v>13799.594173441732</v>
          </cell>
          <cell r="D246">
            <v>540.6</v>
          </cell>
          <cell r="E246">
            <v>14340.194173441732</v>
          </cell>
        </row>
        <row r="247">
          <cell r="A247">
            <v>5816</v>
          </cell>
          <cell r="B247" t="str">
            <v>Corcelles-près-Payerne</v>
          </cell>
          <cell r="C247">
            <v>130205.32407122442</v>
          </cell>
          <cell r="D247">
            <v>17161.8</v>
          </cell>
          <cell r="E247">
            <v>147367.12407122442</v>
          </cell>
        </row>
        <row r="248">
          <cell r="A248">
            <v>5817</v>
          </cell>
          <cell r="B248" t="str">
            <v>Grandcour</v>
          </cell>
          <cell r="C248">
            <v>16106.44476895379</v>
          </cell>
          <cell r="D248">
            <v>1224.8</v>
          </cell>
          <cell r="E248">
            <v>17331.244768953791</v>
          </cell>
        </row>
        <row r="249">
          <cell r="A249">
            <v>5819</v>
          </cell>
          <cell r="B249" t="str">
            <v>Henniez</v>
          </cell>
          <cell r="C249">
            <v>108233.24964680952</v>
          </cell>
          <cell r="D249">
            <v>8674.7999999999993</v>
          </cell>
          <cell r="E249">
            <v>116908.04964680952</v>
          </cell>
        </row>
        <row r="250">
          <cell r="A250">
            <v>5821</v>
          </cell>
          <cell r="B250" t="str">
            <v>Missy</v>
          </cell>
          <cell r="C250">
            <v>872.17990767201582</v>
          </cell>
          <cell r="D250">
            <v>428.1</v>
          </cell>
          <cell r="E250">
            <v>1300.2799076720157</v>
          </cell>
        </row>
        <row r="251">
          <cell r="A251">
            <v>5822</v>
          </cell>
          <cell r="B251" t="str">
            <v>Payerne</v>
          </cell>
          <cell r="C251">
            <v>938060.2954545453</v>
          </cell>
          <cell r="D251">
            <v>105261.5</v>
          </cell>
          <cell r="E251">
            <v>1043321.7954545453</v>
          </cell>
        </row>
        <row r="252">
          <cell r="A252">
            <v>5827</v>
          </cell>
          <cell r="B252" t="str">
            <v>Trey</v>
          </cell>
          <cell r="C252">
            <v>5914.3154702724196</v>
          </cell>
          <cell r="D252">
            <v>755</v>
          </cell>
          <cell r="E252">
            <v>6669.3154702724196</v>
          </cell>
        </row>
        <row r="253">
          <cell r="A253">
            <v>5828</v>
          </cell>
          <cell r="B253" t="str">
            <v>Treytorrens (Payerne)</v>
          </cell>
          <cell r="C253">
            <v>226.79221568255176</v>
          </cell>
          <cell r="D253">
            <v>119.9</v>
          </cell>
          <cell r="E253">
            <v>346.69221568255176</v>
          </cell>
        </row>
        <row r="254">
          <cell r="A254">
            <v>5830</v>
          </cell>
          <cell r="B254" t="str">
            <v>Villarzel</v>
          </cell>
          <cell r="C254">
            <v>6420.7750855302875</v>
          </cell>
          <cell r="D254">
            <v>314.89999999999998</v>
          </cell>
          <cell r="E254">
            <v>6735.6750855302871</v>
          </cell>
        </row>
        <row r="255">
          <cell r="A255">
            <v>5831</v>
          </cell>
          <cell r="B255" t="str">
            <v>Valbroye</v>
          </cell>
          <cell r="C255">
            <v>210675.39093078757</v>
          </cell>
          <cell r="D255">
            <v>6179.4</v>
          </cell>
          <cell r="E255">
            <v>216854.79093078757</v>
          </cell>
        </row>
        <row r="256">
          <cell r="A256">
            <v>5841</v>
          </cell>
          <cell r="B256" t="str">
            <v>Château-d'Oex</v>
          </cell>
          <cell r="C256">
            <v>119218.03615591399</v>
          </cell>
          <cell r="D256">
            <v>148522.29999999999</v>
          </cell>
          <cell r="E256">
            <v>267740.336155914</v>
          </cell>
        </row>
        <row r="257">
          <cell r="A257">
            <v>5842</v>
          </cell>
          <cell r="B257" t="str">
            <v>Rossinière</v>
          </cell>
          <cell r="C257">
            <v>6920.0202790332087</v>
          </cell>
          <cell r="D257">
            <v>350.8</v>
          </cell>
          <cell r="E257">
            <v>7270.8202790332089</v>
          </cell>
        </row>
        <row r="258">
          <cell r="A258">
            <v>5843</v>
          </cell>
          <cell r="B258" t="str">
            <v>Rougemont</v>
          </cell>
          <cell r="C258">
            <v>82699.244940476186</v>
          </cell>
          <cell r="D258">
            <v>20167.3</v>
          </cell>
          <cell r="E258">
            <v>102866.54494047619</v>
          </cell>
        </row>
        <row r="259">
          <cell r="A259">
            <v>5851</v>
          </cell>
          <cell r="B259" t="str">
            <v>Allaman</v>
          </cell>
          <cell r="C259">
            <v>81912.074885844748</v>
          </cell>
          <cell r="D259">
            <v>20145.599999999999</v>
          </cell>
          <cell r="E259">
            <v>102057.67488584475</v>
          </cell>
        </row>
        <row r="260">
          <cell r="A260">
            <v>5852</v>
          </cell>
          <cell r="B260" t="str">
            <v>Bursinel</v>
          </cell>
          <cell r="C260">
            <v>5277.7702888086642</v>
          </cell>
          <cell r="D260">
            <v>3727.8</v>
          </cell>
          <cell r="E260">
            <v>9005.5702888086635</v>
          </cell>
        </row>
        <row r="261">
          <cell r="A261">
            <v>5853</v>
          </cell>
          <cell r="B261" t="str">
            <v>Bursins</v>
          </cell>
          <cell r="C261">
            <v>22749.963822677655</v>
          </cell>
          <cell r="D261">
            <v>10090</v>
          </cell>
          <cell r="E261">
            <v>32839.963822677659</v>
          </cell>
        </row>
        <row r="262">
          <cell r="A262">
            <v>5854</v>
          </cell>
          <cell r="B262" t="str">
            <v>Burtigny</v>
          </cell>
          <cell r="C262">
            <v>26082.435175979321</v>
          </cell>
          <cell r="D262">
            <v>1108.8</v>
          </cell>
          <cell r="E262">
            <v>27191.23517597932</v>
          </cell>
        </row>
        <row r="263">
          <cell r="A263">
            <v>5855</v>
          </cell>
          <cell r="B263" t="str">
            <v>Dully</v>
          </cell>
          <cell r="C263">
            <v>27672.377832590711</v>
          </cell>
          <cell r="D263">
            <v>6471.75</v>
          </cell>
          <cell r="E263">
            <v>34144.127832590711</v>
          </cell>
        </row>
        <row r="264">
          <cell r="A264">
            <v>5856</v>
          </cell>
          <cell r="B264" t="str">
            <v>Essertines-sur-Rolle</v>
          </cell>
          <cell r="C264">
            <v>1607.4791734385881</v>
          </cell>
          <cell r="D264">
            <v>2636.6</v>
          </cell>
          <cell r="E264">
            <v>4244.0791734385875</v>
          </cell>
        </row>
        <row r="265">
          <cell r="A265">
            <v>5857</v>
          </cell>
          <cell r="B265" t="str">
            <v>Gilly</v>
          </cell>
          <cell r="C265">
            <v>28843.44866220736</v>
          </cell>
          <cell r="D265">
            <v>2850.05</v>
          </cell>
          <cell r="E265">
            <v>31693.498662207359</v>
          </cell>
        </row>
        <row r="266">
          <cell r="A266">
            <v>5858</v>
          </cell>
          <cell r="B266" t="str">
            <v>Luins</v>
          </cell>
          <cell r="C266">
            <v>2719.3156020942411</v>
          </cell>
          <cell r="D266">
            <v>6708.8</v>
          </cell>
          <cell r="E266">
            <v>9428.1156020942417</v>
          </cell>
        </row>
        <row r="267">
          <cell r="A267">
            <v>5859</v>
          </cell>
          <cell r="B267" t="str">
            <v>Mont-sur-Rolle</v>
          </cell>
          <cell r="C267">
            <v>47066.181705216542</v>
          </cell>
          <cell r="D267">
            <v>14087.5</v>
          </cell>
          <cell r="E267">
            <v>61153.681705216542</v>
          </cell>
        </row>
        <row r="268">
          <cell r="A268">
            <v>5860</v>
          </cell>
          <cell r="B268" t="str">
            <v>Perroy</v>
          </cell>
          <cell r="C268">
            <v>23575.574450261782</v>
          </cell>
          <cell r="D268">
            <v>5685.55</v>
          </cell>
          <cell r="E268">
            <v>29261.124450261781</v>
          </cell>
        </row>
        <row r="269">
          <cell r="A269">
            <v>5861</v>
          </cell>
          <cell r="B269" t="str">
            <v>Rolle</v>
          </cell>
          <cell r="C269">
            <v>20112599.488374241</v>
          </cell>
          <cell r="D269">
            <v>888492.60000000009</v>
          </cell>
          <cell r="E269">
            <v>21001092.088374242</v>
          </cell>
        </row>
        <row r="270">
          <cell r="A270">
            <v>5862</v>
          </cell>
          <cell r="B270" t="str">
            <v>Tartegnin</v>
          </cell>
          <cell r="C270">
            <v>4331.6948357698884</v>
          </cell>
          <cell r="D270">
            <v>1708.4</v>
          </cell>
          <cell r="E270">
            <v>6040.094835769889</v>
          </cell>
        </row>
        <row r="271">
          <cell r="A271">
            <v>5863</v>
          </cell>
          <cell r="B271" t="str">
            <v>Vinzel</v>
          </cell>
          <cell r="C271">
            <v>9041.9359756097547</v>
          </cell>
          <cell r="D271">
            <v>1128.3</v>
          </cell>
          <cell r="E271">
            <v>10170.235975609754</v>
          </cell>
        </row>
        <row r="272">
          <cell r="A272">
            <v>5871</v>
          </cell>
          <cell r="B272" t="str">
            <v>L'Abbaye</v>
          </cell>
          <cell r="C272">
            <v>124996.98870563673</v>
          </cell>
          <cell r="D272">
            <v>5420.9</v>
          </cell>
          <cell r="E272">
            <v>130417.88870563672</v>
          </cell>
        </row>
        <row r="273">
          <cell r="A273">
            <v>5872</v>
          </cell>
          <cell r="B273" t="str">
            <v>Le Chenit</v>
          </cell>
          <cell r="C273">
            <v>2742796.3372774869</v>
          </cell>
          <cell r="D273">
            <v>463812.95000000007</v>
          </cell>
          <cell r="E273">
            <v>3206609.2872774871</v>
          </cell>
        </row>
        <row r="274">
          <cell r="A274">
            <v>5873</v>
          </cell>
          <cell r="B274" t="str">
            <v>Le Lieu</v>
          </cell>
          <cell r="C274">
            <v>115000.24963636363</v>
          </cell>
          <cell r="D274">
            <v>11050.599999999999</v>
          </cell>
          <cell r="E274">
            <v>126050.84963636362</v>
          </cell>
        </row>
        <row r="275">
          <cell r="A275">
            <v>5881</v>
          </cell>
          <cell r="B275" t="str">
            <v>Blonay</v>
          </cell>
          <cell r="C275">
            <v>186634.69613821138</v>
          </cell>
          <cell r="D275">
            <v>20376.100000000002</v>
          </cell>
          <cell r="E275">
            <v>207010.79613821139</v>
          </cell>
        </row>
        <row r="276">
          <cell r="A276">
            <v>5882</v>
          </cell>
          <cell r="B276" t="str">
            <v>Chardonne</v>
          </cell>
          <cell r="C276">
            <v>73341.241362897592</v>
          </cell>
          <cell r="D276">
            <v>5584.2999999999993</v>
          </cell>
          <cell r="E276">
            <v>78925.541362897595</v>
          </cell>
        </row>
        <row r="277">
          <cell r="A277">
            <v>5883</v>
          </cell>
          <cell r="B277" t="str">
            <v>Corseaux</v>
          </cell>
          <cell r="C277">
            <v>85176.148129921261</v>
          </cell>
          <cell r="D277">
            <v>18273.7</v>
          </cell>
          <cell r="E277">
            <v>103449.84812992126</v>
          </cell>
        </row>
        <row r="278">
          <cell r="A278">
            <v>5884</v>
          </cell>
          <cell r="B278" t="str">
            <v>Corsier-sur-Vevey</v>
          </cell>
          <cell r="C278">
            <v>800650.30794314377</v>
          </cell>
          <cell r="D278">
            <v>34129.649999999994</v>
          </cell>
          <cell r="E278">
            <v>834779.95794314379</v>
          </cell>
        </row>
        <row r="279">
          <cell r="A279">
            <v>5885</v>
          </cell>
          <cell r="B279" t="str">
            <v>Jongny</v>
          </cell>
          <cell r="C279">
            <v>113128.65814212518</v>
          </cell>
          <cell r="D279">
            <v>753.5</v>
          </cell>
          <cell r="E279">
            <v>113882.15814212518</v>
          </cell>
        </row>
        <row r="280">
          <cell r="A280">
            <v>5886</v>
          </cell>
          <cell r="B280" t="str">
            <v>Montreux</v>
          </cell>
          <cell r="C280">
            <v>1605412.3635636363</v>
          </cell>
          <cell r="D280">
            <v>669190.9</v>
          </cell>
          <cell r="E280">
            <v>2274603.2635636362</v>
          </cell>
        </row>
        <row r="281">
          <cell r="A281">
            <v>5888</v>
          </cell>
          <cell r="B281" t="str">
            <v>Saint-Légier-La Chiésaz</v>
          </cell>
          <cell r="C281">
            <v>292738.64232399344</v>
          </cell>
          <cell r="D281">
            <v>12755.3</v>
          </cell>
          <cell r="E281">
            <v>305493.94232399343</v>
          </cell>
        </row>
        <row r="282">
          <cell r="A282">
            <v>5889</v>
          </cell>
          <cell r="B282" t="str">
            <v>La Tour-de-Peilz</v>
          </cell>
          <cell r="C282">
            <v>705161.46585875994</v>
          </cell>
          <cell r="D282">
            <v>4996359.8</v>
          </cell>
          <cell r="E282">
            <v>5701521.2658587601</v>
          </cell>
        </row>
        <row r="283">
          <cell r="A283">
            <v>5890</v>
          </cell>
          <cell r="B283" t="str">
            <v>Vevey</v>
          </cell>
          <cell r="C283">
            <v>4599721.7420264697</v>
          </cell>
          <cell r="D283">
            <v>11470817</v>
          </cell>
          <cell r="E283">
            <v>16070538.742026471</v>
          </cell>
        </row>
        <row r="284">
          <cell r="A284">
            <v>5891</v>
          </cell>
          <cell r="B284" t="str">
            <v>Veytaux</v>
          </cell>
          <cell r="C284">
            <v>24418.485027472529</v>
          </cell>
          <cell r="D284">
            <v>17628.7</v>
          </cell>
          <cell r="E284">
            <v>42047.185027472529</v>
          </cell>
        </row>
        <row r="285">
          <cell r="A285">
            <v>5902</v>
          </cell>
          <cell r="B285" t="str">
            <v>Belmont-sur-Yverdon</v>
          </cell>
          <cell r="C285">
            <v>1574.3438830897703</v>
          </cell>
          <cell r="D285">
            <v>468</v>
          </cell>
          <cell r="E285">
            <v>2042.3438830897703</v>
          </cell>
        </row>
        <row r="286">
          <cell r="A286">
            <v>5903</v>
          </cell>
          <cell r="B286" t="str">
            <v>Bioley-Magnoux</v>
          </cell>
          <cell r="C286">
            <v>4351.0769379014982</v>
          </cell>
          <cell r="D286">
            <v>154</v>
          </cell>
          <cell r="E286">
            <v>4505.0769379014982</v>
          </cell>
        </row>
        <row r="287">
          <cell r="A287">
            <v>5904</v>
          </cell>
          <cell r="B287" t="str">
            <v>Chamblon</v>
          </cell>
          <cell r="C287">
            <v>6116.0122909699003</v>
          </cell>
          <cell r="D287">
            <v>906.30000000000007</v>
          </cell>
          <cell r="E287">
            <v>7022.3122909699005</v>
          </cell>
        </row>
        <row r="288">
          <cell r="A288">
            <v>5905</v>
          </cell>
          <cell r="B288" t="str">
            <v>Champvent</v>
          </cell>
          <cell r="C288">
            <v>92377.105635999091</v>
          </cell>
          <cell r="D288">
            <v>421.9</v>
          </cell>
          <cell r="E288">
            <v>92799.005635999085</v>
          </cell>
        </row>
        <row r="289">
          <cell r="A289">
            <v>5907</v>
          </cell>
          <cell r="B289" t="str">
            <v>Chavannes-le-Chêne</v>
          </cell>
          <cell r="C289">
            <v>1155.3783910386965</v>
          </cell>
          <cell r="D289">
            <v>62</v>
          </cell>
          <cell r="E289">
            <v>1217.3783910386965</v>
          </cell>
        </row>
        <row r="290">
          <cell r="A290">
            <v>5908</v>
          </cell>
          <cell r="B290" t="str">
            <v>Chêne-Pâquier</v>
          </cell>
          <cell r="C290">
            <v>360.10366270879445</v>
          </cell>
          <cell r="D290">
            <v>437.1</v>
          </cell>
          <cell r="E290">
            <v>797.20366270879447</v>
          </cell>
        </row>
        <row r="291">
          <cell r="A291">
            <v>5909</v>
          </cell>
          <cell r="B291" t="str">
            <v>Cheseaux-Noréaz</v>
          </cell>
          <cell r="C291">
            <v>10822.474593495934</v>
          </cell>
          <cell r="D291">
            <v>2580.65</v>
          </cell>
          <cell r="E291">
            <v>13403.124593495933</v>
          </cell>
        </row>
        <row r="292">
          <cell r="A292">
            <v>5910</v>
          </cell>
          <cell r="B292" t="str">
            <v>Cronay</v>
          </cell>
          <cell r="C292">
            <v>4060.5608573153554</v>
          </cell>
          <cell r="D292">
            <v>139.5</v>
          </cell>
          <cell r="E292">
            <v>4200.060857315355</v>
          </cell>
        </row>
        <row r="293">
          <cell r="A293">
            <v>5911</v>
          </cell>
          <cell r="B293" t="str">
            <v>Cuarny</v>
          </cell>
          <cell r="C293">
            <v>-9.4913865969007833</v>
          </cell>
          <cell r="D293">
            <v>279.8</v>
          </cell>
          <cell r="E293">
            <v>270.30861340309923</v>
          </cell>
        </row>
        <row r="294">
          <cell r="A294">
            <v>5912</v>
          </cell>
          <cell r="B294" t="str">
            <v>Démoret</v>
          </cell>
          <cell r="C294">
            <v>448.24991157398307</v>
          </cell>
          <cell r="D294">
            <v>32.6</v>
          </cell>
          <cell r="E294">
            <v>480.84991157398309</v>
          </cell>
        </row>
        <row r="295">
          <cell r="A295">
            <v>5913</v>
          </cell>
          <cell r="B295" t="str">
            <v>Donneloye</v>
          </cell>
          <cell r="C295">
            <v>14822.762226079409</v>
          </cell>
          <cell r="D295">
            <v>313.10000000000002</v>
          </cell>
          <cell r="E295">
            <v>15135.862226079409</v>
          </cell>
        </row>
        <row r="296">
          <cell r="A296">
            <v>5914</v>
          </cell>
          <cell r="B296" t="str">
            <v>Ependes</v>
          </cell>
          <cell r="C296">
            <v>-1603.3181818181818</v>
          </cell>
          <cell r="D296">
            <v>17827.599999999999</v>
          </cell>
          <cell r="E296">
            <v>16224.281818181817</v>
          </cell>
        </row>
        <row r="297">
          <cell r="A297">
            <v>5919</v>
          </cell>
          <cell r="B297" t="str">
            <v>Mathod</v>
          </cell>
          <cell r="C297">
            <v>6794.3304710920766</v>
          </cell>
          <cell r="D297">
            <v>988.90000000000009</v>
          </cell>
          <cell r="E297">
            <v>7783.2304710920762</v>
          </cell>
        </row>
        <row r="298">
          <cell r="A298">
            <v>5921</v>
          </cell>
          <cell r="B298" t="str">
            <v>Molondin</v>
          </cell>
          <cell r="C298">
            <v>10988.93244252309</v>
          </cell>
          <cell r="D298">
            <v>737.3</v>
          </cell>
          <cell r="E298">
            <v>11726.232442523089</v>
          </cell>
        </row>
        <row r="299">
          <cell r="A299">
            <v>5922</v>
          </cell>
          <cell r="B299" t="str">
            <v>Montagny-près-Yverdon</v>
          </cell>
          <cell r="C299">
            <v>399364.05131409439</v>
          </cell>
          <cell r="D299">
            <v>8080.05</v>
          </cell>
          <cell r="E299">
            <v>407444.10131409438</v>
          </cell>
        </row>
        <row r="300">
          <cell r="A300">
            <v>5923</v>
          </cell>
          <cell r="B300" t="str">
            <v>Oppens</v>
          </cell>
          <cell r="C300">
            <v>2958.6953821968955</v>
          </cell>
          <cell r="D300">
            <v>579.70000000000005</v>
          </cell>
          <cell r="E300">
            <v>3538.3953821968953</v>
          </cell>
        </row>
        <row r="301">
          <cell r="A301">
            <v>5924</v>
          </cell>
          <cell r="B301" t="str">
            <v>Orges</v>
          </cell>
          <cell r="C301">
            <v>17044.408372591006</v>
          </cell>
          <cell r="D301">
            <v>1226.7</v>
          </cell>
          <cell r="E301">
            <v>18271.108372591007</v>
          </cell>
        </row>
        <row r="302">
          <cell r="A302">
            <v>5925</v>
          </cell>
          <cell r="B302" t="str">
            <v>Orzens</v>
          </cell>
          <cell r="C302">
            <v>2404.5756490239487</v>
          </cell>
          <cell r="D302">
            <v>175.2</v>
          </cell>
          <cell r="E302">
            <v>2579.7756490239485</v>
          </cell>
        </row>
        <row r="303">
          <cell r="A303">
            <v>5926</v>
          </cell>
          <cell r="B303" t="str">
            <v>Pomy</v>
          </cell>
          <cell r="C303">
            <v>13588.724793940744</v>
          </cell>
          <cell r="D303">
            <v>1635.6</v>
          </cell>
          <cell r="E303">
            <v>15224.324793940745</v>
          </cell>
        </row>
        <row r="304">
          <cell r="A304">
            <v>5928</v>
          </cell>
          <cell r="B304" t="str">
            <v>Rovray</v>
          </cell>
          <cell r="C304">
            <v>845.93692775005422</v>
          </cell>
          <cell r="D304">
            <v>66.099999999999994</v>
          </cell>
          <cell r="E304">
            <v>912.03692775005425</v>
          </cell>
        </row>
        <row r="305">
          <cell r="A305">
            <v>5929</v>
          </cell>
          <cell r="B305" t="str">
            <v>Suchy</v>
          </cell>
          <cell r="C305">
            <v>9474.6443089430868</v>
          </cell>
          <cell r="D305">
            <v>986.8</v>
          </cell>
          <cell r="E305">
            <v>10461.444308943086</v>
          </cell>
        </row>
        <row r="306">
          <cell r="A306">
            <v>5930</v>
          </cell>
          <cell r="B306" t="str">
            <v>Suscévaz</v>
          </cell>
          <cell r="C306">
            <v>44.003511705685618</v>
          </cell>
          <cell r="D306">
            <v>91.4</v>
          </cell>
          <cell r="E306">
            <v>135.40351170568562</v>
          </cell>
        </row>
        <row r="307">
          <cell r="A307">
            <v>5931</v>
          </cell>
          <cell r="B307" t="str">
            <v>Treycovagnes</v>
          </cell>
          <cell r="C307">
            <v>-7330.2878350515466</v>
          </cell>
          <cell r="D307">
            <v>1183.3</v>
          </cell>
          <cell r="E307">
            <v>-6146.9878350515464</v>
          </cell>
        </row>
        <row r="308">
          <cell r="A308">
            <v>5932</v>
          </cell>
          <cell r="B308" t="str">
            <v>Ursins</v>
          </cell>
          <cell r="C308">
            <v>435.67549898167005</v>
          </cell>
          <cell r="D308">
            <v>95.3</v>
          </cell>
          <cell r="E308">
            <v>530.97549898167006</v>
          </cell>
        </row>
        <row r="309">
          <cell r="A309">
            <v>5933</v>
          </cell>
          <cell r="B309" t="str">
            <v>Valeyres-sous-Montagny</v>
          </cell>
          <cell r="C309">
            <v>11447.86087052099</v>
          </cell>
          <cell r="D309">
            <v>271.3</v>
          </cell>
          <cell r="E309">
            <v>11719.160870520989</v>
          </cell>
        </row>
        <row r="310">
          <cell r="A310">
            <v>5934</v>
          </cell>
          <cell r="B310" t="str">
            <v>Valeyres-sous-Ursins</v>
          </cell>
          <cell r="C310">
            <v>7903.0929563292411</v>
          </cell>
          <cell r="D310">
            <v>7.8</v>
          </cell>
          <cell r="E310">
            <v>7910.8929563292413</v>
          </cell>
        </row>
        <row r="311">
          <cell r="A311">
            <v>5935</v>
          </cell>
          <cell r="B311" t="str">
            <v>Villars-Epeney</v>
          </cell>
          <cell r="C311">
            <v>-756.83685863874348</v>
          </cell>
          <cell r="D311">
            <v>46.8</v>
          </cell>
          <cell r="E311">
            <v>-710.03685863874352</v>
          </cell>
        </row>
        <row r="312">
          <cell r="A312">
            <v>5937</v>
          </cell>
          <cell r="B312" t="str">
            <v>Vugelles-La Mothe</v>
          </cell>
          <cell r="C312">
            <v>1759.4081978319782</v>
          </cell>
          <cell r="D312">
            <v>77.900000000000006</v>
          </cell>
          <cell r="E312">
            <v>1837.3081978319783</v>
          </cell>
        </row>
        <row r="313">
          <cell r="A313">
            <v>5938</v>
          </cell>
          <cell r="B313" t="str">
            <v>Yverdon-les-Bains</v>
          </cell>
          <cell r="C313">
            <v>3089377.5205809125</v>
          </cell>
          <cell r="D313">
            <v>752158.9</v>
          </cell>
          <cell r="E313">
            <v>3841536.4205809124</v>
          </cell>
        </row>
        <row r="314">
          <cell r="A314">
            <v>5939</v>
          </cell>
          <cell r="B314" t="str">
            <v>Yvonand</v>
          </cell>
          <cell r="C314">
            <v>93058.513994358858</v>
          </cell>
          <cell r="D314">
            <v>45302.9</v>
          </cell>
          <cell r="E314">
            <v>138361.41399435885</v>
          </cell>
        </row>
        <row r="315">
          <cell r="A315" t="str">
            <v>Total général</v>
          </cell>
          <cell r="C315">
            <v>146194868.2033307</v>
          </cell>
          <cell r="D315">
            <v>56427835.549999967</v>
          </cell>
          <cell r="E315">
            <v>202622703.75333068</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sheetName val="Tableau (2)"/>
      <sheetName val="Feuil2"/>
      <sheetName val="Feuil3"/>
    </sheetNames>
    <sheetDataSet>
      <sheetData sheetId="0" refreshError="1"/>
      <sheetData sheetId="1">
        <row r="4">
          <cell r="A4">
            <v>5401</v>
          </cell>
          <cell r="B4">
            <v>8375515.8999999771</v>
          </cell>
          <cell r="C4">
            <v>9.3723245474760675E-3</v>
          </cell>
          <cell r="D4">
            <v>468616.25</v>
          </cell>
        </row>
        <row r="5">
          <cell r="A5">
            <v>5402</v>
          </cell>
          <cell r="B5">
            <v>3177458.2999999993</v>
          </cell>
          <cell r="C5">
            <v>3.555622218288864E-3</v>
          </cell>
          <cell r="D5">
            <v>177781.1</v>
          </cell>
        </row>
        <row r="6">
          <cell r="A6">
            <v>5403</v>
          </cell>
          <cell r="B6">
            <v>29596.950000000004</v>
          </cell>
          <cell r="C6">
            <v>3.3119419069507421E-5</v>
          </cell>
          <cell r="D6">
            <v>1655.95</v>
          </cell>
        </row>
        <row r="7">
          <cell r="A7">
            <v>5404</v>
          </cell>
          <cell r="B7">
            <v>16582.849999999999</v>
          </cell>
          <cell r="C7">
            <v>1.8556451205843203E-5</v>
          </cell>
          <cell r="D7">
            <v>927.8</v>
          </cell>
        </row>
        <row r="8">
          <cell r="A8">
            <v>5405</v>
          </cell>
          <cell r="B8">
            <v>164931.69999999995</v>
          </cell>
          <cell r="C8">
            <v>1.8456097976805969E-4</v>
          </cell>
          <cell r="D8">
            <v>9228.0499999999993</v>
          </cell>
        </row>
        <row r="9">
          <cell r="A9">
            <v>5406</v>
          </cell>
          <cell r="B9">
            <v>416174.59999999992</v>
          </cell>
          <cell r="C9">
            <v>4.6570545219979146E-4</v>
          </cell>
          <cell r="D9">
            <v>23285.25</v>
          </cell>
        </row>
        <row r="10">
          <cell r="A10">
            <v>5407</v>
          </cell>
          <cell r="B10">
            <v>2956033.0999999978</v>
          </cell>
          <cell r="C10">
            <v>3.3078441873988719E-3</v>
          </cell>
          <cell r="D10">
            <v>165392.20000000001</v>
          </cell>
        </row>
        <row r="11">
          <cell r="A11">
            <v>5408</v>
          </cell>
          <cell r="B11">
            <v>562729.40000000014</v>
          </cell>
          <cell r="C11">
            <v>6.2970241262469515E-4</v>
          </cell>
          <cell r="D11">
            <v>31485.1</v>
          </cell>
        </row>
        <row r="12">
          <cell r="A12">
            <v>5409</v>
          </cell>
          <cell r="B12">
            <v>3618306.3000000059</v>
          </cell>
          <cell r="C12">
            <v>4.0489375652403041E-3</v>
          </cell>
          <cell r="D12">
            <v>202446.9</v>
          </cell>
        </row>
        <row r="13">
          <cell r="A13">
            <v>5410</v>
          </cell>
          <cell r="B13">
            <v>312432.15000000002</v>
          </cell>
          <cell r="C13">
            <v>3.4961613634638711E-4</v>
          </cell>
          <cell r="D13">
            <v>17480.8</v>
          </cell>
        </row>
        <row r="14">
          <cell r="A14">
            <v>5411</v>
          </cell>
          <cell r="B14">
            <v>417561.95000000007</v>
          </cell>
          <cell r="C14">
            <v>4.6725791710060341E-4</v>
          </cell>
          <cell r="D14">
            <v>23362.9</v>
          </cell>
        </row>
        <row r="15">
          <cell r="A15">
            <v>5412</v>
          </cell>
          <cell r="B15">
            <v>738692.15</v>
          </cell>
          <cell r="C15">
            <v>8.2660729836031858E-4</v>
          </cell>
          <cell r="D15">
            <v>41330.35</v>
          </cell>
        </row>
        <row r="16">
          <cell r="A16">
            <v>5413</v>
          </cell>
          <cell r="B16">
            <v>963310.79999999981</v>
          </cell>
          <cell r="C16">
            <v>1.0779588464143244E-3</v>
          </cell>
          <cell r="D16">
            <v>53897.95</v>
          </cell>
        </row>
        <row r="17">
          <cell r="A17">
            <v>5414</v>
          </cell>
          <cell r="B17">
            <v>3722135.1999999918</v>
          </cell>
          <cell r="C17">
            <v>4.1651236199055823E-3</v>
          </cell>
          <cell r="D17">
            <v>208256.2</v>
          </cell>
        </row>
        <row r="18">
          <cell r="A18">
            <v>5415</v>
          </cell>
          <cell r="B18">
            <v>406849.94999999984</v>
          </cell>
          <cell r="C18">
            <v>4.5527103274013481E-4</v>
          </cell>
          <cell r="D18">
            <v>22763.55</v>
          </cell>
        </row>
        <row r="19">
          <cell r="A19">
            <v>5421</v>
          </cell>
          <cell r="B19">
            <v>689055</v>
          </cell>
          <cell r="C19">
            <v>7.7106260296886775E-4</v>
          </cell>
          <cell r="D19">
            <v>38553.15</v>
          </cell>
        </row>
        <row r="20">
          <cell r="A20">
            <v>5422</v>
          </cell>
          <cell r="B20">
            <v>9052752.8500000034</v>
          </cell>
          <cell r="C20">
            <v>1.0130162579989752E-2</v>
          </cell>
          <cell r="D20">
            <v>506508.15</v>
          </cell>
        </row>
        <row r="21">
          <cell r="A21">
            <v>5423</v>
          </cell>
          <cell r="B21">
            <v>37877.500000000007</v>
          </cell>
          <cell r="C21">
            <v>4.2385475388689285E-5</v>
          </cell>
          <cell r="D21">
            <v>2119.25</v>
          </cell>
        </row>
        <row r="22">
          <cell r="A22">
            <v>5424</v>
          </cell>
          <cell r="B22">
            <v>4363.95</v>
          </cell>
          <cell r="C22">
            <v>4.8833237495207067E-6</v>
          </cell>
          <cell r="D22">
            <v>244.15</v>
          </cell>
        </row>
        <row r="23">
          <cell r="A23">
            <v>5425</v>
          </cell>
          <cell r="B23">
            <v>422542.84999999986</v>
          </cell>
          <cell r="C23">
            <v>4.7283161690559356E-4</v>
          </cell>
          <cell r="D23">
            <v>23641.599999999999</v>
          </cell>
        </row>
        <row r="24">
          <cell r="A24">
            <v>5426</v>
          </cell>
          <cell r="B24">
            <v>124649.30000000005</v>
          </cell>
          <cell r="C24">
            <v>1.3948438617562796E-4</v>
          </cell>
          <cell r="D24">
            <v>6974.2</v>
          </cell>
        </row>
        <row r="25">
          <cell r="A25">
            <v>5427</v>
          </cell>
          <cell r="B25">
            <v>177182.69999999995</v>
          </cell>
          <cell r="C25">
            <v>1.9827002759293812E-4</v>
          </cell>
          <cell r="D25">
            <v>9913.5</v>
          </cell>
        </row>
        <row r="26">
          <cell r="A26">
            <v>5428</v>
          </cell>
          <cell r="B26">
            <v>488984.75000000006</v>
          </cell>
          <cell r="C26">
            <v>5.4718107284190828E-4</v>
          </cell>
          <cell r="D26">
            <v>27359.05</v>
          </cell>
        </row>
        <row r="27">
          <cell r="A27">
            <v>5429</v>
          </cell>
          <cell r="B27">
            <v>25904.199999999997</v>
          </cell>
          <cell r="C27">
            <v>2.8987177917330464E-5</v>
          </cell>
          <cell r="D27">
            <v>1449.35</v>
          </cell>
        </row>
        <row r="28">
          <cell r="A28">
            <v>5430</v>
          </cell>
          <cell r="B28">
            <v>16424.5</v>
          </cell>
          <cell r="C28">
            <v>1.8379255244446626E-5</v>
          </cell>
          <cell r="D28">
            <v>918.95</v>
          </cell>
        </row>
        <row r="29">
          <cell r="A29">
            <v>5431</v>
          </cell>
          <cell r="B29">
            <v>3561.7499999999991</v>
          </cell>
          <cell r="C29">
            <v>3.9856502400016895E-6</v>
          </cell>
          <cell r="D29">
            <v>199.3</v>
          </cell>
        </row>
        <row r="30">
          <cell r="A30">
            <v>5432</v>
          </cell>
          <cell r="B30">
            <v>135487.4</v>
          </cell>
          <cell r="C30">
            <v>1.5161237827674738E-4</v>
          </cell>
          <cell r="D30">
            <v>7580.6</v>
          </cell>
        </row>
        <row r="31">
          <cell r="A31">
            <v>5434</v>
          </cell>
          <cell r="B31">
            <v>89073.4</v>
          </cell>
          <cell r="C31">
            <v>9.9674434782836126E-5</v>
          </cell>
          <cell r="D31">
            <v>4983.7</v>
          </cell>
        </row>
        <row r="32">
          <cell r="A32">
            <v>5435</v>
          </cell>
          <cell r="B32">
            <v>49053.15</v>
          </cell>
          <cell r="C32">
            <v>5.489119086694432E-5</v>
          </cell>
          <cell r="D32">
            <v>2744.55</v>
          </cell>
        </row>
        <row r="33">
          <cell r="A33">
            <v>5436</v>
          </cell>
          <cell r="B33">
            <v>2566.1</v>
          </cell>
          <cell r="C33">
            <v>2.8715033567398996E-6</v>
          </cell>
          <cell r="D33">
            <v>143.6</v>
          </cell>
        </row>
        <row r="34">
          <cell r="A34">
            <v>5437</v>
          </cell>
          <cell r="B34">
            <v>20357.150000000001</v>
          </cell>
          <cell r="C34">
            <v>2.2779947998385741E-5</v>
          </cell>
          <cell r="D34">
            <v>1139</v>
          </cell>
        </row>
        <row r="35">
          <cell r="A35">
            <v>5451</v>
          </cell>
          <cell r="B35">
            <v>1349923.1999999993</v>
          </cell>
          <cell r="C35">
            <v>1.5105837653018451E-3</v>
          </cell>
          <cell r="D35">
            <v>75529.2</v>
          </cell>
        </row>
        <row r="36">
          <cell r="A36">
            <v>5456</v>
          </cell>
          <cell r="B36">
            <v>286138.90000000002</v>
          </cell>
          <cell r="C36">
            <v>3.2019360580018804E-4</v>
          </cell>
          <cell r="D36">
            <v>16009.7</v>
          </cell>
        </row>
        <row r="37">
          <cell r="A37">
            <v>5458</v>
          </cell>
          <cell r="B37">
            <v>136006.69999999995</v>
          </cell>
          <cell r="C37">
            <v>1.5219348255684362E-4</v>
          </cell>
          <cell r="D37">
            <v>7609.65</v>
          </cell>
        </row>
        <row r="38">
          <cell r="A38">
            <v>5464</v>
          </cell>
          <cell r="B38">
            <v>191774.55000000005</v>
          </cell>
          <cell r="C38">
            <v>2.1459852073663687E-4</v>
          </cell>
          <cell r="D38">
            <v>10729.95</v>
          </cell>
        </row>
        <row r="39">
          <cell r="A39">
            <v>5471</v>
          </cell>
          <cell r="B39">
            <v>57368.449999999983</v>
          </cell>
          <cell r="C39">
            <v>6.4196132943363491E-5</v>
          </cell>
          <cell r="D39">
            <v>3209.8</v>
          </cell>
        </row>
        <row r="40">
          <cell r="A40">
            <v>5472</v>
          </cell>
          <cell r="B40">
            <v>66429.350000000006</v>
          </cell>
          <cell r="C40">
            <v>7.4335412303125234E-5</v>
          </cell>
          <cell r="D40">
            <v>3716.75</v>
          </cell>
        </row>
        <row r="41">
          <cell r="A41">
            <v>5473</v>
          </cell>
          <cell r="B41">
            <v>152490.95000000004</v>
          </cell>
          <cell r="C41">
            <v>1.7063959892344661E-4</v>
          </cell>
          <cell r="D41">
            <v>8532</v>
          </cell>
        </row>
        <row r="42">
          <cell r="A42">
            <v>5474</v>
          </cell>
          <cell r="B42">
            <v>14553.800000000003</v>
          </cell>
          <cell r="C42">
            <v>1.6285914638292022E-5</v>
          </cell>
          <cell r="D42">
            <v>814.3</v>
          </cell>
        </row>
        <row r="43">
          <cell r="A43">
            <v>5475</v>
          </cell>
          <cell r="B43">
            <v>3737.3500000000004</v>
          </cell>
          <cell r="C43">
            <v>4.1821492031923409E-6</v>
          </cell>
          <cell r="D43">
            <v>209.1</v>
          </cell>
        </row>
        <row r="44">
          <cell r="A44">
            <v>5476</v>
          </cell>
          <cell r="B44">
            <v>11841.949999999999</v>
          </cell>
          <cell r="C44">
            <v>1.3251314904074687E-5</v>
          </cell>
          <cell r="D44">
            <v>662.55</v>
          </cell>
        </row>
        <row r="45">
          <cell r="A45">
            <v>5477</v>
          </cell>
          <cell r="B45">
            <v>1269570.300000001</v>
          </cell>
          <cell r="C45">
            <v>1.4206676973100363E-3</v>
          </cell>
          <cell r="D45">
            <v>71033.399999999994</v>
          </cell>
        </row>
        <row r="46">
          <cell r="A46">
            <v>5478</v>
          </cell>
          <cell r="B46">
            <v>78281.60000000002</v>
          </cell>
          <cell r="C46">
            <v>8.7598253057546554E-5</v>
          </cell>
          <cell r="D46">
            <v>4379.8999999999996</v>
          </cell>
        </row>
        <row r="47">
          <cell r="A47">
            <v>5479</v>
          </cell>
          <cell r="B47">
            <v>20369.7</v>
          </cell>
          <cell r="C47">
            <v>2.2793991631575051E-5</v>
          </cell>
          <cell r="D47">
            <v>1139.7</v>
          </cell>
        </row>
        <row r="48">
          <cell r="A48">
            <v>5480</v>
          </cell>
          <cell r="B48">
            <v>410302.40000000008</v>
          </cell>
          <cell r="C48">
            <v>4.5913437468471114E-4</v>
          </cell>
          <cell r="D48">
            <v>22956.7</v>
          </cell>
        </row>
        <row r="49">
          <cell r="A49">
            <v>5481</v>
          </cell>
          <cell r="B49">
            <v>54683.350000000006</v>
          </cell>
          <cell r="C49">
            <v>6.1191466849609458E-5</v>
          </cell>
          <cell r="D49">
            <v>3059.55</v>
          </cell>
        </row>
        <row r="50">
          <cell r="A50">
            <v>5482</v>
          </cell>
          <cell r="B50">
            <v>964810.45000000007</v>
          </cell>
          <cell r="C50">
            <v>1.0796369766543524E-3</v>
          </cell>
          <cell r="D50">
            <v>53981.85</v>
          </cell>
        </row>
        <row r="51">
          <cell r="A51">
            <v>5483</v>
          </cell>
          <cell r="B51">
            <v>34962.75</v>
          </cell>
          <cell r="C51">
            <v>3.9123827592789808E-5</v>
          </cell>
          <cell r="D51">
            <v>1956.2</v>
          </cell>
        </row>
        <row r="52">
          <cell r="A52">
            <v>5484</v>
          </cell>
          <cell r="B52">
            <v>326727.05000000005</v>
          </cell>
          <cell r="C52">
            <v>3.656123381055786E-4</v>
          </cell>
          <cell r="D52">
            <v>18280.599999999999</v>
          </cell>
        </row>
        <row r="53">
          <cell r="A53">
            <v>5485</v>
          </cell>
          <cell r="B53">
            <v>64772.649999999994</v>
          </cell>
          <cell r="C53">
            <v>7.2481540820676761E-5</v>
          </cell>
          <cell r="D53">
            <v>3624.1</v>
          </cell>
        </row>
        <row r="54">
          <cell r="A54">
            <v>5486</v>
          </cell>
          <cell r="B54">
            <v>256960.45</v>
          </cell>
          <cell r="C54">
            <v>2.8754249433942373E-4</v>
          </cell>
          <cell r="D54">
            <v>14377.1</v>
          </cell>
        </row>
        <row r="55">
          <cell r="A55">
            <v>5487</v>
          </cell>
          <cell r="B55">
            <v>20528.849999999999</v>
          </cell>
          <cell r="C55">
            <v>2.2972082804649035E-5</v>
          </cell>
          <cell r="D55">
            <v>1148.5999999999999</v>
          </cell>
        </row>
        <row r="56">
          <cell r="A56">
            <v>5488</v>
          </cell>
          <cell r="B56">
            <v>1743.5500000000006</v>
          </cell>
          <cell r="C56">
            <v>1.9510579001768651E-6</v>
          </cell>
          <cell r="D56">
            <v>97.55</v>
          </cell>
        </row>
        <row r="57">
          <cell r="A57">
            <v>5489</v>
          </cell>
          <cell r="B57">
            <v>865514.70000000019</v>
          </cell>
          <cell r="C57">
            <v>9.6852358300835036E-4</v>
          </cell>
          <cell r="D57">
            <v>48426.2</v>
          </cell>
        </row>
        <row r="58">
          <cell r="A58">
            <v>5490</v>
          </cell>
          <cell r="B58">
            <v>14703.5</v>
          </cell>
          <cell r="C58">
            <v>1.6453431123426645E-5</v>
          </cell>
          <cell r="D58">
            <v>822.65</v>
          </cell>
        </row>
        <row r="59">
          <cell r="A59">
            <v>5491</v>
          </cell>
          <cell r="B59">
            <v>8229.25</v>
          </cell>
          <cell r="C59">
            <v>9.2086508703681937E-6</v>
          </cell>
          <cell r="D59">
            <v>460.45</v>
          </cell>
        </row>
        <row r="60">
          <cell r="A60">
            <v>5492</v>
          </cell>
          <cell r="B60">
            <v>414598.9</v>
          </cell>
          <cell r="C60">
            <v>4.639422208996805E-4</v>
          </cell>
          <cell r="D60">
            <v>23197.1</v>
          </cell>
        </row>
        <row r="61">
          <cell r="A61">
            <v>5493</v>
          </cell>
          <cell r="B61">
            <v>13297.000000000002</v>
          </cell>
          <cell r="C61">
            <v>1.4879537093086963E-5</v>
          </cell>
          <cell r="D61">
            <v>744</v>
          </cell>
        </row>
        <row r="62">
          <cell r="A62">
            <v>5494</v>
          </cell>
          <cell r="B62">
            <v>113591.95000000001</v>
          </cell>
          <cell r="C62">
            <v>1.2711105012416931E-4</v>
          </cell>
          <cell r="D62">
            <v>6355.55</v>
          </cell>
        </row>
        <row r="63">
          <cell r="A63">
            <v>5495</v>
          </cell>
          <cell r="B63">
            <v>635723.4500000003</v>
          </cell>
          <cell r="C63">
            <v>7.1138382005115578E-4</v>
          </cell>
          <cell r="D63">
            <v>35569.199999999997</v>
          </cell>
        </row>
        <row r="64">
          <cell r="A64">
            <v>5496</v>
          </cell>
          <cell r="B64">
            <v>412525.19999999984</v>
          </cell>
          <cell r="C64">
            <v>4.6162172033038389E-4</v>
          </cell>
          <cell r="D64">
            <v>23081.1</v>
          </cell>
        </row>
        <row r="65">
          <cell r="A65">
            <v>5497</v>
          </cell>
          <cell r="B65">
            <v>28494.950000000004</v>
          </cell>
          <cell r="C65">
            <v>3.1886264983880446E-5</v>
          </cell>
          <cell r="D65">
            <v>1594.3</v>
          </cell>
        </row>
        <row r="66">
          <cell r="A66">
            <v>5498</v>
          </cell>
          <cell r="B66">
            <v>432877.05000000069</v>
          </cell>
          <cell r="C66">
            <v>4.8439573755140774E-4</v>
          </cell>
          <cell r="D66">
            <v>24219.8</v>
          </cell>
        </row>
        <row r="67">
          <cell r="A67">
            <v>5499</v>
          </cell>
          <cell r="B67">
            <v>60657.4</v>
          </cell>
          <cell r="C67">
            <v>6.787651600136971E-5</v>
          </cell>
          <cell r="D67">
            <v>3393.85</v>
          </cell>
        </row>
        <row r="68">
          <cell r="A68">
            <v>5500</v>
          </cell>
          <cell r="B68">
            <v>12893</v>
          </cell>
          <cell r="C68">
            <v>1.4427455195996855E-5</v>
          </cell>
          <cell r="D68">
            <v>721.35</v>
          </cell>
        </row>
        <row r="69">
          <cell r="A69">
            <v>5501</v>
          </cell>
          <cell r="B69">
            <v>96382.050000000017</v>
          </cell>
          <cell r="C69">
            <v>1.0785292081542922E-4</v>
          </cell>
          <cell r="D69">
            <v>5392.65</v>
          </cell>
        </row>
        <row r="70">
          <cell r="A70">
            <v>5503</v>
          </cell>
          <cell r="B70">
            <v>1367629</v>
          </cell>
          <cell r="C70">
            <v>1.5303968139491182E-3</v>
          </cell>
          <cell r="D70">
            <v>76519.850000000006</v>
          </cell>
        </row>
        <row r="71">
          <cell r="A71">
            <v>5511</v>
          </cell>
          <cell r="B71">
            <v>944948.05000000016</v>
          </cell>
          <cell r="C71">
            <v>1.0574106611277126E-3</v>
          </cell>
          <cell r="D71">
            <v>52870.55</v>
          </cell>
        </row>
        <row r="72">
          <cell r="A72">
            <v>5512</v>
          </cell>
          <cell r="B72">
            <v>147194.19999999998</v>
          </cell>
          <cell r="C72">
            <v>1.6471245835807027E-4</v>
          </cell>
          <cell r="D72">
            <v>8235.6</v>
          </cell>
        </row>
        <row r="73">
          <cell r="A73">
            <v>5513</v>
          </cell>
          <cell r="B73">
            <v>1407287.4999999998</v>
          </cell>
          <cell r="C73">
            <v>1.5747752543346328E-3</v>
          </cell>
          <cell r="D73">
            <v>78738.75</v>
          </cell>
        </row>
        <row r="74">
          <cell r="A74">
            <v>5514</v>
          </cell>
          <cell r="B74">
            <v>89960.9</v>
          </cell>
          <cell r="C74">
            <v>1.0066756023745857E-4</v>
          </cell>
          <cell r="D74">
            <v>5033.3999999999996</v>
          </cell>
        </row>
        <row r="75">
          <cell r="A75">
            <v>5515</v>
          </cell>
          <cell r="B75">
            <v>23374.199999999993</v>
          </cell>
          <cell r="C75">
            <v>2.6156070987533514E-5</v>
          </cell>
          <cell r="D75">
            <v>1307.8</v>
          </cell>
        </row>
        <row r="76">
          <cell r="A76">
            <v>5516</v>
          </cell>
          <cell r="B76">
            <v>637245.15000000014</v>
          </cell>
          <cell r="C76">
            <v>7.1308662456304173E-4</v>
          </cell>
          <cell r="D76">
            <v>35654.35</v>
          </cell>
        </row>
        <row r="77">
          <cell r="A77">
            <v>5518</v>
          </cell>
          <cell r="B77">
            <v>3886815.6499999939</v>
          </cell>
          <cell r="C77">
            <v>4.3494034472562086E-3</v>
          </cell>
          <cell r="D77">
            <v>217470.15</v>
          </cell>
        </row>
        <row r="78">
          <cell r="A78">
            <v>5520</v>
          </cell>
          <cell r="B78">
            <v>76618.85000000002</v>
          </cell>
          <cell r="C78">
            <v>8.5737611536787703E-5</v>
          </cell>
          <cell r="D78">
            <v>4286.8999999999996</v>
          </cell>
        </row>
        <row r="79">
          <cell r="A79">
            <v>5521</v>
          </cell>
          <cell r="B79">
            <v>359049.75</v>
          </cell>
          <cell r="C79">
            <v>4.0178191121219823E-4</v>
          </cell>
          <cell r="D79">
            <v>20089.099999999999</v>
          </cell>
        </row>
        <row r="80">
          <cell r="A80">
            <v>5522</v>
          </cell>
          <cell r="B80">
            <v>83680.2</v>
          </cell>
          <cell r="C80">
            <v>9.3639365259602569E-5</v>
          </cell>
          <cell r="D80">
            <v>4681.95</v>
          </cell>
        </row>
        <row r="81">
          <cell r="A81">
            <v>5523</v>
          </cell>
          <cell r="B81">
            <v>228548.00000000012</v>
          </cell>
          <cell r="C81">
            <v>2.5574854805977593E-4</v>
          </cell>
          <cell r="D81">
            <v>12787.45</v>
          </cell>
        </row>
        <row r="82">
          <cell r="A82">
            <v>5527</v>
          </cell>
          <cell r="B82">
            <v>40560.849999999991</v>
          </cell>
          <cell r="C82">
            <v>4.5388183206899006E-5</v>
          </cell>
          <cell r="D82">
            <v>2269.4</v>
          </cell>
        </row>
        <row r="83">
          <cell r="A83">
            <v>5529</v>
          </cell>
          <cell r="B83">
            <v>134994.74999999997</v>
          </cell>
          <cell r="C83">
            <v>1.510610957356547E-4</v>
          </cell>
          <cell r="D83">
            <v>7553.05</v>
          </cell>
        </row>
        <row r="84">
          <cell r="A84">
            <v>5530</v>
          </cell>
          <cell r="B84">
            <v>199209.3</v>
          </cell>
          <cell r="C84">
            <v>2.2291811450988102E-4</v>
          </cell>
          <cell r="D84">
            <v>11145.9</v>
          </cell>
        </row>
        <row r="85">
          <cell r="A85">
            <v>5531</v>
          </cell>
          <cell r="B85">
            <v>20471.099999999999</v>
          </cell>
          <cell r="C85">
            <v>2.2907459711686279E-5</v>
          </cell>
          <cell r="D85">
            <v>1145.3499999999999</v>
          </cell>
        </row>
        <row r="86">
          <cell r="A86">
            <v>5533</v>
          </cell>
          <cell r="B86">
            <v>412840.35</v>
          </cell>
          <cell r="C86">
            <v>4.6197437778055221E-4</v>
          </cell>
          <cell r="D86">
            <v>23098.7</v>
          </cell>
        </row>
        <row r="87">
          <cell r="A87">
            <v>5534</v>
          </cell>
          <cell r="B87">
            <v>336451.99999999994</v>
          </cell>
          <cell r="C87">
            <v>3.7649469910831714E-4</v>
          </cell>
          <cell r="D87">
            <v>18824.75</v>
          </cell>
        </row>
        <row r="88">
          <cell r="A88">
            <v>5535</v>
          </cell>
          <cell r="B88">
            <v>51334.25</v>
          </cell>
          <cell r="C88">
            <v>5.7443775063608277E-5</v>
          </cell>
          <cell r="D88">
            <v>2872.2</v>
          </cell>
        </row>
        <row r="89">
          <cell r="A89">
            <v>5537</v>
          </cell>
          <cell r="B89">
            <v>75474</v>
          </cell>
          <cell r="C89">
            <v>8.4456507675689647E-5</v>
          </cell>
          <cell r="D89">
            <v>4222.8500000000004</v>
          </cell>
        </row>
        <row r="90">
          <cell r="A90">
            <v>5539</v>
          </cell>
          <cell r="B90">
            <v>36810.399999999994</v>
          </cell>
          <cell r="C90">
            <v>4.1191374912489142E-5</v>
          </cell>
          <cell r="D90">
            <v>2059.5500000000002</v>
          </cell>
        </row>
        <row r="91">
          <cell r="A91">
            <v>5540</v>
          </cell>
          <cell r="B91">
            <v>313351.44999999995</v>
          </cell>
          <cell r="C91">
            <v>3.5064484646518635E-4</v>
          </cell>
          <cell r="D91">
            <v>17532.25</v>
          </cell>
        </row>
        <row r="92">
          <cell r="A92">
            <v>5541</v>
          </cell>
          <cell r="B92">
            <v>252335.70000000007</v>
          </cell>
          <cell r="C92">
            <v>2.8236733158306868E-4</v>
          </cell>
          <cell r="D92">
            <v>14118.35</v>
          </cell>
        </row>
        <row r="93">
          <cell r="A93">
            <v>5551</v>
          </cell>
          <cell r="B93">
            <v>64152.25</v>
          </cell>
          <cell r="C93">
            <v>7.1787304164848306E-5</v>
          </cell>
          <cell r="D93">
            <v>3589.35</v>
          </cell>
        </row>
        <row r="94">
          <cell r="A94">
            <v>5552</v>
          </cell>
          <cell r="B94">
            <v>27445.600000000006</v>
          </cell>
          <cell r="C94">
            <v>3.0712027016772771E-5</v>
          </cell>
          <cell r="D94">
            <v>1535.6</v>
          </cell>
        </row>
        <row r="95">
          <cell r="A95">
            <v>5553</v>
          </cell>
          <cell r="B95">
            <v>201639.3</v>
          </cell>
          <cell r="C95">
            <v>2.2563731998000221E-4</v>
          </cell>
          <cell r="D95">
            <v>11281.85</v>
          </cell>
        </row>
        <row r="96">
          <cell r="A96">
            <v>5554</v>
          </cell>
          <cell r="B96">
            <v>82180</v>
          </cell>
          <cell r="C96">
            <v>9.1960619561546686E-5</v>
          </cell>
          <cell r="D96">
            <v>4598.05</v>
          </cell>
        </row>
        <row r="97">
          <cell r="A97">
            <v>5555</v>
          </cell>
          <cell r="B97">
            <v>28834.650000000005</v>
          </cell>
          <cell r="C97">
            <v>3.2266394242399034E-5</v>
          </cell>
          <cell r="D97">
            <v>1613.3</v>
          </cell>
        </row>
        <row r="98">
          <cell r="A98">
            <v>5556</v>
          </cell>
          <cell r="B98">
            <v>7280.5999999999985</v>
          </cell>
          <cell r="C98">
            <v>8.1470976731540124E-6</v>
          </cell>
          <cell r="D98">
            <v>407.35</v>
          </cell>
        </row>
        <row r="99">
          <cell r="A99">
            <v>5557</v>
          </cell>
          <cell r="B99">
            <v>31618.599999999995</v>
          </cell>
          <cell r="C99">
            <v>3.5381674929042585E-5</v>
          </cell>
          <cell r="D99">
            <v>1769.1</v>
          </cell>
        </row>
        <row r="100">
          <cell r="A100">
            <v>5559</v>
          </cell>
          <cell r="B100">
            <v>119784.04999999999</v>
          </cell>
          <cell r="C100">
            <v>1.3404010040875256E-4</v>
          </cell>
          <cell r="D100">
            <v>6702</v>
          </cell>
        </row>
        <row r="101">
          <cell r="A101">
            <v>5560</v>
          </cell>
          <cell r="B101">
            <v>1810.5</v>
          </cell>
          <cell r="C101">
            <v>2.0259759274297919E-6</v>
          </cell>
          <cell r="D101">
            <v>101.3</v>
          </cell>
        </row>
        <row r="102">
          <cell r="A102">
            <v>5561</v>
          </cell>
          <cell r="B102">
            <v>1047563.9500000004</v>
          </cell>
          <cell r="C102">
            <v>1.1722393510871399E-3</v>
          </cell>
          <cell r="D102">
            <v>58611.95</v>
          </cell>
        </row>
        <row r="103">
          <cell r="A103">
            <v>5562</v>
          </cell>
          <cell r="B103">
            <v>6793.7999999999993</v>
          </cell>
          <cell r="C103">
            <v>7.6023613674523711E-6</v>
          </cell>
          <cell r="D103">
            <v>380.1</v>
          </cell>
        </row>
        <row r="104">
          <cell r="A104">
            <v>5563</v>
          </cell>
          <cell r="B104">
            <v>2413.15</v>
          </cell>
          <cell r="C104">
            <v>2.7003500741658117E-6</v>
          </cell>
          <cell r="D104">
            <v>135</v>
          </cell>
        </row>
        <row r="105">
          <cell r="A105">
            <v>5564</v>
          </cell>
          <cell r="B105">
            <v>585.75</v>
          </cell>
          <cell r="C105">
            <v>6.5546280005081495E-7</v>
          </cell>
          <cell r="D105">
            <v>32.75</v>
          </cell>
        </row>
        <row r="106">
          <cell r="A106">
            <v>5565</v>
          </cell>
          <cell r="B106">
            <v>301107.09999999998</v>
          </cell>
          <cell r="C106">
            <v>3.3694324008737639E-4</v>
          </cell>
          <cell r="D106">
            <v>16847.150000000001</v>
          </cell>
        </row>
        <row r="107">
          <cell r="A107">
            <v>5566</v>
          </cell>
          <cell r="B107">
            <v>21859.7</v>
          </cell>
          <cell r="C107">
            <v>2.4461323380744005E-5</v>
          </cell>
          <cell r="D107">
            <v>1223.05</v>
          </cell>
        </row>
        <row r="108">
          <cell r="A108">
            <v>5568</v>
          </cell>
          <cell r="B108">
            <v>739031.10000000056</v>
          </cell>
          <cell r="C108">
            <v>8.2698658835789023E-4</v>
          </cell>
          <cell r="D108">
            <v>41349.35</v>
          </cell>
        </row>
        <row r="109">
          <cell r="A109">
            <v>5571</v>
          </cell>
          <cell r="B109">
            <v>13500.550000000003</v>
          </cell>
          <cell r="C109">
            <v>1.510731251425699E-5</v>
          </cell>
          <cell r="D109">
            <v>755.35</v>
          </cell>
        </row>
        <row r="110">
          <cell r="A110">
            <v>5581</v>
          </cell>
          <cell r="B110">
            <v>494649.89999999967</v>
          </cell>
          <cell r="C110">
            <v>5.5352045838472964E-4</v>
          </cell>
          <cell r="D110">
            <v>27676</v>
          </cell>
        </row>
        <row r="111">
          <cell r="A111">
            <v>5582</v>
          </cell>
          <cell r="B111">
            <v>3858672.6500000013</v>
          </cell>
          <cell r="C111">
            <v>4.3179110194596654E-3</v>
          </cell>
          <cell r="D111">
            <v>215895.55</v>
          </cell>
        </row>
        <row r="112">
          <cell r="A112">
            <v>5583</v>
          </cell>
          <cell r="B112">
            <v>13317162.100000005</v>
          </cell>
          <cell r="C112">
            <v>1.4902098777288254E-2</v>
          </cell>
          <cell r="D112">
            <v>745104.95</v>
          </cell>
        </row>
        <row r="113">
          <cell r="A113">
            <v>5584</v>
          </cell>
          <cell r="B113">
            <v>2832199.0499999952</v>
          </cell>
          <cell r="C113">
            <v>3.1692720778732477E-3</v>
          </cell>
          <cell r="D113">
            <v>158463.6</v>
          </cell>
        </row>
        <row r="114">
          <cell r="A114">
            <v>5585</v>
          </cell>
          <cell r="B114">
            <v>88968.300000000017</v>
          </cell>
          <cell r="C114">
            <v>9.9556826348716918E-5</v>
          </cell>
          <cell r="D114">
            <v>4977.8500000000004</v>
          </cell>
        </row>
        <row r="115">
          <cell r="A115">
            <v>5586</v>
          </cell>
          <cell r="B115">
            <v>285963009.7999981</v>
          </cell>
          <cell r="C115">
            <v>0.31999678209895926</v>
          </cell>
          <cell r="D115">
            <v>15999839.1</v>
          </cell>
        </row>
        <row r="116">
          <cell r="A116">
            <v>5587</v>
          </cell>
          <cell r="B116">
            <v>8198098.3000000184</v>
          </cell>
          <cell r="C116">
            <v>9.173791663354398E-3</v>
          </cell>
          <cell r="D116">
            <v>458689.6</v>
          </cell>
        </row>
        <row r="117">
          <cell r="A117">
            <v>5588</v>
          </cell>
          <cell r="B117">
            <v>3064274.1499999994</v>
          </cell>
          <cell r="C117">
            <v>3.4289675023172527E-3</v>
          </cell>
          <cell r="D117">
            <v>171448.4</v>
          </cell>
        </row>
        <row r="118">
          <cell r="A118">
            <v>5589</v>
          </cell>
          <cell r="B118">
            <v>24675353.550000049</v>
          </cell>
          <cell r="C118">
            <v>2.7612080802606659E-2</v>
          </cell>
          <cell r="D118">
            <v>1380604.05</v>
          </cell>
        </row>
        <row r="119">
          <cell r="A119">
            <v>5590</v>
          </cell>
          <cell r="B119">
            <v>17787971.450000025</v>
          </cell>
          <cell r="C119">
            <v>1.9904999699259022E-2</v>
          </cell>
          <cell r="D119">
            <v>995250</v>
          </cell>
        </row>
        <row r="120">
          <cell r="A120">
            <v>5591</v>
          </cell>
          <cell r="B120">
            <v>14127422.650000025</v>
          </cell>
          <cell r="C120">
            <v>1.5808792159915187E-2</v>
          </cell>
          <cell r="D120">
            <v>790439.6</v>
          </cell>
        </row>
        <row r="121">
          <cell r="A121">
            <v>5592</v>
          </cell>
          <cell r="B121">
            <v>2139847.1999999979</v>
          </cell>
          <cell r="C121">
            <v>2.3945202516310626E-3</v>
          </cell>
          <cell r="D121">
            <v>119726</v>
          </cell>
        </row>
        <row r="122">
          <cell r="A122">
            <v>5601</v>
          </cell>
          <cell r="B122">
            <v>439396.95000000013</v>
          </cell>
          <cell r="C122">
            <v>4.9169160082080754E-4</v>
          </cell>
          <cell r="D122">
            <v>24584.6</v>
          </cell>
        </row>
        <row r="123">
          <cell r="A123">
            <v>5604</v>
          </cell>
          <cell r="B123">
            <v>1133600.0999999989</v>
          </cell>
          <cell r="C123">
            <v>1.2685150587859722E-3</v>
          </cell>
          <cell r="D123">
            <v>63425.75</v>
          </cell>
        </row>
        <row r="124">
          <cell r="A124">
            <v>5606</v>
          </cell>
          <cell r="B124">
            <v>4014975.6000000103</v>
          </cell>
          <cell r="C124">
            <v>4.4928163020259626E-3</v>
          </cell>
          <cell r="D124">
            <v>224640.8</v>
          </cell>
        </row>
        <row r="125">
          <cell r="A125">
            <v>5607</v>
          </cell>
          <cell r="B125">
            <v>2497905.5999999982</v>
          </cell>
          <cell r="C125">
            <v>2.7951928277227655E-3</v>
          </cell>
          <cell r="D125">
            <v>139759.65</v>
          </cell>
        </row>
        <row r="126">
          <cell r="A126">
            <v>5609</v>
          </cell>
          <cell r="B126">
            <v>31571.249999999993</v>
          </cell>
          <cell r="C126">
            <v>3.5328689587886106E-5</v>
          </cell>
          <cell r="D126">
            <v>1766.45</v>
          </cell>
        </row>
        <row r="127">
          <cell r="A127">
            <v>5610</v>
          </cell>
          <cell r="B127">
            <v>30648.250000000007</v>
          </cell>
          <cell r="C127">
            <v>3.4295839115078782E-5</v>
          </cell>
          <cell r="D127">
            <v>1714.8</v>
          </cell>
        </row>
        <row r="128">
          <cell r="A128">
            <v>5611</v>
          </cell>
          <cell r="B128">
            <v>1260952.2500000005</v>
          </cell>
          <cell r="C128">
            <v>1.4110239735644482E-3</v>
          </cell>
          <cell r="D128">
            <v>70551.199999999997</v>
          </cell>
        </row>
        <row r="129">
          <cell r="A129">
            <v>5613</v>
          </cell>
          <cell r="B129">
            <v>665138.84999999893</v>
          </cell>
          <cell r="C129">
            <v>7.4430008202062026E-4</v>
          </cell>
          <cell r="D129">
            <v>37215</v>
          </cell>
        </row>
        <row r="130">
          <cell r="A130">
            <v>5621</v>
          </cell>
          <cell r="B130">
            <v>1266926.5499999996</v>
          </cell>
          <cell r="C130">
            <v>1.4177093024698567E-3</v>
          </cell>
          <cell r="D130">
            <v>70885.45</v>
          </cell>
        </row>
        <row r="131">
          <cell r="A131">
            <v>5622</v>
          </cell>
          <cell r="B131">
            <v>669789.5</v>
          </cell>
          <cell r="C131">
            <v>7.4950422725503262E-4</v>
          </cell>
          <cell r="D131">
            <v>37475.199999999997</v>
          </cell>
        </row>
        <row r="132">
          <cell r="A132">
            <v>5623</v>
          </cell>
          <cell r="B132">
            <v>585012.35000000009</v>
          </cell>
          <cell r="C132">
            <v>6.5463735893351682E-4</v>
          </cell>
          <cell r="D132">
            <v>32731.85</v>
          </cell>
        </row>
        <row r="133">
          <cell r="A133">
            <v>5624</v>
          </cell>
          <cell r="B133">
            <v>13055317.59999999</v>
          </cell>
          <cell r="C133">
            <v>1.4609090959707518E-2</v>
          </cell>
          <cell r="D133">
            <v>730454.55</v>
          </cell>
        </row>
        <row r="134">
          <cell r="A134">
            <v>5625</v>
          </cell>
          <cell r="B134">
            <v>37446.85</v>
          </cell>
          <cell r="C134">
            <v>4.1903571752595581E-5</v>
          </cell>
          <cell r="D134">
            <v>2095.1999999999998</v>
          </cell>
        </row>
        <row r="135">
          <cell r="A135">
            <v>5627</v>
          </cell>
          <cell r="B135">
            <v>5129723.9000000022</v>
          </cell>
          <cell r="C135">
            <v>5.7402359214367704E-3</v>
          </cell>
          <cell r="D135">
            <v>287011.8</v>
          </cell>
        </row>
        <row r="136">
          <cell r="A136">
            <v>5628</v>
          </cell>
          <cell r="B136">
            <v>20987.45</v>
          </cell>
          <cell r="C136">
            <v>2.3485262898722113E-5</v>
          </cell>
          <cell r="D136">
            <v>1174.25</v>
          </cell>
        </row>
        <row r="137">
          <cell r="A137">
            <v>5629</v>
          </cell>
          <cell r="B137">
            <v>23065.850000000002</v>
          </cell>
          <cell r="C137">
            <v>2.5811022836623289E-5</v>
          </cell>
          <cell r="D137">
            <v>1290.55</v>
          </cell>
        </row>
        <row r="138">
          <cell r="A138">
            <v>5631</v>
          </cell>
          <cell r="B138">
            <v>127334.00000000009</v>
          </cell>
          <cell r="C138">
            <v>1.4248860466354338E-4</v>
          </cell>
          <cell r="D138">
            <v>7124.45</v>
          </cell>
        </row>
        <row r="139">
          <cell r="A139">
            <v>5632</v>
          </cell>
          <cell r="B139">
            <v>491786.50000000035</v>
          </cell>
          <cell r="C139">
            <v>5.5031627198837444E-4</v>
          </cell>
          <cell r="D139">
            <v>27515.8</v>
          </cell>
        </row>
        <row r="140">
          <cell r="A140">
            <v>5633</v>
          </cell>
          <cell r="B140">
            <v>1676321.899999999</v>
          </cell>
          <cell r="C140">
            <v>1.8758286749645781E-3</v>
          </cell>
          <cell r="D140">
            <v>93791.45</v>
          </cell>
        </row>
        <row r="141">
          <cell r="A141">
            <v>5634</v>
          </cell>
          <cell r="B141">
            <v>361305.55000000016</v>
          </cell>
          <cell r="C141">
            <v>4.0430618433956439E-4</v>
          </cell>
          <cell r="D141">
            <v>20215.3</v>
          </cell>
        </row>
        <row r="142">
          <cell r="A142">
            <v>5635</v>
          </cell>
          <cell r="B142">
            <v>11085105.750000013</v>
          </cell>
          <cell r="C142">
            <v>1.2404395140852578E-2</v>
          </cell>
          <cell r="D142">
            <v>620219.75</v>
          </cell>
        </row>
        <row r="143">
          <cell r="A143">
            <v>5636</v>
          </cell>
          <cell r="B143">
            <v>4287727.549999997</v>
          </cell>
          <cell r="C143">
            <v>4.7980297153700701E-3</v>
          </cell>
          <cell r="D143">
            <v>239901.5</v>
          </cell>
        </row>
        <row r="144">
          <cell r="A144">
            <v>5637</v>
          </cell>
          <cell r="B144">
            <v>156361.34999999989</v>
          </cell>
          <cell r="C144">
            <v>1.7497063301873738E-4</v>
          </cell>
          <cell r="D144">
            <v>8748.5499999999993</v>
          </cell>
        </row>
        <row r="145">
          <cell r="A145">
            <v>5638</v>
          </cell>
          <cell r="B145">
            <v>3313019.9499999988</v>
          </cell>
          <cell r="C145">
            <v>3.7073176833994199E-3</v>
          </cell>
          <cell r="D145">
            <v>185365.9</v>
          </cell>
        </row>
        <row r="146">
          <cell r="A146">
            <v>5639</v>
          </cell>
          <cell r="B146">
            <v>213452</v>
          </cell>
          <cell r="C146">
            <v>2.3885590370712172E-4</v>
          </cell>
          <cell r="D146">
            <v>11942.8</v>
          </cell>
        </row>
        <row r="147">
          <cell r="A147">
            <v>5640</v>
          </cell>
          <cell r="B147">
            <v>569946.44999999995</v>
          </cell>
          <cell r="C147">
            <v>6.3777839692022496E-4</v>
          </cell>
          <cell r="D147">
            <v>31888.9</v>
          </cell>
        </row>
        <row r="148">
          <cell r="A148">
            <v>5642</v>
          </cell>
          <cell r="B148">
            <v>22344466.399999905</v>
          </cell>
          <cell r="C148">
            <v>2.5003784058361574E-2</v>
          </cell>
          <cell r="D148">
            <v>1250189.2</v>
          </cell>
        </row>
        <row r="149">
          <cell r="A149">
            <v>5643</v>
          </cell>
          <cell r="B149">
            <v>2414527.1499999948</v>
          </cell>
          <cell r="C149">
            <v>2.7018911251177305E-3</v>
          </cell>
          <cell r="D149">
            <v>135094.54999999999</v>
          </cell>
        </row>
        <row r="150">
          <cell r="A150">
            <v>5644</v>
          </cell>
          <cell r="B150">
            <v>96122.249999999971</v>
          </cell>
          <cell r="C150">
            <v>1.0756220082319152E-4</v>
          </cell>
          <cell r="D150">
            <v>5378.1</v>
          </cell>
        </row>
        <row r="151">
          <cell r="A151">
            <v>5645</v>
          </cell>
          <cell r="B151">
            <v>260634.60000000015</v>
          </cell>
          <cell r="C151">
            <v>2.9165392182010111E-4</v>
          </cell>
          <cell r="D151">
            <v>14582.7</v>
          </cell>
        </row>
        <row r="152">
          <cell r="A152">
            <v>5646</v>
          </cell>
          <cell r="B152">
            <v>19733278.249999985</v>
          </cell>
          <cell r="C152">
            <v>2.2081826403630961E-2</v>
          </cell>
          <cell r="D152">
            <v>1104091.3</v>
          </cell>
        </row>
        <row r="153">
          <cell r="A153">
            <v>5648</v>
          </cell>
          <cell r="B153">
            <v>3193926.2000000034</v>
          </cell>
          <cell r="C153">
            <v>3.5740500387668145E-3</v>
          </cell>
          <cell r="D153">
            <v>178702.5</v>
          </cell>
        </row>
        <row r="154">
          <cell r="A154">
            <v>5649</v>
          </cell>
          <cell r="B154">
            <v>10155578.100000003</v>
          </cell>
          <cell r="C154">
            <v>1.1364240132412698E-2</v>
          </cell>
          <cell r="D154">
            <v>568212</v>
          </cell>
        </row>
        <row r="155">
          <cell r="A155">
            <v>5650</v>
          </cell>
          <cell r="B155">
            <v>57467.299999999988</v>
          </cell>
          <cell r="C155">
            <v>6.4306747536252995E-5</v>
          </cell>
          <cell r="D155">
            <v>3215.35</v>
          </cell>
        </row>
        <row r="156">
          <cell r="A156">
            <v>5651</v>
          </cell>
          <cell r="B156">
            <v>1191960.4500000002</v>
          </cell>
          <cell r="C156">
            <v>1.333821142307861E-3</v>
          </cell>
          <cell r="D156">
            <v>66691.05</v>
          </cell>
        </row>
        <row r="157">
          <cell r="A157">
            <v>5652</v>
          </cell>
          <cell r="B157">
            <v>37343.800000000003</v>
          </cell>
          <cell r="C157">
            <v>4.1788257298399702E-5</v>
          </cell>
          <cell r="D157">
            <v>2089.4</v>
          </cell>
        </row>
        <row r="158">
          <cell r="A158">
            <v>5653</v>
          </cell>
          <cell r="B158">
            <v>41698.39999999998</v>
          </cell>
          <cell r="C158">
            <v>4.6661118261440699E-5</v>
          </cell>
          <cell r="D158">
            <v>2333.0500000000002</v>
          </cell>
        </row>
        <row r="159">
          <cell r="A159">
            <v>5654</v>
          </cell>
          <cell r="B159">
            <v>68422.049999999988</v>
          </cell>
          <cell r="C159">
            <v>7.6565272690084268E-5</v>
          </cell>
          <cell r="D159">
            <v>3828.25</v>
          </cell>
        </row>
        <row r="160">
          <cell r="A160">
            <v>5655</v>
          </cell>
          <cell r="B160">
            <v>422633.99999999977</v>
          </cell>
          <cell r="C160">
            <v>4.7293361508608789E-4</v>
          </cell>
          <cell r="D160">
            <v>23646.7</v>
          </cell>
        </row>
        <row r="161">
          <cell r="A161">
            <v>5661</v>
          </cell>
          <cell r="B161">
            <v>8550.4000000000015</v>
          </cell>
          <cell r="C161">
            <v>9.5680224081169258E-6</v>
          </cell>
          <cell r="D161">
            <v>478.4</v>
          </cell>
        </row>
        <row r="162">
          <cell r="A162">
            <v>5663</v>
          </cell>
          <cell r="B162">
            <v>12493.900000000001</v>
          </cell>
          <cell r="C162">
            <v>1.3980856470430864E-5</v>
          </cell>
          <cell r="D162">
            <v>699.05</v>
          </cell>
        </row>
        <row r="163">
          <cell r="A163">
            <v>5665</v>
          </cell>
          <cell r="B163">
            <v>11850.95</v>
          </cell>
          <cell r="C163">
            <v>1.3261386035445508E-5</v>
          </cell>
          <cell r="D163">
            <v>663.05</v>
          </cell>
        </row>
        <row r="164">
          <cell r="A164">
            <v>5669</v>
          </cell>
          <cell r="B164">
            <v>32742.35</v>
          </cell>
          <cell r="C164">
            <v>3.6639167582149044E-5</v>
          </cell>
          <cell r="D164">
            <v>1831.95</v>
          </cell>
        </row>
        <row r="165">
          <cell r="A165">
            <v>5671</v>
          </cell>
          <cell r="B165">
            <v>49212.749999999985</v>
          </cell>
          <cell r="C165">
            <v>5.5069785596586831E-5</v>
          </cell>
          <cell r="D165">
            <v>2753.5</v>
          </cell>
        </row>
        <row r="166">
          <cell r="A166">
            <v>5673</v>
          </cell>
          <cell r="B166">
            <v>4954.05</v>
          </cell>
          <cell r="C166">
            <v>5.5436542630674176E-6</v>
          </cell>
          <cell r="D166">
            <v>277.2</v>
          </cell>
        </row>
        <row r="167">
          <cell r="A167">
            <v>5674</v>
          </cell>
          <cell r="B167">
            <v>3124.6000000000004</v>
          </cell>
          <cell r="C167">
            <v>3.4964730090290682E-6</v>
          </cell>
          <cell r="D167">
            <v>174.8</v>
          </cell>
        </row>
        <row r="168">
          <cell r="A168">
            <v>5675</v>
          </cell>
          <cell r="B168">
            <v>1559465.75</v>
          </cell>
          <cell r="C168">
            <v>1.7450649373936735E-3</v>
          </cell>
          <cell r="D168">
            <v>87253.25</v>
          </cell>
        </row>
        <row r="169">
          <cell r="A169">
            <v>5678</v>
          </cell>
          <cell r="B169">
            <v>2359353.0999999996</v>
          </cell>
          <cell r="C169">
            <v>2.6401505578054975E-3</v>
          </cell>
          <cell r="D169">
            <v>132007.54999999999</v>
          </cell>
        </row>
        <row r="170">
          <cell r="A170">
            <v>5680</v>
          </cell>
          <cell r="B170">
            <v>16055.95</v>
          </cell>
          <cell r="C170">
            <v>1.7966842414811581E-5</v>
          </cell>
          <cell r="D170">
            <v>898.35</v>
          </cell>
        </row>
        <row r="171">
          <cell r="A171">
            <v>5683</v>
          </cell>
          <cell r="B171">
            <v>46639.25</v>
          </cell>
          <cell r="C171">
            <v>5.2190001531830937E-5</v>
          </cell>
          <cell r="D171">
            <v>2609.5</v>
          </cell>
        </row>
        <row r="172">
          <cell r="A172">
            <v>5684</v>
          </cell>
          <cell r="B172">
            <v>1028.3499999999999</v>
          </cell>
          <cell r="C172">
            <v>1.1507386605757669E-6</v>
          </cell>
          <cell r="D172">
            <v>57.55</v>
          </cell>
        </row>
        <row r="173">
          <cell r="A173">
            <v>5688</v>
          </cell>
          <cell r="B173">
            <v>70769.5</v>
          </cell>
          <cell r="C173">
            <v>7.919210350524311E-5</v>
          </cell>
          <cell r="D173">
            <v>3959.6</v>
          </cell>
        </row>
        <row r="174">
          <cell r="A174">
            <v>5690</v>
          </cell>
          <cell r="B174">
            <v>3335.7999999999993</v>
          </cell>
          <cell r="C174">
            <v>3.7328088918642902E-6</v>
          </cell>
          <cell r="D174">
            <v>186.65</v>
          </cell>
        </row>
        <row r="175">
          <cell r="A175">
            <v>5692</v>
          </cell>
          <cell r="B175">
            <v>36247.799999999996</v>
          </cell>
          <cell r="C175">
            <v>4.056181730035327E-5</v>
          </cell>
          <cell r="D175">
            <v>2028.1</v>
          </cell>
        </row>
        <row r="176">
          <cell r="A176">
            <v>5693</v>
          </cell>
          <cell r="B176">
            <v>445673.44999999984</v>
          </cell>
          <cell r="C176">
            <v>4.9871509593735685E-4</v>
          </cell>
          <cell r="D176">
            <v>24935.75</v>
          </cell>
        </row>
        <row r="177">
          <cell r="A177">
            <v>5701</v>
          </cell>
          <cell r="B177">
            <v>34699.999999999993</v>
          </cell>
          <cell r="C177">
            <v>3.8829806507491722E-5</v>
          </cell>
          <cell r="D177">
            <v>1941.5</v>
          </cell>
        </row>
        <row r="178">
          <cell r="A178">
            <v>5702</v>
          </cell>
          <cell r="B178">
            <v>363532.55000000005</v>
          </cell>
          <cell r="C178">
            <v>4.0679822984654364E-4</v>
          </cell>
          <cell r="D178">
            <v>20339.900000000001</v>
          </cell>
        </row>
        <row r="179">
          <cell r="A179">
            <v>5703</v>
          </cell>
          <cell r="B179">
            <v>110039.39999999998</v>
          </cell>
          <cell r="C179">
            <v>1.2313569481845775E-4</v>
          </cell>
          <cell r="D179">
            <v>6156.8</v>
          </cell>
        </row>
        <row r="180">
          <cell r="A180">
            <v>5704</v>
          </cell>
          <cell r="B180">
            <v>338644.79999999993</v>
          </cell>
          <cell r="C180">
            <v>3.7894847431608737E-4</v>
          </cell>
          <cell r="D180">
            <v>18947.400000000001</v>
          </cell>
        </row>
        <row r="181">
          <cell r="A181">
            <v>5705</v>
          </cell>
          <cell r="B181">
            <v>82397.55</v>
          </cell>
          <cell r="C181">
            <v>9.2204061187071333E-5</v>
          </cell>
          <cell r="D181">
            <v>4610.2</v>
          </cell>
        </row>
        <row r="182">
          <cell r="A182">
            <v>5706</v>
          </cell>
          <cell r="B182">
            <v>56114.850000000006</v>
          </cell>
          <cell r="C182">
            <v>6.2793336244868083E-5</v>
          </cell>
          <cell r="D182">
            <v>3139.65</v>
          </cell>
        </row>
        <row r="183">
          <cell r="A183">
            <v>5707</v>
          </cell>
          <cell r="B183">
            <v>1317364.4499999997</v>
          </cell>
          <cell r="C183">
            <v>1.4741500487996614E-3</v>
          </cell>
          <cell r="D183">
            <v>73707.5</v>
          </cell>
        </row>
        <row r="184">
          <cell r="A184">
            <v>5708</v>
          </cell>
          <cell r="B184">
            <v>39951.299999999996</v>
          </cell>
          <cell r="C184">
            <v>4.4706087859445361E-5</v>
          </cell>
          <cell r="D184">
            <v>2235.3000000000002</v>
          </cell>
        </row>
        <row r="185">
          <cell r="A185">
            <v>5709</v>
          </cell>
          <cell r="B185">
            <v>2863155.2500000005</v>
          </cell>
          <cell r="C185">
            <v>3.2039125175334043E-3</v>
          </cell>
          <cell r="D185">
            <v>160195.65</v>
          </cell>
        </row>
        <row r="186">
          <cell r="A186">
            <v>5710</v>
          </cell>
          <cell r="B186">
            <v>5804177.3499999996</v>
          </cell>
          <cell r="C186">
            <v>6.4949591768203481E-3</v>
          </cell>
          <cell r="D186">
            <v>324747.95</v>
          </cell>
        </row>
        <row r="187">
          <cell r="A187">
            <v>5711</v>
          </cell>
          <cell r="B187">
            <v>246747.84999999998</v>
          </cell>
          <cell r="C187">
            <v>2.7611444586857616E-4</v>
          </cell>
          <cell r="D187">
            <v>13805.7</v>
          </cell>
        </row>
        <row r="188">
          <cell r="A188">
            <v>5712</v>
          </cell>
          <cell r="B188">
            <v>439028.65</v>
          </cell>
          <cell r="C188">
            <v>4.9127946774482156E-4</v>
          </cell>
          <cell r="D188">
            <v>24563.95</v>
          </cell>
        </row>
        <row r="189">
          <cell r="A189">
            <v>5713</v>
          </cell>
          <cell r="B189">
            <v>197182.49999999988</v>
          </cell>
          <cell r="C189">
            <v>2.2065009572517241E-4</v>
          </cell>
          <cell r="D189">
            <v>11032.5</v>
          </cell>
        </row>
        <row r="190">
          <cell r="A190">
            <v>5714</v>
          </cell>
          <cell r="B190">
            <v>485759.55000000028</v>
          </cell>
          <cell r="C190">
            <v>5.4357202696444563E-4</v>
          </cell>
          <cell r="D190">
            <v>27178.6</v>
          </cell>
        </row>
        <row r="191">
          <cell r="A191">
            <v>5715</v>
          </cell>
          <cell r="B191">
            <v>157294.25</v>
          </cell>
          <cell r="C191">
            <v>1.7601456173605275E-4</v>
          </cell>
          <cell r="D191">
            <v>8800.75</v>
          </cell>
        </row>
        <row r="192">
          <cell r="A192">
            <v>5716</v>
          </cell>
          <cell r="B192">
            <v>5617862.6499999994</v>
          </cell>
          <cell r="C192">
            <v>6.2864703079298185E-3</v>
          </cell>
          <cell r="D192">
            <v>314323.5</v>
          </cell>
        </row>
        <row r="193">
          <cell r="A193">
            <v>5717</v>
          </cell>
          <cell r="B193">
            <v>506640.2999999997</v>
          </cell>
          <cell r="C193">
            <v>5.6693789100569305E-4</v>
          </cell>
          <cell r="D193">
            <v>28346.9</v>
          </cell>
        </row>
        <row r="194">
          <cell r="A194">
            <v>5718</v>
          </cell>
          <cell r="B194">
            <v>1206796.3500000001</v>
          </cell>
          <cell r="C194">
            <v>1.3504227309638981E-3</v>
          </cell>
          <cell r="D194">
            <v>67521.149999999994</v>
          </cell>
        </row>
        <row r="195">
          <cell r="A195">
            <v>5719</v>
          </cell>
          <cell r="B195">
            <v>195913.34999999995</v>
          </cell>
          <cell r="C195">
            <v>2.1922989834969749E-4</v>
          </cell>
          <cell r="D195">
            <v>10961.5</v>
          </cell>
        </row>
        <row r="196">
          <cell r="A196">
            <v>5720</v>
          </cell>
          <cell r="B196">
            <v>324062.19999999995</v>
          </cell>
          <cell r="C196">
            <v>3.6263033205740877E-4</v>
          </cell>
          <cell r="D196">
            <v>18131.5</v>
          </cell>
        </row>
        <row r="197">
          <cell r="A197">
            <v>5721</v>
          </cell>
          <cell r="B197">
            <v>7913434.7999999765</v>
          </cell>
          <cell r="C197">
            <v>8.8552490516902189E-3</v>
          </cell>
          <cell r="D197">
            <v>442762.45</v>
          </cell>
        </row>
        <row r="198">
          <cell r="A198">
            <v>5722</v>
          </cell>
          <cell r="B198">
            <v>50915.599999999991</v>
          </cell>
          <cell r="C198">
            <v>5.6975299602675665E-5</v>
          </cell>
          <cell r="D198">
            <v>2848.75</v>
          </cell>
        </row>
        <row r="199">
          <cell r="A199">
            <v>5723</v>
          </cell>
          <cell r="B199">
            <v>613685.30000000063</v>
          </cell>
          <cell r="C199">
            <v>6.8672280851562063E-4</v>
          </cell>
          <cell r="D199">
            <v>34336.15</v>
          </cell>
        </row>
        <row r="200">
          <cell r="A200">
            <v>5724</v>
          </cell>
          <cell r="B200">
            <v>38473009.600000381</v>
          </cell>
          <cell r="C200">
            <v>4.3051859323599034E-2</v>
          </cell>
          <cell r="D200">
            <v>2152592.9500000002</v>
          </cell>
        </row>
        <row r="201">
          <cell r="A201">
            <v>5725</v>
          </cell>
          <cell r="B201">
            <v>1827833.7499999981</v>
          </cell>
          <cell r="C201">
            <v>2.0453726466963381E-3</v>
          </cell>
          <cell r="D201">
            <v>102268.65</v>
          </cell>
        </row>
        <row r="202">
          <cell r="A202">
            <v>5726</v>
          </cell>
          <cell r="B202">
            <v>110388.9</v>
          </cell>
          <cell r="C202">
            <v>1.2352679042002459E-4</v>
          </cell>
          <cell r="D202">
            <v>6176.35</v>
          </cell>
        </row>
        <row r="203">
          <cell r="A203">
            <v>5727</v>
          </cell>
          <cell r="B203">
            <v>251149.24999999988</v>
          </cell>
          <cell r="C203">
            <v>2.8103967671474529E-4</v>
          </cell>
          <cell r="D203">
            <v>14052</v>
          </cell>
        </row>
        <row r="204">
          <cell r="A204">
            <v>5728</v>
          </cell>
          <cell r="B204">
            <v>762942.19999999972</v>
          </cell>
          <cell r="C204">
            <v>8.5374345828242201E-4</v>
          </cell>
          <cell r="D204">
            <v>42687.15</v>
          </cell>
        </row>
        <row r="205">
          <cell r="A205">
            <v>5729</v>
          </cell>
          <cell r="B205">
            <v>1214088.1500000004</v>
          </cell>
          <cell r="C205">
            <v>1.3585823616005363E-3</v>
          </cell>
          <cell r="D205">
            <v>67929.100000000006</v>
          </cell>
        </row>
        <row r="206">
          <cell r="A206">
            <v>5730</v>
          </cell>
          <cell r="B206">
            <v>143529.85000000003</v>
          </cell>
          <cell r="C206">
            <v>1.606119972204413E-4</v>
          </cell>
          <cell r="D206">
            <v>8030.6</v>
          </cell>
        </row>
        <row r="207">
          <cell r="A207">
            <v>5731</v>
          </cell>
          <cell r="B207">
            <v>56614.600000000013</v>
          </cell>
          <cell r="C207">
            <v>6.3352563789597743E-5</v>
          </cell>
          <cell r="D207">
            <v>3167.65</v>
          </cell>
        </row>
        <row r="208">
          <cell r="A208">
            <v>5732</v>
          </cell>
          <cell r="B208">
            <v>1653887.75</v>
          </cell>
          <cell r="C208">
            <v>1.8507245336487276E-3</v>
          </cell>
          <cell r="D208">
            <v>92536.25</v>
          </cell>
        </row>
        <row r="209">
          <cell r="A209">
            <v>5741</v>
          </cell>
          <cell r="B209">
            <v>26303.899999999998</v>
          </cell>
          <cell r="C209">
            <v>2.9434448051654511E-5</v>
          </cell>
          <cell r="D209">
            <v>1471.7</v>
          </cell>
        </row>
        <row r="210">
          <cell r="A210">
            <v>5742</v>
          </cell>
          <cell r="B210">
            <v>34323.699999999997</v>
          </cell>
          <cell r="C210">
            <v>3.840872131473181E-5</v>
          </cell>
          <cell r="D210">
            <v>1920.45</v>
          </cell>
        </row>
        <row r="211">
          <cell r="A211">
            <v>5743</v>
          </cell>
          <cell r="B211">
            <v>44136.899999999994</v>
          </cell>
          <cell r="C211">
            <v>4.9389835355634333E-5</v>
          </cell>
          <cell r="D211">
            <v>2469.5</v>
          </cell>
        </row>
        <row r="212">
          <cell r="A212">
            <v>5744</v>
          </cell>
          <cell r="B212">
            <v>8727381.3499999978</v>
          </cell>
          <cell r="C212">
            <v>9.7660671221208029E-3</v>
          </cell>
          <cell r="D212">
            <v>488303.35</v>
          </cell>
        </row>
        <row r="213">
          <cell r="A213">
            <v>5745</v>
          </cell>
          <cell r="B213">
            <v>270369</v>
          </cell>
          <cell r="C213">
            <v>3.0254685751077896E-4</v>
          </cell>
          <cell r="D213">
            <v>15127.35</v>
          </cell>
        </row>
        <row r="214">
          <cell r="A214">
            <v>5746</v>
          </cell>
          <cell r="B214">
            <v>200667.15000000005</v>
          </cell>
          <cell r="C214">
            <v>2.2454946993976429E-4</v>
          </cell>
          <cell r="D214">
            <v>11227.45</v>
          </cell>
        </row>
        <row r="215">
          <cell r="A215">
            <v>5747</v>
          </cell>
          <cell r="B215">
            <v>43333.15</v>
          </cell>
          <cell r="C215">
            <v>4.8490427373490355E-5</v>
          </cell>
          <cell r="D215">
            <v>2424.5</v>
          </cell>
        </row>
        <row r="216">
          <cell r="A216">
            <v>5748</v>
          </cell>
          <cell r="B216">
            <v>12540.050000000001</v>
          </cell>
          <cell r="C216">
            <v>1.4032498994071231E-5</v>
          </cell>
          <cell r="D216">
            <v>701.6</v>
          </cell>
        </row>
        <row r="217">
          <cell r="A217">
            <v>5749</v>
          </cell>
          <cell r="B217">
            <v>1480676.3</v>
          </cell>
          <cell r="C217">
            <v>1.6568983927731636E-3</v>
          </cell>
          <cell r="D217">
            <v>82844.899999999994</v>
          </cell>
        </row>
        <row r="218">
          <cell r="A218">
            <v>5750</v>
          </cell>
          <cell r="B218">
            <v>10438.399999999998</v>
          </cell>
          <cell r="C218">
            <v>1.1680721966795434E-5</v>
          </cell>
          <cell r="D218">
            <v>584.04999999999995</v>
          </cell>
        </row>
        <row r="219">
          <cell r="A219">
            <v>5752</v>
          </cell>
          <cell r="B219">
            <v>24449.549999999996</v>
          </cell>
          <cell r="C219">
            <v>2.7359403334156892E-5</v>
          </cell>
          <cell r="D219">
            <v>1367.95</v>
          </cell>
        </row>
        <row r="220">
          <cell r="A220">
            <v>5754</v>
          </cell>
          <cell r="B220">
            <v>6280.2000000000007</v>
          </cell>
          <cell r="C220">
            <v>7.0276354705576251E-6</v>
          </cell>
          <cell r="D220">
            <v>351.4</v>
          </cell>
        </row>
        <row r="221">
          <cell r="A221">
            <v>5755</v>
          </cell>
          <cell r="B221">
            <v>59967.649999999994</v>
          </cell>
          <cell r="C221">
            <v>6.7104675683256077E-5</v>
          </cell>
          <cell r="D221">
            <v>3355.25</v>
          </cell>
        </row>
        <row r="222">
          <cell r="A222">
            <v>5756</v>
          </cell>
          <cell r="B222">
            <v>236669.25000000003</v>
          </cell>
          <cell r="C222">
            <v>2.6483634535369417E-4</v>
          </cell>
          <cell r="D222">
            <v>13241.8</v>
          </cell>
        </row>
        <row r="223">
          <cell r="A223">
            <v>5757</v>
          </cell>
          <cell r="B223">
            <v>6678875.5000000028</v>
          </cell>
          <cell r="C223">
            <v>7.4737591744272963E-3</v>
          </cell>
          <cell r="D223">
            <v>373687.95</v>
          </cell>
        </row>
        <row r="224">
          <cell r="A224">
            <v>5758</v>
          </cell>
          <cell r="B224">
            <v>7984.3000000000011</v>
          </cell>
          <cell r="C224">
            <v>8.934548244892399E-6</v>
          </cell>
          <cell r="D224">
            <v>446.75</v>
          </cell>
        </row>
        <row r="225">
          <cell r="A225">
            <v>5759</v>
          </cell>
          <cell r="B225">
            <v>5849.25</v>
          </cell>
          <cell r="C225">
            <v>6.5453961300848992E-6</v>
          </cell>
          <cell r="D225">
            <v>327.25</v>
          </cell>
        </row>
        <row r="226">
          <cell r="A226">
            <v>5760</v>
          </cell>
          <cell r="B226">
            <v>31044.550000000003</v>
          </cell>
          <cell r="C226">
            <v>3.4739304599773844E-5</v>
          </cell>
          <cell r="D226">
            <v>1736.95</v>
          </cell>
        </row>
        <row r="227">
          <cell r="A227">
            <v>5761</v>
          </cell>
          <cell r="B227">
            <v>45137.249999999993</v>
          </cell>
          <cell r="C227">
            <v>5.0509241607500886E-5</v>
          </cell>
          <cell r="D227">
            <v>2525.4499999999998</v>
          </cell>
        </row>
        <row r="228">
          <cell r="A228">
            <v>5762</v>
          </cell>
          <cell r="B228">
            <v>51466.55</v>
          </cell>
          <cell r="C228">
            <v>5.7591820694759321E-5</v>
          </cell>
          <cell r="D228">
            <v>2879.6</v>
          </cell>
        </row>
        <row r="229">
          <cell r="A229">
            <v>5763</v>
          </cell>
          <cell r="B229">
            <v>40060.89999999998</v>
          </cell>
          <cell r="C229">
            <v>4.4828731859249986E-5</v>
          </cell>
          <cell r="D229">
            <v>2241.4499999999998</v>
          </cell>
        </row>
        <row r="230">
          <cell r="A230">
            <v>5764</v>
          </cell>
          <cell r="B230">
            <v>1685579.6999999995</v>
          </cell>
          <cell r="C230">
            <v>1.886188288298442E-3</v>
          </cell>
          <cell r="D230">
            <v>94309.4</v>
          </cell>
        </row>
        <row r="231">
          <cell r="A231">
            <v>5765</v>
          </cell>
          <cell r="B231">
            <v>33809.900000000009</v>
          </cell>
          <cell r="C231">
            <v>3.7833771614917721E-5</v>
          </cell>
          <cell r="D231">
            <v>1891.7</v>
          </cell>
        </row>
        <row r="232">
          <cell r="A232">
            <v>5766</v>
          </cell>
          <cell r="B232">
            <v>55168.749999999985</v>
          </cell>
          <cell r="C232">
            <v>6.1734636534875606E-5</v>
          </cell>
          <cell r="D232">
            <v>3086.75</v>
          </cell>
        </row>
        <row r="233">
          <cell r="A233">
            <v>5785</v>
          </cell>
          <cell r="B233">
            <v>76982.299999999988</v>
          </cell>
          <cell r="C233">
            <v>8.6144317391979256E-5</v>
          </cell>
          <cell r="D233">
            <v>4307.2</v>
          </cell>
        </row>
        <row r="234">
          <cell r="A234">
            <v>5788</v>
          </cell>
          <cell r="B234">
            <v>35383.699999999997</v>
          </cell>
          <cell r="C234">
            <v>3.9594876787294956E-5</v>
          </cell>
          <cell r="D234">
            <v>1979.75</v>
          </cell>
        </row>
        <row r="235">
          <cell r="A235">
            <v>5790</v>
          </cell>
          <cell r="B235">
            <v>10226.5</v>
          </cell>
          <cell r="C235">
            <v>1.1443602773742483E-5</v>
          </cell>
          <cell r="D235">
            <v>572.20000000000005</v>
          </cell>
        </row>
        <row r="236">
          <cell r="A236">
            <v>5792</v>
          </cell>
          <cell r="B236">
            <v>66766.549999999988</v>
          </cell>
          <cell r="C236">
            <v>7.4712744025151912E-5</v>
          </cell>
          <cell r="D236">
            <v>3735.65</v>
          </cell>
        </row>
        <row r="237">
          <cell r="A237">
            <v>5798</v>
          </cell>
          <cell r="B237">
            <v>45577.399999999994</v>
          </cell>
          <cell r="C237">
            <v>5.100177588226378E-5</v>
          </cell>
          <cell r="D237">
            <v>2550.1</v>
          </cell>
        </row>
        <row r="238">
          <cell r="A238">
            <v>5799</v>
          </cell>
          <cell r="B238">
            <v>170601.24999999994</v>
          </cell>
          <cell r="C238">
            <v>1.9090528897510722E-4</v>
          </cell>
          <cell r="D238">
            <v>9545.25</v>
          </cell>
        </row>
        <row r="239">
          <cell r="A239">
            <v>5803</v>
          </cell>
          <cell r="B239">
            <v>45042.8</v>
          </cell>
          <cell r="C239">
            <v>5.040355067883713E-5</v>
          </cell>
          <cell r="D239">
            <v>2520.1999999999998</v>
          </cell>
        </row>
        <row r="240">
          <cell r="A240">
            <v>5804</v>
          </cell>
          <cell r="B240">
            <v>159259.6</v>
          </cell>
          <cell r="C240">
            <v>1.7821381707379047E-4</v>
          </cell>
          <cell r="D240">
            <v>8910.7000000000007</v>
          </cell>
        </row>
        <row r="241">
          <cell r="A241">
            <v>5805</v>
          </cell>
          <cell r="B241">
            <v>2073419.7000000016</v>
          </cell>
          <cell r="C241">
            <v>2.3201869095049454E-3</v>
          </cell>
          <cell r="D241">
            <v>116009.35</v>
          </cell>
        </row>
        <row r="242">
          <cell r="A242">
            <v>5806</v>
          </cell>
          <cell r="B242">
            <v>697986.95</v>
          </cell>
          <cell r="C242">
            <v>7.8105758539637757E-4</v>
          </cell>
          <cell r="D242">
            <v>39052.9</v>
          </cell>
        </row>
        <row r="243">
          <cell r="A243">
            <v>5812</v>
          </cell>
          <cell r="B243">
            <v>2871.15</v>
          </cell>
          <cell r="C243">
            <v>3.212858759480832E-6</v>
          </cell>
          <cell r="D243">
            <v>160.65</v>
          </cell>
        </row>
        <row r="244">
          <cell r="A244">
            <v>5813</v>
          </cell>
          <cell r="B244">
            <v>54193.95</v>
          </cell>
          <cell r="C244">
            <v>6.0643821105956233E-5</v>
          </cell>
          <cell r="D244">
            <v>3032.2</v>
          </cell>
        </row>
        <row r="245">
          <cell r="A245">
            <v>5816</v>
          </cell>
          <cell r="B245">
            <v>740153.74999999988</v>
          </cell>
          <cell r="C245">
            <v>8.2824285009493951E-4</v>
          </cell>
          <cell r="D245">
            <v>41412.15</v>
          </cell>
        </row>
        <row r="246">
          <cell r="A246">
            <v>5817</v>
          </cell>
          <cell r="B246">
            <v>97815.700000000041</v>
          </cell>
          <cell r="C246">
            <v>1.094571960920709E-4</v>
          </cell>
          <cell r="D246">
            <v>5472.85</v>
          </cell>
        </row>
        <row r="247">
          <cell r="A247">
            <v>5819</v>
          </cell>
          <cell r="B247">
            <v>862067.95</v>
          </cell>
          <cell r="C247">
            <v>9.6466661944697558E-4</v>
          </cell>
          <cell r="D247">
            <v>48233.35</v>
          </cell>
        </row>
        <row r="248">
          <cell r="A248">
            <v>5821</v>
          </cell>
          <cell r="B248">
            <v>13616.95</v>
          </cell>
          <cell r="C248">
            <v>1.5237565813319583E-5</v>
          </cell>
          <cell r="D248">
            <v>761.9</v>
          </cell>
        </row>
        <row r="249">
          <cell r="A249">
            <v>5822</v>
          </cell>
          <cell r="B249">
            <v>5505414.4499999974</v>
          </cell>
          <cell r="C249">
            <v>6.1606391307506888E-3</v>
          </cell>
          <cell r="D249">
            <v>308031.95</v>
          </cell>
        </row>
        <row r="250">
          <cell r="A250">
            <v>5827</v>
          </cell>
          <cell r="B250">
            <v>30937.149999999994</v>
          </cell>
          <cell r="C250">
            <v>3.4619122432082059E-5</v>
          </cell>
          <cell r="D250">
            <v>1730.95</v>
          </cell>
        </row>
        <row r="251">
          <cell r="A251">
            <v>5828</v>
          </cell>
          <cell r="B251">
            <v>2215.85</v>
          </cell>
          <cell r="C251">
            <v>2.4795684942255198E-6</v>
          </cell>
          <cell r="D251">
            <v>124</v>
          </cell>
        </row>
        <row r="252">
          <cell r="A252">
            <v>5830</v>
          </cell>
          <cell r="B252">
            <v>27515.500000000004</v>
          </cell>
          <cell r="C252">
            <v>3.0790246137086131E-5</v>
          </cell>
          <cell r="D252">
            <v>1539.5</v>
          </cell>
        </row>
        <row r="253">
          <cell r="A253">
            <v>5831</v>
          </cell>
          <cell r="B253">
            <v>1302527.0000000012</v>
          </cell>
          <cell r="C253">
            <v>1.4575467256710006E-3</v>
          </cell>
          <cell r="D253">
            <v>72877.350000000006</v>
          </cell>
        </row>
        <row r="254">
          <cell r="A254">
            <v>5841</v>
          </cell>
          <cell r="B254">
            <v>949739.15000000026</v>
          </cell>
          <cell r="C254">
            <v>1.0627719719622385E-3</v>
          </cell>
          <cell r="D254">
            <v>53138.6</v>
          </cell>
        </row>
        <row r="255">
          <cell r="A255">
            <v>5842</v>
          </cell>
          <cell r="B255">
            <v>45826.5</v>
          </cell>
          <cell r="C255">
            <v>5.128052241831613E-5</v>
          </cell>
          <cell r="D255">
            <v>2564.0500000000002</v>
          </cell>
        </row>
        <row r="256">
          <cell r="A256">
            <v>5843</v>
          </cell>
          <cell r="B256">
            <v>550557.40000000014</v>
          </cell>
          <cell r="C256">
            <v>6.1608176695296054E-4</v>
          </cell>
          <cell r="D256">
            <v>30804.1</v>
          </cell>
        </row>
        <row r="257">
          <cell r="A257">
            <v>5851</v>
          </cell>
          <cell r="B257">
            <v>656308.75000000012</v>
          </cell>
          <cell r="C257">
            <v>7.3441907122979153E-4</v>
          </cell>
          <cell r="D257">
            <v>36720.949999999997</v>
          </cell>
        </row>
        <row r="258">
          <cell r="A258">
            <v>5852</v>
          </cell>
          <cell r="B258">
            <v>36371.19999999999</v>
          </cell>
          <cell r="C258">
            <v>4.0699903701593163E-5</v>
          </cell>
          <cell r="D258">
            <v>2035</v>
          </cell>
        </row>
        <row r="259">
          <cell r="A259">
            <v>5853</v>
          </cell>
          <cell r="B259">
            <v>218463.44999999992</v>
          </cell>
          <cell r="C259">
            <v>2.4446378940804294E-4</v>
          </cell>
          <cell r="D259">
            <v>12223.2</v>
          </cell>
        </row>
        <row r="260">
          <cell r="A260">
            <v>5854</v>
          </cell>
          <cell r="B260">
            <v>79292.949999999983</v>
          </cell>
          <cell r="C260">
            <v>8.8729968469977388E-5</v>
          </cell>
          <cell r="D260">
            <v>4436.5</v>
          </cell>
        </row>
        <row r="261">
          <cell r="A261">
            <v>5855</v>
          </cell>
          <cell r="B261">
            <v>144726.19999999998</v>
          </cell>
          <cell r="C261">
            <v>1.619507303332723E-4</v>
          </cell>
          <cell r="D261">
            <v>8097.55</v>
          </cell>
        </row>
        <row r="262">
          <cell r="A262">
            <v>5856</v>
          </cell>
          <cell r="B262">
            <v>14771.650000000001</v>
          </cell>
          <cell r="C262">
            <v>1.6529691968195685E-5</v>
          </cell>
          <cell r="D262">
            <v>826.5</v>
          </cell>
        </row>
        <row r="263">
          <cell r="A263">
            <v>5857</v>
          </cell>
          <cell r="B263">
            <v>182459.64999999997</v>
          </cell>
          <cell r="C263">
            <v>2.041750116692986E-4</v>
          </cell>
          <cell r="D263">
            <v>10208.75</v>
          </cell>
        </row>
        <row r="264">
          <cell r="A264">
            <v>5858</v>
          </cell>
          <cell r="B264">
            <v>45537.650000000009</v>
          </cell>
          <cell r="C264">
            <v>5.0957295052042681E-5</v>
          </cell>
          <cell r="D264">
            <v>2547.85</v>
          </cell>
        </row>
        <row r="265">
          <cell r="A265">
            <v>5859</v>
          </cell>
          <cell r="B265">
            <v>202922.09999999995</v>
          </cell>
          <cell r="C265">
            <v>2.2707279190472291E-4</v>
          </cell>
          <cell r="D265">
            <v>11353.65</v>
          </cell>
        </row>
        <row r="266">
          <cell r="A266">
            <v>5860</v>
          </cell>
          <cell r="B266">
            <v>145139.64999999997</v>
          </cell>
          <cell r="C266">
            <v>1.6241338691830174E-4</v>
          </cell>
          <cell r="D266">
            <v>8120.65</v>
          </cell>
        </row>
        <row r="267">
          <cell r="A267">
            <v>5861</v>
          </cell>
          <cell r="B267">
            <v>62067924.700000085</v>
          </cell>
          <cell r="C267">
            <v>6.9454913729757053E-2</v>
          </cell>
          <cell r="D267">
            <v>3472745.7</v>
          </cell>
        </row>
        <row r="268">
          <cell r="A268">
            <v>5862</v>
          </cell>
          <cell r="B268">
            <v>18158.849999999999</v>
          </cell>
          <cell r="C268">
            <v>2.0320018210333319E-5</v>
          </cell>
          <cell r="D268">
            <v>1016</v>
          </cell>
        </row>
        <row r="269">
          <cell r="A269">
            <v>5863</v>
          </cell>
          <cell r="B269">
            <v>74728.500000000015</v>
          </cell>
          <cell r="C269">
            <v>8.36222822938068E-5</v>
          </cell>
          <cell r="D269">
            <v>4181.1000000000004</v>
          </cell>
        </row>
        <row r="270">
          <cell r="A270">
            <v>5871</v>
          </cell>
          <cell r="B270">
            <v>792485.5</v>
          </cell>
          <cell r="C270">
            <v>8.8680284221881369E-4</v>
          </cell>
          <cell r="D270">
            <v>44340.15</v>
          </cell>
        </row>
        <row r="271">
          <cell r="A271">
            <v>5872</v>
          </cell>
          <cell r="B271">
            <v>35115140.399999991</v>
          </cell>
          <cell r="C271">
            <v>3.9294354674795542E-2</v>
          </cell>
          <cell r="D271">
            <v>1964717.75</v>
          </cell>
        </row>
        <row r="272">
          <cell r="A272">
            <v>5873</v>
          </cell>
          <cell r="B272">
            <v>816002</v>
          </cell>
          <cell r="C272">
            <v>9.1311814898346584E-4</v>
          </cell>
          <cell r="D272">
            <v>45655.9</v>
          </cell>
        </row>
        <row r="273">
          <cell r="A273">
            <v>5881</v>
          </cell>
          <cell r="B273">
            <v>1308749.55</v>
          </cell>
          <cell r="C273">
            <v>1.464509849950054E-3</v>
          </cell>
          <cell r="D273">
            <v>73225.5</v>
          </cell>
        </row>
        <row r="274">
          <cell r="A274">
            <v>5882</v>
          </cell>
          <cell r="B274">
            <v>470727.70000000024</v>
          </cell>
          <cell r="C274">
            <v>5.2675116739817356E-4</v>
          </cell>
          <cell r="D274">
            <v>26337.55</v>
          </cell>
        </row>
        <row r="275">
          <cell r="A275">
            <v>5883</v>
          </cell>
          <cell r="B275">
            <v>559102.55000000051</v>
          </cell>
          <cell r="C275">
            <v>6.2564391453444497E-4</v>
          </cell>
          <cell r="D275">
            <v>31282.2</v>
          </cell>
        </row>
        <row r="276">
          <cell r="A276">
            <v>5884</v>
          </cell>
          <cell r="B276">
            <v>3720476.5499999993</v>
          </cell>
          <cell r="C276">
            <v>4.1632675663446786E-3</v>
          </cell>
          <cell r="D276">
            <v>208163.4</v>
          </cell>
        </row>
        <row r="277">
          <cell r="A277">
            <v>5885</v>
          </cell>
          <cell r="B277">
            <v>602531.85</v>
          </cell>
          <cell r="C277">
            <v>6.7424193516141295E-4</v>
          </cell>
          <cell r="D277">
            <v>33712.1</v>
          </cell>
        </row>
        <row r="278">
          <cell r="A278">
            <v>5886</v>
          </cell>
          <cell r="B278">
            <v>19021502.50000006</v>
          </cell>
          <cell r="C278">
            <v>2.1285338949762894E-2</v>
          </cell>
          <cell r="D278">
            <v>1064266.95</v>
          </cell>
        </row>
        <row r="279">
          <cell r="A279">
            <v>5888</v>
          </cell>
          <cell r="B279">
            <v>2140887.9499999993</v>
          </cell>
          <cell r="C279">
            <v>2.3956848660726397E-3</v>
          </cell>
          <cell r="D279">
            <v>119784.25</v>
          </cell>
        </row>
        <row r="280">
          <cell r="A280">
            <v>5889</v>
          </cell>
          <cell r="B280">
            <v>20747203.149999984</v>
          </cell>
          <cell r="C280">
            <v>2.321642316674704E-2</v>
          </cell>
          <cell r="D280">
            <v>1160821.1499999999</v>
          </cell>
        </row>
        <row r="281">
          <cell r="A281">
            <v>5890</v>
          </cell>
          <cell r="B281">
            <v>59099703.599999398</v>
          </cell>
          <cell r="C281">
            <v>6.6133430992452127E-2</v>
          </cell>
          <cell r="D281">
            <v>3306671.55</v>
          </cell>
        </row>
        <row r="282">
          <cell r="A282">
            <v>5891</v>
          </cell>
          <cell r="B282">
            <v>258159.19999999992</v>
          </cell>
          <cell r="C282">
            <v>2.8888391308728691E-4</v>
          </cell>
          <cell r="D282">
            <v>14444.2</v>
          </cell>
        </row>
        <row r="283">
          <cell r="A283">
            <v>5902</v>
          </cell>
          <cell r="B283">
            <v>8870.6</v>
          </cell>
          <cell r="C283">
            <v>9.9263308819987355E-6</v>
          </cell>
          <cell r="D283">
            <v>496.3</v>
          </cell>
        </row>
        <row r="284">
          <cell r="A284">
            <v>5903</v>
          </cell>
          <cell r="B284">
            <v>20549.400000000001</v>
          </cell>
          <cell r="C284">
            <v>2.2995078554612409E-5</v>
          </cell>
          <cell r="D284">
            <v>1149.75</v>
          </cell>
        </row>
        <row r="285">
          <cell r="A285">
            <v>5904</v>
          </cell>
          <cell r="B285">
            <v>38112.999999999993</v>
          </cell>
          <cell r="C285">
            <v>4.2649003326225706E-5</v>
          </cell>
          <cell r="D285">
            <v>2132.4499999999998</v>
          </cell>
        </row>
        <row r="286">
          <cell r="A286">
            <v>5905</v>
          </cell>
          <cell r="B286">
            <v>565762.25</v>
          </cell>
          <cell r="C286">
            <v>6.3309621604447147E-4</v>
          </cell>
          <cell r="D286">
            <v>31654.799999999999</v>
          </cell>
        </row>
        <row r="287">
          <cell r="A287">
            <v>5907</v>
          </cell>
          <cell r="B287">
            <v>7038.2999999999993</v>
          </cell>
          <cell r="C287">
            <v>7.8759604363596253E-6</v>
          </cell>
          <cell r="D287">
            <v>393.8</v>
          </cell>
        </row>
        <row r="288">
          <cell r="A288">
            <v>5908</v>
          </cell>
          <cell r="B288">
            <v>5506.6999999999989</v>
          </cell>
          <cell r="C288">
            <v>6.1620776799655522E-6</v>
          </cell>
          <cell r="D288">
            <v>308.10000000000002</v>
          </cell>
        </row>
        <row r="289">
          <cell r="A289">
            <v>5909</v>
          </cell>
          <cell r="B289">
            <v>84368.5</v>
          </cell>
          <cell r="C289">
            <v>9.4409583006550883E-5</v>
          </cell>
          <cell r="D289">
            <v>4720.5</v>
          </cell>
        </row>
        <row r="290">
          <cell r="A290">
            <v>5910</v>
          </cell>
          <cell r="B290">
            <v>21975.05</v>
          </cell>
          <cell r="C290">
            <v>2.4590401714480003E-5</v>
          </cell>
          <cell r="D290">
            <v>1229.5</v>
          </cell>
        </row>
        <row r="291">
          <cell r="A291">
            <v>5911</v>
          </cell>
          <cell r="B291">
            <v>7541.35</v>
          </cell>
          <cell r="C291">
            <v>8.438880729258581E-6</v>
          </cell>
          <cell r="D291">
            <v>421.95</v>
          </cell>
        </row>
        <row r="292">
          <cell r="A292">
            <v>5912</v>
          </cell>
          <cell r="B292">
            <v>3727.2000000000007</v>
          </cell>
          <cell r="C292">
            <v>4.1707912050352502E-6</v>
          </cell>
          <cell r="D292">
            <v>208.55</v>
          </cell>
        </row>
        <row r="293">
          <cell r="A293">
            <v>5913</v>
          </cell>
          <cell r="B293">
            <v>77772.600000000035</v>
          </cell>
          <cell r="C293">
            <v>8.7028674627796898E-5</v>
          </cell>
          <cell r="D293">
            <v>4351.45</v>
          </cell>
        </row>
        <row r="294">
          <cell r="A294">
            <v>5914</v>
          </cell>
          <cell r="B294">
            <v>35997.699999999997</v>
          </cell>
          <cell r="C294">
            <v>4.0281951749704177E-5</v>
          </cell>
          <cell r="D294">
            <v>2014.1</v>
          </cell>
        </row>
        <row r="295">
          <cell r="A295">
            <v>5919</v>
          </cell>
          <cell r="B295">
            <v>122794.75</v>
          </cell>
          <cell r="C295">
            <v>1.3740911765521094E-4</v>
          </cell>
          <cell r="D295">
            <v>6870.45</v>
          </cell>
        </row>
        <row r="296">
          <cell r="A296">
            <v>5921</v>
          </cell>
          <cell r="B296">
            <v>76594.899999999994</v>
          </cell>
          <cell r="C296">
            <v>8.5710811137195325E-5</v>
          </cell>
          <cell r="D296">
            <v>4285.55</v>
          </cell>
        </row>
        <row r="297">
          <cell r="A297">
            <v>5922</v>
          </cell>
          <cell r="B297">
            <v>2518388.3500000024</v>
          </cell>
          <cell r="C297">
            <v>2.8181133239545087E-3</v>
          </cell>
          <cell r="D297">
            <v>140905.65</v>
          </cell>
        </row>
        <row r="298">
          <cell r="A298">
            <v>5923</v>
          </cell>
          <cell r="B298">
            <v>22895.100000000006</v>
          </cell>
          <cell r="C298">
            <v>2.5619951094226918E-5</v>
          </cell>
          <cell r="D298">
            <v>1281</v>
          </cell>
        </row>
        <row r="299">
          <cell r="A299">
            <v>5924</v>
          </cell>
          <cell r="B299">
            <v>106272.19999999998</v>
          </cell>
          <cell r="C299">
            <v>1.1892014302955221E-4</v>
          </cell>
          <cell r="D299">
            <v>5946</v>
          </cell>
        </row>
        <row r="300">
          <cell r="A300">
            <v>5925</v>
          </cell>
          <cell r="B300">
            <v>12808.2</v>
          </cell>
          <cell r="C300">
            <v>1.4332562758191803E-5</v>
          </cell>
          <cell r="D300">
            <v>716.65</v>
          </cell>
        </row>
        <row r="301">
          <cell r="A301">
            <v>5926</v>
          </cell>
          <cell r="B301">
            <v>162160.45000000004</v>
          </cell>
          <cell r="C301">
            <v>1.8145991056679506E-4</v>
          </cell>
          <cell r="D301">
            <v>9073</v>
          </cell>
        </row>
        <row r="302">
          <cell r="A302">
            <v>5928</v>
          </cell>
          <cell r="B302">
            <v>5281.1500000000005</v>
          </cell>
          <cell r="C302">
            <v>5.9096839376668572E-6</v>
          </cell>
          <cell r="D302">
            <v>295.5</v>
          </cell>
        </row>
        <row r="303">
          <cell r="A303">
            <v>5929</v>
          </cell>
          <cell r="B303">
            <v>73264.350000000006</v>
          </cell>
          <cell r="C303">
            <v>8.1983877071964024E-5</v>
          </cell>
          <cell r="D303">
            <v>4099.2</v>
          </cell>
        </row>
        <row r="304">
          <cell r="A304">
            <v>5930</v>
          </cell>
          <cell r="B304">
            <v>1342.85</v>
          </cell>
          <cell r="C304">
            <v>1.5026687512560594E-6</v>
          </cell>
          <cell r="D304">
            <v>75.150000000000006</v>
          </cell>
        </row>
        <row r="305">
          <cell r="A305">
            <v>5931</v>
          </cell>
          <cell r="B305">
            <v>39457.049999999996</v>
          </cell>
          <cell r="C305">
            <v>4.4153014894997876E-5</v>
          </cell>
          <cell r="D305">
            <v>2207.65</v>
          </cell>
        </row>
        <row r="306">
          <cell r="A306">
            <v>5932</v>
          </cell>
          <cell r="B306">
            <v>3762.9500000000003</v>
          </cell>
          <cell r="C306">
            <v>4.2107959768693372E-6</v>
          </cell>
          <cell r="D306">
            <v>210.55</v>
          </cell>
        </row>
        <row r="307">
          <cell r="A307">
            <v>5933</v>
          </cell>
          <cell r="B307">
            <v>122804.65000000004</v>
          </cell>
          <cell r="C307">
            <v>1.3742019589971889E-4</v>
          </cell>
          <cell r="D307">
            <v>6871</v>
          </cell>
        </row>
        <row r="308">
          <cell r="A308">
            <v>5934</v>
          </cell>
          <cell r="B308">
            <v>22218.05</v>
          </cell>
          <cell r="C308">
            <v>2.486232226149212E-5</v>
          </cell>
          <cell r="D308">
            <v>1243.0999999999999</v>
          </cell>
        </row>
        <row r="309">
          <cell r="A309">
            <v>5935</v>
          </cell>
          <cell r="B309">
            <v>6512.95</v>
          </cell>
          <cell r="C309">
            <v>7.2880861179529748E-6</v>
          </cell>
          <cell r="D309">
            <v>364.4</v>
          </cell>
        </row>
        <row r="310">
          <cell r="A310">
            <v>5937</v>
          </cell>
          <cell r="B310">
            <v>5744.3499999999995</v>
          </cell>
          <cell r="C310">
            <v>6.4280114988850166E-6</v>
          </cell>
          <cell r="D310">
            <v>321.39999999999998</v>
          </cell>
        </row>
        <row r="311">
          <cell r="A311">
            <v>5938</v>
          </cell>
          <cell r="B311">
            <v>19046791.849999905</v>
          </cell>
          <cell r="C311">
            <v>2.1313638101555236E-2</v>
          </cell>
          <cell r="D311">
            <v>1065681.8999999999</v>
          </cell>
        </row>
        <row r="312">
          <cell r="A312">
            <v>5939</v>
          </cell>
          <cell r="B312">
            <v>742133.45000000042</v>
          </cell>
          <cell r="C312">
            <v>8.3045816329214127E-4</v>
          </cell>
          <cell r="D312">
            <v>41522.9</v>
          </cell>
        </row>
      </sheetData>
      <sheetData sheetId="2" refreshError="1"/>
      <sheetData sheetId="3"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00B0F0"/>
  </sheetPr>
  <dimension ref="A1:L545"/>
  <sheetViews>
    <sheetView zoomScaleNormal="100" workbookViewId="0">
      <selection activeCell="D72" sqref="D72"/>
    </sheetView>
  </sheetViews>
  <sheetFormatPr baseColWidth="10" defaultColWidth="10.75" defaultRowHeight="15" x14ac:dyDescent="0.25"/>
  <cols>
    <col min="1" max="1" width="48" style="167" bestFit="1" customWidth="1"/>
    <col min="2" max="2" width="13.75" style="167" customWidth="1"/>
    <col min="3" max="3" width="16.625" style="167" customWidth="1"/>
    <col min="4" max="4" width="12.25" style="167" customWidth="1"/>
    <col min="5" max="5" width="11" style="167" bestFit="1" customWidth="1"/>
    <col min="6" max="6" width="12.125" style="167" bestFit="1" customWidth="1"/>
    <col min="7" max="7" width="12.5" style="167" bestFit="1" customWidth="1"/>
    <col min="8" max="8" width="12" style="167" bestFit="1" customWidth="1"/>
    <col min="9" max="10" width="12.125" style="167" bestFit="1" customWidth="1"/>
    <col min="11" max="11" width="14.375" style="167" bestFit="1" customWidth="1"/>
    <col min="12" max="16384" width="10.75" style="167"/>
  </cols>
  <sheetData>
    <row r="1" spans="1:10" ht="31.5" x14ac:dyDescent="0.5">
      <c r="A1" s="207" t="s">
        <v>378</v>
      </c>
    </row>
    <row r="4" spans="1:10" ht="21" x14ac:dyDescent="0.35">
      <c r="A4" s="186" t="s">
        <v>459</v>
      </c>
    </row>
    <row r="5" spans="1:10" x14ac:dyDescent="0.25">
      <c r="A5" s="167" t="s">
        <v>451</v>
      </c>
      <c r="B5" s="387" t="s">
        <v>554</v>
      </c>
    </row>
    <row r="6" spans="1:10" x14ac:dyDescent="0.25">
      <c r="A6" s="167" t="s">
        <v>503</v>
      </c>
      <c r="B6" s="387" t="s">
        <v>552</v>
      </c>
    </row>
    <row r="7" spans="1:10" x14ac:dyDescent="0.25">
      <c r="A7" s="167" t="s">
        <v>499</v>
      </c>
      <c r="B7" s="187">
        <v>41638</v>
      </c>
    </row>
    <row r="8" spans="1:10" x14ac:dyDescent="0.25">
      <c r="A8" s="167" t="s">
        <v>500</v>
      </c>
      <c r="B8" s="250">
        <v>2017</v>
      </c>
    </row>
    <row r="10" spans="1:10" ht="21" x14ac:dyDescent="0.35">
      <c r="A10" s="186" t="s">
        <v>460</v>
      </c>
      <c r="C10" s="169"/>
      <c r="D10" s="169"/>
    </row>
    <row r="11" spans="1:10" x14ac:dyDescent="0.25">
      <c r="A11" s="167" t="s">
        <v>445</v>
      </c>
      <c r="B11" s="188">
        <v>0.5</v>
      </c>
      <c r="C11" s="177"/>
      <c r="D11" s="177"/>
    </row>
    <row r="12" spans="1:10" x14ac:dyDescent="0.25">
      <c r="A12" s="167" t="s">
        <v>508</v>
      </c>
      <c r="B12" s="188">
        <v>0.3</v>
      </c>
      <c r="C12" s="178"/>
      <c r="D12" s="178"/>
      <c r="F12" s="174"/>
    </row>
    <row r="14" spans="1:10" ht="21" x14ac:dyDescent="0.35">
      <c r="A14" s="186" t="s">
        <v>461</v>
      </c>
    </row>
    <row r="15" spans="1:10" x14ac:dyDescent="0.25">
      <c r="B15" s="179" t="s">
        <v>292</v>
      </c>
      <c r="C15" s="179" t="s">
        <v>293</v>
      </c>
      <c r="D15" s="179" t="s">
        <v>410</v>
      </c>
      <c r="E15" s="179" t="s">
        <v>544</v>
      </c>
      <c r="F15" s="179" t="s">
        <v>545</v>
      </c>
      <c r="H15" s="440" t="s">
        <v>528</v>
      </c>
      <c r="I15" s="441"/>
      <c r="J15" s="442"/>
    </row>
    <row r="16" spans="1:10" x14ac:dyDescent="0.25">
      <c r="A16" s="167" t="s">
        <v>507</v>
      </c>
      <c r="B16" s="189">
        <v>0.2</v>
      </c>
      <c r="C16" s="189">
        <v>0.3</v>
      </c>
      <c r="D16" s="189">
        <v>0.4</v>
      </c>
      <c r="E16" s="189">
        <v>0.5</v>
      </c>
      <c r="F16" s="189">
        <v>0.6</v>
      </c>
      <c r="G16" s="408"/>
      <c r="H16" s="443" t="s">
        <v>526</v>
      </c>
      <c r="I16" s="444"/>
      <c r="J16" s="445"/>
    </row>
    <row r="17" spans="1:12" x14ac:dyDescent="0.25">
      <c r="A17" s="167" t="s">
        <v>462</v>
      </c>
      <c r="B17" s="189">
        <v>1</v>
      </c>
      <c r="C17" s="189">
        <v>1.2</v>
      </c>
      <c r="D17" s="189">
        <v>1.5</v>
      </c>
      <c r="E17" s="284">
        <v>2</v>
      </c>
      <c r="F17" s="284">
        <v>3</v>
      </c>
      <c r="G17" s="408"/>
      <c r="H17" s="446" t="s">
        <v>527</v>
      </c>
      <c r="I17" s="447"/>
      <c r="J17" s="448"/>
    </row>
    <row r="18" spans="1:12" x14ac:dyDescent="0.25">
      <c r="F18" s="169"/>
      <c r="I18" s="169"/>
      <c r="J18" s="169"/>
      <c r="K18" s="169"/>
      <c r="L18" s="169"/>
    </row>
    <row r="19" spans="1:12" x14ac:dyDescent="0.25">
      <c r="B19" s="179" t="s">
        <v>535</v>
      </c>
      <c r="D19" s="179" t="s">
        <v>522</v>
      </c>
      <c r="E19" s="179" t="s">
        <v>524</v>
      </c>
      <c r="F19" s="285"/>
      <c r="I19" s="169"/>
      <c r="J19" s="169"/>
      <c r="K19" s="169"/>
      <c r="L19" s="169"/>
    </row>
    <row r="20" spans="1:12" x14ac:dyDescent="0.25">
      <c r="A20" s="167" t="s">
        <v>523</v>
      </c>
      <c r="B20" s="189">
        <v>0</v>
      </c>
      <c r="D20" s="189">
        <v>0.5</v>
      </c>
      <c r="E20" s="189">
        <v>0</v>
      </c>
      <c r="I20" s="169"/>
      <c r="J20" s="169"/>
      <c r="K20" s="169"/>
      <c r="L20" s="169"/>
    </row>
    <row r="21" spans="1:12" x14ac:dyDescent="0.25">
      <c r="E21" s="167" t="s">
        <v>525</v>
      </c>
      <c r="F21" s="169"/>
      <c r="I21" s="169"/>
      <c r="J21" s="169"/>
      <c r="K21" s="169"/>
      <c r="L21" s="169"/>
    </row>
    <row r="22" spans="1:12" x14ac:dyDescent="0.25">
      <c r="F22" s="169"/>
      <c r="I22" s="169"/>
      <c r="J22" s="169"/>
      <c r="K22" s="169"/>
      <c r="L22" s="169"/>
    </row>
    <row r="23" spans="1:12" ht="21" x14ac:dyDescent="0.35">
      <c r="A23" s="186" t="s">
        <v>463</v>
      </c>
      <c r="B23" s="169"/>
      <c r="C23" s="169"/>
      <c r="D23" s="169"/>
      <c r="E23" s="180"/>
      <c r="F23" s="170"/>
      <c r="I23" s="169"/>
      <c r="J23" s="169"/>
      <c r="K23" s="169"/>
      <c r="L23" s="171"/>
    </row>
    <row r="24" spans="1:12" x14ac:dyDescent="0.25">
      <c r="A24" s="191" t="s">
        <v>504</v>
      </c>
      <c r="B24" s="195">
        <v>0</v>
      </c>
      <c r="C24" s="195">
        <v>1000</v>
      </c>
      <c r="D24" s="195">
        <v>3000</v>
      </c>
      <c r="E24" s="195">
        <v>5000</v>
      </c>
      <c r="F24" s="195">
        <v>9000</v>
      </c>
      <c r="G24" s="195">
        <v>12000</v>
      </c>
      <c r="H24" s="195">
        <v>15000</v>
      </c>
      <c r="I24" s="181"/>
      <c r="J24" s="435" t="s">
        <v>528</v>
      </c>
      <c r="K24" s="435"/>
      <c r="L24" s="169"/>
    </row>
    <row r="25" spans="1:12" x14ac:dyDescent="0.25">
      <c r="A25" s="191"/>
      <c r="B25" s="195">
        <v>1000</v>
      </c>
      <c r="C25" s="195">
        <v>3000</v>
      </c>
      <c r="D25" s="195">
        <v>5000</v>
      </c>
      <c r="E25" s="195">
        <v>9000</v>
      </c>
      <c r="F25" s="195">
        <v>12000</v>
      </c>
      <c r="G25" s="195">
        <v>15000</v>
      </c>
      <c r="H25" s="195"/>
      <c r="I25" s="181"/>
      <c r="J25" s="436" t="s">
        <v>529</v>
      </c>
      <c r="K25" s="437"/>
      <c r="L25" s="169"/>
    </row>
    <row r="26" spans="1:12" x14ac:dyDescent="0.25">
      <c r="A26" s="192" t="s">
        <v>464</v>
      </c>
      <c r="B26" s="258">
        <v>125</v>
      </c>
      <c r="C26" s="258">
        <v>350</v>
      </c>
      <c r="D26" s="258">
        <v>500</v>
      </c>
      <c r="E26" s="258">
        <v>600</v>
      </c>
      <c r="F26" s="258">
        <v>850</v>
      </c>
      <c r="G26" s="258">
        <v>1000</v>
      </c>
      <c r="H26" s="258">
        <v>1050</v>
      </c>
      <c r="I26" s="182"/>
      <c r="J26" s="438"/>
      <c r="K26" s="439"/>
      <c r="L26" s="169"/>
    </row>
    <row r="27" spans="1:12" x14ac:dyDescent="0.25">
      <c r="A27" s="169" t="s">
        <v>446</v>
      </c>
      <c r="B27" s="275">
        <v>99.4</v>
      </c>
      <c r="C27" s="190"/>
      <c r="D27" s="190"/>
      <c r="E27" s="190"/>
      <c r="F27" s="190"/>
      <c r="G27" s="190"/>
      <c r="H27" s="190"/>
      <c r="I27" s="169"/>
      <c r="J27" s="169"/>
      <c r="K27" s="169"/>
      <c r="L27" s="169"/>
    </row>
    <row r="28" spans="1:12" x14ac:dyDescent="0.25">
      <c r="A28" s="169" t="s">
        <v>447</v>
      </c>
      <c r="B28" s="276">
        <v>98.2</v>
      </c>
      <c r="C28" s="190"/>
      <c r="D28" s="190"/>
      <c r="E28" s="190"/>
      <c r="F28" s="190"/>
      <c r="G28" s="190"/>
      <c r="H28" s="190"/>
      <c r="I28" s="169"/>
      <c r="J28" s="169"/>
      <c r="K28" s="169"/>
      <c r="L28" s="169"/>
    </row>
    <row r="29" spans="1:12" x14ac:dyDescent="0.25">
      <c r="A29" s="169" t="s">
        <v>448</v>
      </c>
      <c r="B29" s="277">
        <f>+B26/$B$27*$B$28</f>
        <v>123.49094567404426</v>
      </c>
      <c r="C29" s="184">
        <f t="shared" ref="C29:H29" si="0">+C26/$B$27*$B$28</f>
        <v>345.77464788732391</v>
      </c>
      <c r="D29" s="184">
        <f t="shared" si="0"/>
        <v>493.96378269617702</v>
      </c>
      <c r="E29" s="184">
        <f t="shared" si="0"/>
        <v>592.75653923541245</v>
      </c>
      <c r="F29" s="184">
        <f t="shared" si="0"/>
        <v>839.73843058350099</v>
      </c>
      <c r="G29" s="184">
        <f t="shared" si="0"/>
        <v>987.92756539235404</v>
      </c>
      <c r="H29" s="184">
        <f t="shared" si="0"/>
        <v>1037.3239436619717</v>
      </c>
      <c r="I29" s="169"/>
      <c r="J29" s="169"/>
      <c r="K29" s="169"/>
      <c r="L29" s="169"/>
    </row>
    <row r="31" spans="1:12" ht="21" x14ac:dyDescent="0.35">
      <c r="A31" s="186" t="s">
        <v>465</v>
      </c>
    </row>
    <row r="32" spans="1:12" x14ac:dyDescent="0.25">
      <c r="A32" s="167" t="s">
        <v>505</v>
      </c>
      <c r="B32" s="196">
        <v>0.27</v>
      </c>
    </row>
    <row r="34" spans="1:12" ht="21" x14ac:dyDescent="0.35">
      <c r="A34" s="186" t="s">
        <v>466</v>
      </c>
    </row>
    <row r="35" spans="1:12" x14ac:dyDescent="0.25">
      <c r="A35" s="167" t="s">
        <v>380</v>
      </c>
      <c r="C35" s="172"/>
    </row>
    <row r="36" spans="1:12" x14ac:dyDescent="0.25">
      <c r="A36" s="167" t="s">
        <v>421</v>
      </c>
      <c r="B36" s="249">
        <v>-20550548.750974324</v>
      </c>
      <c r="C36" s="103">
        <f>Synthèse!L315-Synthèse!F315</f>
        <v>450000.00000023842</v>
      </c>
      <c r="D36" s="194">
        <f>+'J) Plafonnement effort'!I314+'K) Plafonnement aide'!J314+'L) Plafonnement taux'!Q315</f>
        <v>-20550548.750974029</v>
      </c>
      <c r="L36" s="174"/>
    </row>
    <row r="37" spans="1:12" x14ac:dyDescent="0.25">
      <c r="A37" s="167" t="s">
        <v>506</v>
      </c>
      <c r="B37" s="249">
        <v>-450000</v>
      </c>
      <c r="C37" s="173"/>
      <c r="D37" s="174"/>
      <c r="L37" s="174"/>
    </row>
    <row r="38" spans="1:12" x14ac:dyDescent="0.25">
      <c r="G38" s="174"/>
      <c r="H38" s="175"/>
      <c r="L38" s="174"/>
    </row>
    <row r="39" spans="1:12" ht="21" x14ac:dyDescent="0.35">
      <c r="A39" s="186" t="s">
        <v>467</v>
      </c>
      <c r="G39" s="174"/>
      <c r="H39" s="175"/>
      <c r="L39" s="174"/>
    </row>
    <row r="40" spans="1:12" x14ac:dyDescent="0.25">
      <c r="A40" s="185"/>
      <c r="B40" s="198" t="s">
        <v>381</v>
      </c>
      <c r="C40" s="198" t="s">
        <v>379</v>
      </c>
      <c r="E40" s="183" t="s">
        <v>553</v>
      </c>
      <c r="F40" s="183"/>
      <c r="G40" s="200">
        <f>+'D) Ecrêtage'!C314</f>
        <v>35922747.174706832</v>
      </c>
      <c r="H40" s="202"/>
      <c r="I40" s="201" t="s">
        <v>444</v>
      </c>
      <c r="J40" s="183"/>
      <c r="K40" s="103">
        <f>+'I) Dépenses thématiques'!I314</f>
        <v>194529475.83941323</v>
      </c>
    </row>
    <row r="41" spans="1:12" x14ac:dyDescent="0.25">
      <c r="A41" s="167" t="s">
        <v>468</v>
      </c>
      <c r="B41" s="197">
        <v>8</v>
      </c>
      <c r="C41" s="179">
        <f>+H42</f>
        <v>0.75</v>
      </c>
      <c r="E41" s="183" t="s">
        <v>530</v>
      </c>
      <c r="F41" s="183"/>
      <c r="G41" s="340">
        <v>4.5</v>
      </c>
      <c r="H41" s="306">
        <v>0.75</v>
      </c>
      <c r="I41" s="201" t="s">
        <v>215</v>
      </c>
      <c r="J41" s="183"/>
      <c r="K41" s="103">
        <f>+'I) Dépenses thématiques'!M314</f>
        <v>8266138.3922341755</v>
      </c>
    </row>
    <row r="42" spans="1:12" x14ac:dyDescent="0.25">
      <c r="A42" s="167" t="s">
        <v>509</v>
      </c>
      <c r="B42" s="197">
        <v>1</v>
      </c>
      <c r="C42" s="179">
        <f>+H42</f>
        <v>0.75</v>
      </c>
      <c r="E42" s="183" t="s">
        <v>469</v>
      </c>
      <c r="F42" s="183"/>
      <c r="G42" s="199">
        <f>+G40*G41</f>
        <v>161652362.28618073</v>
      </c>
      <c r="H42" s="274">
        <f>IF((G42/K42)&gt;H41,H41,(G42/K42))</f>
        <v>0.75</v>
      </c>
      <c r="I42" s="183" t="s">
        <v>138</v>
      </c>
      <c r="J42" s="183"/>
      <c r="K42" s="103">
        <f>SUM(K40:K41)</f>
        <v>202795614.2316474</v>
      </c>
    </row>
    <row r="43" spans="1:12" x14ac:dyDescent="0.25">
      <c r="E43" s="167" t="s">
        <v>563</v>
      </c>
    </row>
    <row r="44" spans="1:12" ht="21" x14ac:dyDescent="0.35">
      <c r="A44" s="186" t="s">
        <v>471</v>
      </c>
      <c r="H44" s="307"/>
      <c r="K44" s="429"/>
    </row>
    <row r="46" spans="1:12" x14ac:dyDescent="0.25">
      <c r="A46" s="167" t="s">
        <v>536</v>
      </c>
      <c r="B46" s="338">
        <f>90.9175947596038-35</f>
        <v>55.917594759603801</v>
      </c>
      <c r="H46" s="402"/>
    </row>
    <row r="47" spans="1:12" x14ac:dyDescent="0.25">
      <c r="A47" s="167" t="s">
        <v>510</v>
      </c>
      <c r="B47" s="282">
        <v>45</v>
      </c>
      <c r="C47" s="286" t="s">
        <v>532</v>
      </c>
      <c r="D47" s="341">
        <v>45</v>
      </c>
      <c r="E47" s="286" t="s">
        <v>535</v>
      </c>
      <c r="F47" s="341">
        <v>45</v>
      </c>
    </row>
    <row r="48" spans="1:12" x14ac:dyDescent="0.25">
      <c r="A48" s="167" t="s">
        <v>511</v>
      </c>
      <c r="B48" s="283">
        <v>-8</v>
      </c>
      <c r="C48" s="286" t="s">
        <v>532</v>
      </c>
      <c r="D48" s="341">
        <v>-6.5</v>
      </c>
      <c r="E48" s="286" t="s">
        <v>533</v>
      </c>
      <c r="F48" s="341">
        <v>8</v>
      </c>
    </row>
    <row r="49" spans="1:9" x14ac:dyDescent="0.25">
      <c r="A49" s="167" t="s">
        <v>537</v>
      </c>
      <c r="B49" s="338">
        <v>90.917594759603773</v>
      </c>
      <c r="C49" s="337"/>
      <c r="E49" s="337"/>
    </row>
    <row r="50" spans="1:9" x14ac:dyDescent="0.25">
      <c r="A50" s="167" t="s">
        <v>543</v>
      </c>
      <c r="B50" s="282">
        <f>+B49+B63</f>
        <v>92.224816609080364</v>
      </c>
    </row>
    <row r="51" spans="1:9" x14ac:dyDescent="0.25">
      <c r="A51" s="167" t="s">
        <v>520</v>
      </c>
      <c r="B51" s="281">
        <v>45</v>
      </c>
      <c r="C51" s="167" t="s">
        <v>538</v>
      </c>
      <c r="I51" s="173"/>
    </row>
    <row r="52" spans="1:9" x14ac:dyDescent="0.25">
      <c r="A52" s="167" t="s">
        <v>521</v>
      </c>
      <c r="B52" s="281">
        <v>85</v>
      </c>
    </row>
    <row r="54" spans="1:9" x14ac:dyDescent="0.25">
      <c r="A54" s="176"/>
      <c r="B54" s="168"/>
    </row>
    <row r="55" spans="1:9" ht="21" x14ac:dyDescent="0.35">
      <c r="A55" s="208" t="s">
        <v>470</v>
      </c>
      <c r="B55" s="169"/>
      <c r="E55" s="169"/>
    </row>
    <row r="56" spans="1:9" ht="30" x14ac:dyDescent="0.25">
      <c r="B56" s="206" t="s">
        <v>562</v>
      </c>
      <c r="C56" s="169"/>
      <c r="D56" s="169"/>
      <c r="E56" s="169"/>
    </row>
    <row r="57" spans="1:9" x14ac:dyDescent="0.25">
      <c r="A57" s="169" t="s">
        <v>548</v>
      </c>
      <c r="B57" s="193">
        <v>770526000</v>
      </c>
      <c r="C57" s="169"/>
      <c r="D57" s="169"/>
      <c r="E57" s="169"/>
    </row>
    <row r="58" spans="1:9" x14ac:dyDescent="0.25">
      <c r="A58" s="169" t="s">
        <v>549</v>
      </c>
      <c r="B58" s="193">
        <v>817485000</v>
      </c>
      <c r="C58" s="181"/>
      <c r="D58" s="169"/>
      <c r="E58" s="169"/>
    </row>
    <row r="59" spans="1:9" x14ac:dyDescent="0.25">
      <c r="A59" s="169" t="s">
        <v>550</v>
      </c>
      <c r="B59" s="193">
        <f>+'L) Plafonnement taux'!I315</f>
        <v>36265640.391085088</v>
      </c>
      <c r="C59" s="169"/>
      <c r="D59" s="169"/>
      <c r="E59" s="169"/>
    </row>
    <row r="60" spans="1:9" x14ac:dyDescent="0.25">
      <c r="A60" s="169" t="s">
        <v>551</v>
      </c>
      <c r="B60" s="193">
        <f>+'D) Ecrêtage'!C314</f>
        <v>35922747.174706832</v>
      </c>
      <c r="C60" s="181"/>
      <c r="D60" s="169"/>
      <c r="E60" s="169"/>
    </row>
    <row r="61" spans="1:9" x14ac:dyDescent="0.25">
      <c r="A61" s="169" t="s">
        <v>437</v>
      </c>
      <c r="B61" s="204">
        <f>(B58-B57)*100/B57</f>
        <v>6.0944082354132112</v>
      </c>
      <c r="C61" s="169"/>
      <c r="D61" s="169"/>
      <c r="E61" s="169"/>
    </row>
    <row r="62" spans="1:9" x14ac:dyDescent="0.25">
      <c r="A62" s="169" t="s">
        <v>438</v>
      </c>
      <c r="B62" s="204">
        <f>(B60-B59)*100/B59</f>
        <v>-0.94550437461059578</v>
      </c>
      <c r="C62" s="181"/>
      <c r="D62" s="169"/>
      <c r="E62" s="169"/>
    </row>
    <row r="63" spans="1:9" x14ac:dyDescent="0.25">
      <c r="A63" s="169" t="s">
        <v>439</v>
      </c>
      <c r="B63" s="205">
        <f>(B58-B57)/B60</f>
        <v>1.3072218494765842</v>
      </c>
      <c r="C63" s="203"/>
      <c r="D63" s="169"/>
      <c r="E63" s="169"/>
    </row>
    <row r="64" spans="1:9" x14ac:dyDescent="0.25">
      <c r="A64" s="169"/>
      <c r="B64" s="169"/>
      <c r="C64" s="169"/>
      <c r="D64" s="169"/>
      <c r="E64" s="169"/>
    </row>
    <row r="65" spans="1:8" ht="21" x14ac:dyDescent="0.35">
      <c r="A65" s="208" t="s">
        <v>494</v>
      </c>
      <c r="B65" s="169"/>
      <c r="C65" s="169"/>
      <c r="D65" s="169"/>
      <c r="E65" s="169"/>
    </row>
    <row r="66" spans="1:8" x14ac:dyDescent="0.25">
      <c r="A66" s="169" t="s">
        <v>495</v>
      </c>
      <c r="B66" s="240">
        <v>2</v>
      </c>
      <c r="C66" s="169">
        <v>2013</v>
      </c>
      <c r="D66" s="257">
        <v>62118300</v>
      </c>
      <c r="E66" s="167">
        <v>2016</v>
      </c>
      <c r="F66" s="257">
        <f>D68*101.5%</f>
        <v>64955763.00176248</v>
      </c>
      <c r="G66" s="428" t="s">
        <v>547</v>
      </c>
      <c r="H66" s="213">
        <f>+F68*101.5/100</f>
        <v>67922836.702568099</v>
      </c>
    </row>
    <row r="67" spans="1:8" x14ac:dyDescent="0.25">
      <c r="A67" s="169" t="s">
        <v>498</v>
      </c>
      <c r="B67" s="249">
        <f>+H66</f>
        <v>67922836.702568099</v>
      </c>
      <c r="C67" s="169">
        <v>2014</v>
      </c>
      <c r="D67" s="257">
        <f>D66*101.5%</f>
        <v>63050074.499999993</v>
      </c>
      <c r="E67" s="169">
        <v>2017</v>
      </c>
      <c r="F67" s="213">
        <f>+F66*1.015</f>
        <v>65930099.446788907</v>
      </c>
    </row>
    <row r="68" spans="1:8" x14ac:dyDescent="0.25">
      <c r="A68" s="169"/>
      <c r="B68" s="169"/>
      <c r="C68" s="169">
        <v>2015</v>
      </c>
      <c r="D68" s="257">
        <f>D67*101.5%</f>
        <v>63995825.617499985</v>
      </c>
      <c r="E68" s="169">
        <v>2018</v>
      </c>
      <c r="F68" s="213">
        <f>+F67*101.5/100</f>
        <v>66919050.938490741</v>
      </c>
    </row>
    <row r="69" spans="1:8" ht="21" x14ac:dyDescent="0.35">
      <c r="A69" s="208" t="s">
        <v>475</v>
      </c>
    </row>
    <row r="70" spans="1:8" x14ac:dyDescent="0.25">
      <c r="A70" s="167" t="s">
        <v>405</v>
      </c>
      <c r="B70" s="167">
        <v>5621</v>
      </c>
    </row>
    <row r="71" spans="1:8" x14ac:dyDescent="0.25">
      <c r="A71" s="167" t="s">
        <v>327</v>
      </c>
      <c r="B71" s="167">
        <v>5742</v>
      </c>
    </row>
    <row r="72" spans="1:8" x14ac:dyDescent="0.25">
      <c r="A72" s="167" t="s">
        <v>261</v>
      </c>
      <c r="B72" s="167">
        <v>5401</v>
      </c>
    </row>
    <row r="73" spans="1:8" x14ac:dyDescent="0.25">
      <c r="A73" s="167" t="s">
        <v>16</v>
      </c>
      <c r="B73" s="167">
        <v>5851</v>
      </c>
    </row>
    <row r="74" spans="1:8" x14ac:dyDescent="0.25">
      <c r="A74" s="167" t="s">
        <v>73</v>
      </c>
      <c r="B74" s="167">
        <v>5421</v>
      </c>
    </row>
    <row r="75" spans="1:8" x14ac:dyDescent="0.25">
      <c r="A75" s="167" t="s">
        <v>110</v>
      </c>
      <c r="B75" s="167">
        <v>5701</v>
      </c>
    </row>
    <row r="76" spans="1:8" x14ac:dyDescent="0.25">
      <c r="A76" s="167" t="s">
        <v>265</v>
      </c>
      <c r="B76" s="167">
        <v>5743</v>
      </c>
    </row>
    <row r="77" spans="1:8" x14ac:dyDescent="0.25">
      <c r="A77" s="167" t="s">
        <v>442</v>
      </c>
      <c r="B77" s="167">
        <v>5702</v>
      </c>
    </row>
    <row r="78" spans="1:8" x14ac:dyDescent="0.25">
      <c r="A78" s="167" t="s">
        <v>176</v>
      </c>
      <c r="B78" s="167">
        <v>5511</v>
      </c>
    </row>
    <row r="79" spans="1:8" x14ac:dyDescent="0.25">
      <c r="A79" s="167" t="s">
        <v>74</v>
      </c>
      <c r="B79" s="167">
        <v>5422</v>
      </c>
    </row>
    <row r="80" spans="1:8" x14ac:dyDescent="0.25">
      <c r="A80" s="167" t="s">
        <v>347</v>
      </c>
      <c r="B80" s="167">
        <v>5451</v>
      </c>
    </row>
    <row r="81" spans="1:2" x14ac:dyDescent="0.25">
      <c r="A81" s="167" t="s">
        <v>266</v>
      </c>
      <c r="B81" s="167">
        <v>5744</v>
      </c>
    </row>
    <row r="82" spans="1:2" x14ac:dyDescent="0.25">
      <c r="A82" s="167" t="s">
        <v>75</v>
      </c>
      <c r="B82" s="167">
        <v>5423</v>
      </c>
    </row>
    <row r="83" spans="1:2" x14ac:dyDescent="0.25">
      <c r="A83" s="167" t="s">
        <v>111</v>
      </c>
      <c r="B83" s="167">
        <v>5703</v>
      </c>
    </row>
    <row r="84" spans="1:2" x14ac:dyDescent="0.25">
      <c r="A84" s="167" t="s">
        <v>267</v>
      </c>
      <c r="B84" s="167">
        <v>5745</v>
      </c>
    </row>
    <row r="85" spans="1:2" x14ac:dyDescent="0.25">
      <c r="A85" s="167" t="s">
        <v>268</v>
      </c>
      <c r="B85" s="167">
        <v>5746</v>
      </c>
    </row>
    <row r="86" spans="1:2" x14ac:dyDescent="0.25">
      <c r="A86" s="167" t="s">
        <v>221</v>
      </c>
      <c r="B86" s="167">
        <v>5704</v>
      </c>
    </row>
    <row r="87" spans="1:2" x14ac:dyDescent="0.25">
      <c r="A87" s="167" t="s">
        <v>389</v>
      </c>
      <c r="B87" s="167">
        <v>5581</v>
      </c>
    </row>
    <row r="88" spans="1:2" x14ac:dyDescent="0.25">
      <c r="A88" s="167" t="s">
        <v>55</v>
      </c>
      <c r="B88" s="167">
        <v>5902</v>
      </c>
    </row>
    <row r="89" spans="1:2" x14ac:dyDescent="0.25">
      <c r="A89" s="167" t="s">
        <v>177</v>
      </c>
      <c r="B89" s="167">
        <v>5512</v>
      </c>
    </row>
    <row r="90" spans="1:2" x14ac:dyDescent="0.25">
      <c r="A90" s="167" t="s">
        <v>76</v>
      </c>
      <c r="B90" s="167">
        <v>5424</v>
      </c>
    </row>
    <row r="91" spans="1:2" x14ac:dyDescent="0.25">
      <c r="A91" s="167" t="s">
        <v>350</v>
      </c>
      <c r="B91" s="167">
        <v>5471</v>
      </c>
    </row>
    <row r="92" spans="1:2" x14ac:dyDescent="0.25">
      <c r="A92" s="167" t="s">
        <v>262</v>
      </c>
      <c r="B92" s="167">
        <v>5402</v>
      </c>
    </row>
    <row r="93" spans="1:2" x14ac:dyDescent="0.25">
      <c r="A93" s="167" t="s">
        <v>77</v>
      </c>
      <c r="B93" s="167">
        <v>5425</v>
      </c>
    </row>
    <row r="94" spans="1:2" x14ac:dyDescent="0.25">
      <c r="A94" s="167" t="s">
        <v>56</v>
      </c>
      <c r="B94" s="167">
        <v>5903</v>
      </c>
    </row>
    <row r="95" spans="1:2" x14ac:dyDescent="0.25">
      <c r="A95" s="167" t="s">
        <v>178</v>
      </c>
      <c r="B95" s="167">
        <v>5513</v>
      </c>
    </row>
    <row r="96" spans="1:2" x14ac:dyDescent="0.25">
      <c r="A96" s="167" t="s">
        <v>206</v>
      </c>
      <c r="B96" s="167">
        <v>5881</v>
      </c>
    </row>
    <row r="97" spans="1:2" x14ac:dyDescent="0.25">
      <c r="A97" s="167" t="s">
        <v>269</v>
      </c>
      <c r="B97" s="167">
        <v>5747</v>
      </c>
    </row>
    <row r="98" spans="1:2" x14ac:dyDescent="0.25">
      <c r="A98" s="167" t="s">
        <v>222</v>
      </c>
      <c r="B98" s="167">
        <v>5705</v>
      </c>
    </row>
    <row r="99" spans="1:2" x14ac:dyDescent="0.25">
      <c r="A99" s="167" t="s">
        <v>33</v>
      </c>
      <c r="B99" s="167">
        <v>5551</v>
      </c>
    </row>
    <row r="100" spans="1:2" x14ac:dyDescent="0.25">
      <c r="A100" s="167" t="s">
        <v>223</v>
      </c>
      <c r="B100" s="167">
        <v>5706</v>
      </c>
    </row>
    <row r="101" spans="1:2" x14ac:dyDescent="0.25">
      <c r="A101" s="167" t="s">
        <v>179</v>
      </c>
      <c r="B101" s="167">
        <v>5514</v>
      </c>
    </row>
    <row r="102" spans="1:2" x14ac:dyDescent="0.25">
      <c r="A102" s="167" t="s">
        <v>71</v>
      </c>
      <c r="B102" s="167">
        <v>5426</v>
      </c>
    </row>
    <row r="103" spans="1:2" x14ac:dyDescent="0.25">
      <c r="A103" s="167" t="s">
        <v>202</v>
      </c>
      <c r="B103" s="167">
        <v>5661</v>
      </c>
    </row>
    <row r="104" spans="1:2" x14ac:dyDescent="0.25">
      <c r="A104" s="167" t="s">
        <v>428</v>
      </c>
      <c r="B104" s="167">
        <v>5613</v>
      </c>
    </row>
    <row r="105" spans="1:2" x14ac:dyDescent="0.25">
      <c r="A105" s="167" t="s">
        <v>351</v>
      </c>
      <c r="B105" s="167">
        <v>5472</v>
      </c>
    </row>
    <row r="106" spans="1:2" x14ac:dyDescent="0.25">
      <c r="A106" s="167" t="s">
        <v>209</v>
      </c>
      <c r="B106" s="167">
        <v>5473</v>
      </c>
    </row>
    <row r="107" spans="1:2" x14ac:dyDescent="0.25">
      <c r="A107" s="167" t="s">
        <v>147</v>
      </c>
      <c r="B107" s="167">
        <v>5622</v>
      </c>
    </row>
    <row r="108" spans="1:2" x14ac:dyDescent="0.25">
      <c r="A108" s="167" t="s">
        <v>180</v>
      </c>
      <c r="B108" s="167">
        <v>5515</v>
      </c>
    </row>
    <row r="109" spans="1:2" x14ac:dyDescent="0.25">
      <c r="A109" s="167" t="s">
        <v>270</v>
      </c>
      <c r="B109" s="167">
        <v>5748</v>
      </c>
    </row>
    <row r="110" spans="1:2" x14ac:dyDescent="0.25">
      <c r="A110" s="167" t="s">
        <v>148</v>
      </c>
      <c r="B110" s="167">
        <v>5623</v>
      </c>
    </row>
    <row r="111" spans="1:2" x14ac:dyDescent="0.25">
      <c r="A111" s="167" t="s">
        <v>34</v>
      </c>
      <c r="B111" s="167">
        <v>5552</v>
      </c>
    </row>
    <row r="112" spans="1:2" x14ac:dyDescent="0.25">
      <c r="A112" s="167" t="s">
        <v>17</v>
      </c>
      <c r="B112" s="167">
        <v>5852</v>
      </c>
    </row>
    <row r="113" spans="1:2" x14ac:dyDescent="0.25">
      <c r="A113" s="167" t="s">
        <v>18</v>
      </c>
      <c r="B113" s="167">
        <v>5853</v>
      </c>
    </row>
    <row r="114" spans="1:2" x14ac:dyDescent="0.25">
      <c r="A114" s="167" t="s">
        <v>19</v>
      </c>
      <c r="B114" s="167">
        <v>5854</v>
      </c>
    </row>
    <row r="115" spans="1:2" x14ac:dyDescent="0.25">
      <c r="A115" s="167" t="s">
        <v>441</v>
      </c>
      <c r="B115" s="167">
        <v>5624</v>
      </c>
    </row>
    <row r="116" spans="1:2" x14ac:dyDescent="0.25">
      <c r="A116" s="167" t="s">
        <v>301</v>
      </c>
      <c r="B116" s="167">
        <v>5625</v>
      </c>
    </row>
    <row r="117" spans="1:2" x14ac:dyDescent="0.25">
      <c r="A117" s="167" t="s">
        <v>203</v>
      </c>
      <c r="B117" s="167">
        <v>5663</v>
      </c>
    </row>
    <row r="118" spans="1:2" x14ac:dyDescent="0.25">
      <c r="A118" s="167" t="s">
        <v>57</v>
      </c>
      <c r="B118" s="167">
        <v>5904</v>
      </c>
    </row>
    <row r="119" spans="1:2" x14ac:dyDescent="0.25">
      <c r="A119" s="167" t="s">
        <v>35</v>
      </c>
      <c r="B119" s="167">
        <v>5553</v>
      </c>
    </row>
    <row r="120" spans="1:2" x14ac:dyDescent="0.25">
      <c r="A120" s="167" t="s">
        <v>387</v>
      </c>
      <c r="B120" s="167">
        <v>5812</v>
      </c>
    </row>
    <row r="121" spans="1:2" x14ac:dyDescent="0.25">
      <c r="A121" s="167" t="s">
        <v>58</v>
      </c>
      <c r="B121" s="167">
        <v>5905</v>
      </c>
    </row>
    <row r="122" spans="1:2" x14ac:dyDescent="0.25">
      <c r="A122" s="167" t="s">
        <v>207</v>
      </c>
      <c r="B122" s="167">
        <v>5882</v>
      </c>
    </row>
    <row r="123" spans="1:2" x14ac:dyDescent="0.25">
      <c r="A123" s="167" t="s">
        <v>13</v>
      </c>
      <c r="B123" s="167">
        <v>5841</v>
      </c>
    </row>
    <row r="124" spans="1:2" x14ac:dyDescent="0.25">
      <c r="A124" s="167" t="s">
        <v>224</v>
      </c>
      <c r="B124" s="167">
        <v>5707</v>
      </c>
    </row>
    <row r="125" spans="1:2" x14ac:dyDescent="0.25">
      <c r="A125" s="167" t="s">
        <v>225</v>
      </c>
      <c r="B125" s="167">
        <v>5708</v>
      </c>
    </row>
    <row r="126" spans="1:2" x14ac:dyDescent="0.25">
      <c r="A126" s="167" t="s">
        <v>59</v>
      </c>
      <c r="B126" s="167">
        <v>5907</v>
      </c>
    </row>
    <row r="127" spans="1:2" x14ac:dyDescent="0.25">
      <c r="A127" s="167" t="s">
        <v>373</v>
      </c>
      <c r="B127" s="167">
        <v>5475</v>
      </c>
    </row>
    <row r="128" spans="1:2" x14ac:dyDescent="0.25">
      <c r="A128" s="167" t="s">
        <v>255</v>
      </c>
      <c r="B128" s="167">
        <v>5627</v>
      </c>
    </row>
    <row r="129" spans="1:2" x14ac:dyDescent="0.25">
      <c r="A129" s="167" t="s">
        <v>97</v>
      </c>
      <c r="B129" s="167">
        <v>5665</v>
      </c>
    </row>
    <row r="130" spans="1:2" x14ac:dyDescent="0.25">
      <c r="A130" s="167" t="s">
        <v>271</v>
      </c>
      <c r="B130" s="167">
        <v>5749</v>
      </c>
    </row>
    <row r="131" spans="1:2" x14ac:dyDescent="0.25">
      <c r="A131" s="167" t="s">
        <v>60</v>
      </c>
      <c r="B131" s="167">
        <v>5908</v>
      </c>
    </row>
    <row r="132" spans="1:2" x14ac:dyDescent="0.25">
      <c r="A132" s="167" t="s">
        <v>61</v>
      </c>
      <c r="B132" s="167">
        <v>5909</v>
      </c>
    </row>
    <row r="133" spans="1:2" x14ac:dyDescent="0.25">
      <c r="A133" s="167" t="s">
        <v>390</v>
      </c>
      <c r="B133" s="167">
        <v>5582</v>
      </c>
    </row>
    <row r="134" spans="1:2" x14ac:dyDescent="0.25">
      <c r="A134" s="167" t="s">
        <v>226</v>
      </c>
      <c r="B134" s="167">
        <v>5709</v>
      </c>
    </row>
    <row r="135" spans="1:2" x14ac:dyDescent="0.25">
      <c r="A135" s="167" t="s">
        <v>112</v>
      </c>
      <c r="B135" s="167">
        <v>5403</v>
      </c>
    </row>
    <row r="136" spans="1:2" x14ac:dyDescent="0.25">
      <c r="A136" s="167" t="s">
        <v>374</v>
      </c>
      <c r="B136" s="167">
        <v>5476</v>
      </c>
    </row>
    <row r="137" spans="1:2" x14ac:dyDescent="0.25">
      <c r="A137" s="167" t="s">
        <v>388</v>
      </c>
      <c r="B137" s="167">
        <v>5813</v>
      </c>
    </row>
    <row r="138" spans="1:2" x14ac:dyDescent="0.25">
      <c r="A138" s="167" t="s">
        <v>298</v>
      </c>
      <c r="B138" s="167">
        <v>5601</v>
      </c>
    </row>
    <row r="139" spans="1:2" x14ac:dyDescent="0.25">
      <c r="A139" s="167" t="s">
        <v>256</v>
      </c>
      <c r="B139" s="167">
        <v>5628</v>
      </c>
    </row>
    <row r="140" spans="1:2" x14ac:dyDescent="0.25">
      <c r="A140" s="167" t="s">
        <v>151</v>
      </c>
      <c r="B140" s="167">
        <v>5629</v>
      </c>
    </row>
    <row r="141" spans="1:2" x14ac:dyDescent="0.25">
      <c r="A141" s="167" t="s">
        <v>227</v>
      </c>
      <c r="B141" s="167">
        <v>5710</v>
      </c>
    </row>
    <row r="142" spans="1:2" x14ac:dyDescent="0.25">
      <c r="A142" s="167" t="s">
        <v>228</v>
      </c>
      <c r="B142" s="167">
        <v>5711</v>
      </c>
    </row>
    <row r="143" spans="1:2" x14ac:dyDescent="0.25">
      <c r="A143" s="167" t="s">
        <v>36</v>
      </c>
      <c r="B143" s="167">
        <v>5554</v>
      </c>
    </row>
    <row r="144" spans="1:2" x14ac:dyDescent="0.25">
      <c r="A144" s="167" t="s">
        <v>229</v>
      </c>
      <c r="B144" s="167">
        <v>5712</v>
      </c>
    </row>
    <row r="145" spans="1:2" x14ac:dyDescent="0.25">
      <c r="A145" s="167" t="s">
        <v>113</v>
      </c>
      <c r="B145" s="167">
        <v>5404</v>
      </c>
    </row>
    <row r="146" spans="1:2" x14ac:dyDescent="0.25">
      <c r="A146" s="167" t="s">
        <v>279</v>
      </c>
      <c r="B146" s="167">
        <v>5785</v>
      </c>
    </row>
    <row r="147" spans="1:2" x14ac:dyDescent="0.25">
      <c r="A147" s="167" t="s">
        <v>37</v>
      </c>
      <c r="B147" s="167">
        <v>5555</v>
      </c>
    </row>
    <row r="148" spans="1:2" x14ac:dyDescent="0.25">
      <c r="A148" s="167" t="s">
        <v>6</v>
      </c>
      <c r="B148" s="167">
        <v>5816</v>
      </c>
    </row>
    <row r="149" spans="1:2" x14ac:dyDescent="0.25">
      <c r="A149" s="167" t="s">
        <v>208</v>
      </c>
      <c r="B149" s="167">
        <v>5883</v>
      </c>
    </row>
    <row r="150" spans="1:2" x14ac:dyDescent="0.25">
      <c r="A150" s="167" t="s">
        <v>49</v>
      </c>
      <c r="B150" s="167">
        <v>5884</v>
      </c>
    </row>
    <row r="151" spans="1:2" x14ac:dyDescent="0.25">
      <c r="A151" s="167" t="s">
        <v>375</v>
      </c>
      <c r="B151" s="167">
        <v>5477</v>
      </c>
    </row>
    <row r="152" spans="1:2" x14ac:dyDescent="0.25">
      <c r="A152" s="167" t="s">
        <v>241</v>
      </c>
      <c r="B152" s="167">
        <v>5478</v>
      </c>
    </row>
    <row r="153" spans="1:2" x14ac:dyDescent="0.25">
      <c r="A153" s="167" t="s">
        <v>230</v>
      </c>
      <c r="B153" s="167">
        <v>5713</v>
      </c>
    </row>
    <row r="154" spans="1:2" x14ac:dyDescent="0.25">
      <c r="A154" s="167" t="s">
        <v>231</v>
      </c>
      <c r="B154" s="167">
        <v>5714</v>
      </c>
    </row>
    <row r="155" spans="1:2" x14ac:dyDescent="0.25">
      <c r="A155" s="167" t="s">
        <v>391</v>
      </c>
      <c r="B155" s="167">
        <v>5583</v>
      </c>
    </row>
    <row r="156" spans="1:2" x14ac:dyDescent="0.25">
      <c r="A156" s="167" t="s">
        <v>62</v>
      </c>
      <c r="B156" s="167">
        <v>5910</v>
      </c>
    </row>
    <row r="157" spans="1:2" x14ac:dyDescent="0.25">
      <c r="A157" s="167" t="s">
        <v>332</v>
      </c>
      <c r="B157" s="167">
        <v>5752</v>
      </c>
    </row>
    <row r="158" spans="1:2" x14ac:dyDescent="0.25">
      <c r="A158" s="167" t="s">
        <v>242</v>
      </c>
      <c r="B158" s="167">
        <v>5479</v>
      </c>
    </row>
    <row r="159" spans="1:2" x14ac:dyDescent="0.25">
      <c r="A159" s="167" t="s">
        <v>63</v>
      </c>
      <c r="B159" s="167">
        <v>5911</v>
      </c>
    </row>
    <row r="160" spans="1:2" x14ac:dyDescent="0.25">
      <c r="A160" s="167" t="s">
        <v>348</v>
      </c>
      <c r="B160" s="167">
        <v>5456</v>
      </c>
    </row>
    <row r="161" spans="1:2" x14ac:dyDescent="0.25">
      <c r="A161" s="167" t="s">
        <v>181</v>
      </c>
      <c r="B161" s="167">
        <v>5516</v>
      </c>
    </row>
    <row r="162" spans="1:2" x14ac:dyDescent="0.25">
      <c r="A162" s="167" t="s">
        <v>98</v>
      </c>
      <c r="B162" s="167">
        <v>5669</v>
      </c>
    </row>
    <row r="163" spans="1:2" x14ac:dyDescent="0.25">
      <c r="A163" s="167" t="s">
        <v>243</v>
      </c>
      <c r="B163" s="167">
        <v>5480</v>
      </c>
    </row>
    <row r="164" spans="1:2" x14ac:dyDescent="0.25">
      <c r="A164" s="167" t="s">
        <v>64</v>
      </c>
      <c r="B164" s="167">
        <v>5912</v>
      </c>
    </row>
    <row r="165" spans="1:2" x14ac:dyDescent="0.25">
      <c r="A165" s="167" t="s">
        <v>152</v>
      </c>
      <c r="B165" s="167">
        <v>5631</v>
      </c>
    </row>
    <row r="166" spans="1:2" x14ac:dyDescent="0.25">
      <c r="A166" s="167" t="s">
        <v>153</v>
      </c>
      <c r="B166" s="167">
        <v>5632</v>
      </c>
    </row>
    <row r="167" spans="1:2" x14ac:dyDescent="0.25">
      <c r="A167" s="167" t="s">
        <v>244</v>
      </c>
      <c r="B167" s="167">
        <v>5481</v>
      </c>
    </row>
    <row r="168" spans="1:2" x14ac:dyDescent="0.25">
      <c r="A168" s="167" t="s">
        <v>99</v>
      </c>
      <c r="B168" s="167">
        <v>5671</v>
      </c>
    </row>
    <row r="169" spans="1:2" x14ac:dyDescent="0.25">
      <c r="A169" s="167" t="s">
        <v>65</v>
      </c>
      <c r="B169" s="167">
        <v>5913</v>
      </c>
    </row>
    <row r="170" spans="1:2" x14ac:dyDescent="0.25">
      <c r="A170" s="167" t="s">
        <v>232</v>
      </c>
      <c r="B170" s="167">
        <v>5715</v>
      </c>
    </row>
    <row r="171" spans="1:2" x14ac:dyDescent="0.25">
      <c r="A171" s="167" t="s">
        <v>20</v>
      </c>
      <c r="B171" s="167">
        <v>5855</v>
      </c>
    </row>
    <row r="172" spans="1:2" x14ac:dyDescent="0.25">
      <c r="A172" s="167" t="s">
        <v>182</v>
      </c>
      <c r="B172" s="167">
        <v>5518</v>
      </c>
    </row>
    <row r="173" spans="1:2" x14ac:dyDescent="0.25">
      <c r="A173" s="167" t="s">
        <v>154</v>
      </c>
      <c r="B173" s="167">
        <v>5633</v>
      </c>
    </row>
    <row r="174" spans="1:2" x14ac:dyDescent="0.25">
      <c r="A174" s="167" t="s">
        <v>155</v>
      </c>
      <c r="B174" s="167">
        <v>5634</v>
      </c>
    </row>
    <row r="175" spans="1:2" x14ac:dyDescent="0.25">
      <c r="A175" s="167" t="s">
        <v>245</v>
      </c>
      <c r="B175" s="167">
        <v>5482</v>
      </c>
    </row>
    <row r="176" spans="1:2" x14ac:dyDescent="0.25">
      <c r="A176" s="167" t="s">
        <v>156</v>
      </c>
      <c r="B176" s="167">
        <v>5635</v>
      </c>
    </row>
    <row r="177" spans="1:2" x14ac:dyDescent="0.25">
      <c r="A177" s="167" t="s">
        <v>392</v>
      </c>
      <c r="B177" s="167">
        <v>5584</v>
      </c>
    </row>
    <row r="178" spans="1:2" x14ac:dyDescent="0.25">
      <c r="A178" s="167" t="s">
        <v>66</v>
      </c>
      <c r="B178" s="167">
        <v>5914</v>
      </c>
    </row>
    <row r="179" spans="1:2" x14ac:dyDescent="0.25">
      <c r="A179" s="167" t="s">
        <v>280</v>
      </c>
      <c r="B179" s="167">
        <v>5788</v>
      </c>
    </row>
    <row r="180" spans="1:2" x14ac:dyDescent="0.25">
      <c r="A180" s="167" t="s">
        <v>21</v>
      </c>
      <c r="B180" s="167">
        <v>5856</v>
      </c>
    </row>
    <row r="181" spans="1:2" x14ac:dyDescent="0.25">
      <c r="A181" s="167" t="s">
        <v>183</v>
      </c>
      <c r="B181" s="167">
        <v>5520</v>
      </c>
    </row>
    <row r="182" spans="1:2" x14ac:dyDescent="0.25">
      <c r="A182" s="167" t="s">
        <v>184</v>
      </c>
      <c r="B182" s="167">
        <v>5521</v>
      </c>
    </row>
    <row r="183" spans="1:2" x14ac:dyDescent="0.25">
      <c r="A183" s="167" t="s">
        <v>157</v>
      </c>
      <c r="B183" s="167">
        <v>5636</v>
      </c>
    </row>
    <row r="184" spans="1:2" x14ac:dyDescent="0.25">
      <c r="A184" s="167" t="s">
        <v>233</v>
      </c>
      <c r="B184" s="167">
        <v>5716</v>
      </c>
    </row>
    <row r="185" spans="1:2" x14ac:dyDescent="0.25">
      <c r="A185" s="167" t="s">
        <v>349</v>
      </c>
      <c r="B185" s="167">
        <v>5458</v>
      </c>
    </row>
    <row r="186" spans="1:2" x14ac:dyDescent="0.25">
      <c r="A186" s="167" t="s">
        <v>342</v>
      </c>
      <c r="B186" s="167">
        <v>5427</v>
      </c>
    </row>
    <row r="187" spans="1:2" x14ac:dyDescent="0.25">
      <c r="A187" s="167" t="s">
        <v>140</v>
      </c>
      <c r="B187" s="167">
        <v>5483</v>
      </c>
    </row>
    <row r="188" spans="1:2" x14ac:dyDescent="0.25">
      <c r="A188" s="167" t="s">
        <v>185</v>
      </c>
      <c r="B188" s="167">
        <v>5522</v>
      </c>
    </row>
    <row r="189" spans="1:2" x14ac:dyDescent="0.25">
      <c r="A189" s="167" t="s">
        <v>38</v>
      </c>
      <c r="B189" s="167">
        <v>5556</v>
      </c>
    </row>
    <row r="190" spans="1:2" x14ac:dyDescent="0.25">
      <c r="A190" s="167" t="s">
        <v>39</v>
      </c>
      <c r="B190" s="167">
        <v>5557</v>
      </c>
    </row>
    <row r="191" spans="1:2" x14ac:dyDescent="0.25">
      <c r="A191" s="167" t="s">
        <v>143</v>
      </c>
      <c r="B191" s="167">
        <v>5604</v>
      </c>
    </row>
    <row r="192" spans="1:2" x14ac:dyDescent="0.25">
      <c r="A192" s="167" t="s">
        <v>234</v>
      </c>
      <c r="B192" s="167">
        <v>5717</v>
      </c>
    </row>
    <row r="193" spans="1:2" x14ac:dyDescent="0.25">
      <c r="A193" s="167" t="s">
        <v>186</v>
      </c>
      <c r="B193" s="167">
        <v>5523</v>
      </c>
    </row>
    <row r="194" spans="1:2" x14ac:dyDescent="0.25">
      <c r="A194" s="167" t="s">
        <v>235</v>
      </c>
      <c r="B194" s="167">
        <v>5718</v>
      </c>
    </row>
    <row r="195" spans="1:2" x14ac:dyDescent="0.25">
      <c r="A195" s="167" t="s">
        <v>40</v>
      </c>
      <c r="B195" s="167">
        <v>5559</v>
      </c>
    </row>
    <row r="196" spans="1:2" x14ac:dyDescent="0.25">
      <c r="A196" s="167" t="s">
        <v>22</v>
      </c>
      <c r="B196" s="167">
        <v>5857</v>
      </c>
    </row>
    <row r="197" spans="1:2" x14ac:dyDescent="0.25">
      <c r="A197" s="167" t="s">
        <v>343</v>
      </c>
      <c r="B197" s="167">
        <v>5428</v>
      </c>
    </row>
    <row r="198" spans="1:2" x14ac:dyDescent="0.25">
      <c r="A198" s="167" t="s">
        <v>236</v>
      </c>
      <c r="B198" s="167">
        <v>5719</v>
      </c>
    </row>
    <row r="199" spans="1:2" x14ac:dyDescent="0.25">
      <c r="A199" s="167" t="s">
        <v>237</v>
      </c>
      <c r="B199" s="167">
        <v>5720</v>
      </c>
    </row>
    <row r="200" spans="1:2" x14ac:dyDescent="0.25">
      <c r="A200" s="167" t="s">
        <v>238</v>
      </c>
      <c r="B200" s="167">
        <v>5721</v>
      </c>
    </row>
    <row r="201" spans="1:2" x14ac:dyDescent="0.25">
      <c r="A201" s="167" t="s">
        <v>141</v>
      </c>
      <c r="B201" s="167">
        <v>5484</v>
      </c>
    </row>
    <row r="202" spans="1:2" x14ac:dyDescent="0.25">
      <c r="A202" s="167" t="s">
        <v>431</v>
      </c>
      <c r="B202" s="167">
        <v>5541</v>
      </c>
    </row>
    <row r="203" spans="1:2" x14ac:dyDescent="0.25">
      <c r="A203" s="167" t="s">
        <v>142</v>
      </c>
      <c r="B203" s="167">
        <v>5485</v>
      </c>
    </row>
    <row r="204" spans="1:2" x14ac:dyDescent="0.25">
      <c r="A204" s="167" t="s">
        <v>7</v>
      </c>
      <c r="B204" s="167">
        <v>5817</v>
      </c>
    </row>
    <row r="205" spans="1:2" x14ac:dyDescent="0.25">
      <c r="A205" s="167" t="s">
        <v>41</v>
      </c>
      <c r="B205" s="167">
        <v>5560</v>
      </c>
    </row>
    <row r="206" spans="1:2" x14ac:dyDescent="0.25">
      <c r="A206" s="167" t="s">
        <v>42</v>
      </c>
      <c r="B206" s="167">
        <v>5561</v>
      </c>
    </row>
    <row r="207" spans="1:2" x14ac:dyDescent="0.25">
      <c r="A207" s="167" t="s">
        <v>239</v>
      </c>
      <c r="B207" s="167">
        <v>5722</v>
      </c>
    </row>
    <row r="208" spans="1:2" x14ac:dyDescent="0.25">
      <c r="A208" s="167" t="s">
        <v>114</v>
      </c>
      <c r="B208" s="167">
        <v>5405</v>
      </c>
    </row>
    <row r="209" spans="1:2" x14ac:dyDescent="0.25">
      <c r="A209" s="167" t="s">
        <v>8</v>
      </c>
      <c r="B209" s="167">
        <v>5819</v>
      </c>
    </row>
    <row r="210" spans="1:2" x14ac:dyDescent="0.25">
      <c r="A210" s="167" t="s">
        <v>100</v>
      </c>
      <c r="B210" s="167">
        <v>5673</v>
      </c>
    </row>
    <row r="211" spans="1:2" x14ac:dyDescent="0.25">
      <c r="A211" s="167" t="s">
        <v>50</v>
      </c>
      <c r="B211" s="167">
        <v>5885</v>
      </c>
    </row>
    <row r="212" spans="1:2" x14ac:dyDescent="0.25">
      <c r="A212" s="167" t="s">
        <v>433</v>
      </c>
      <c r="B212" s="167">
        <v>5804</v>
      </c>
    </row>
    <row r="213" spans="1:2" x14ac:dyDescent="0.25">
      <c r="A213" s="167" t="s">
        <v>531</v>
      </c>
      <c r="B213" s="167">
        <v>5806</v>
      </c>
    </row>
    <row r="214" spans="1:2" x14ac:dyDescent="0.25">
      <c r="A214" s="167" t="s">
        <v>393</v>
      </c>
      <c r="B214" s="167">
        <v>5585</v>
      </c>
    </row>
    <row r="215" spans="1:2" x14ac:dyDescent="0.25">
      <c r="A215" s="167" t="s">
        <v>333</v>
      </c>
      <c r="B215" s="167">
        <v>5754</v>
      </c>
    </row>
    <row r="216" spans="1:2" x14ac:dyDescent="0.25">
      <c r="A216" s="167" t="s">
        <v>210</v>
      </c>
      <c r="B216" s="167">
        <v>5474</v>
      </c>
    </row>
    <row r="217" spans="1:2" x14ac:dyDescent="0.25">
      <c r="A217" s="167" t="s">
        <v>217</v>
      </c>
      <c r="B217" s="167">
        <v>5758</v>
      </c>
    </row>
    <row r="218" spans="1:2" x14ac:dyDescent="0.25">
      <c r="A218" s="167" t="s">
        <v>319</v>
      </c>
      <c r="B218" s="167">
        <v>5726</v>
      </c>
    </row>
    <row r="219" spans="1:2" x14ac:dyDescent="0.25">
      <c r="A219" s="167" t="s">
        <v>171</v>
      </c>
      <c r="B219" s="167">
        <v>5498</v>
      </c>
    </row>
    <row r="220" spans="1:2" x14ac:dyDescent="0.25">
      <c r="A220" s="167" t="s">
        <v>52</v>
      </c>
      <c r="B220" s="167">
        <v>5889</v>
      </c>
    </row>
    <row r="221" spans="1:2" x14ac:dyDescent="0.25">
      <c r="A221" s="167" t="s">
        <v>29</v>
      </c>
      <c r="B221" s="167">
        <v>5871</v>
      </c>
    </row>
    <row r="222" spans="1:2" x14ac:dyDescent="0.25">
      <c r="A222" s="167" t="s">
        <v>326</v>
      </c>
      <c r="B222" s="167">
        <v>5741</v>
      </c>
    </row>
    <row r="223" spans="1:2" x14ac:dyDescent="0.25">
      <c r="A223" s="167" t="s">
        <v>120</v>
      </c>
      <c r="B223" s="167">
        <v>5586</v>
      </c>
    </row>
    <row r="224" spans="1:2" x14ac:dyDescent="0.25">
      <c r="A224" s="167" t="s">
        <v>115</v>
      </c>
      <c r="B224" s="167">
        <v>5406</v>
      </c>
    </row>
    <row r="225" spans="1:2" x14ac:dyDescent="0.25">
      <c r="A225" s="167" t="s">
        <v>158</v>
      </c>
      <c r="B225" s="167">
        <v>5637</v>
      </c>
    </row>
    <row r="226" spans="1:2" x14ac:dyDescent="0.25">
      <c r="A226" s="167" t="s">
        <v>204</v>
      </c>
      <c r="B226" s="167">
        <v>5872</v>
      </c>
    </row>
    <row r="227" spans="1:2" x14ac:dyDescent="0.25">
      <c r="A227" s="167" t="s">
        <v>205</v>
      </c>
      <c r="B227" s="167">
        <v>5873</v>
      </c>
    </row>
    <row r="228" spans="1:2" x14ac:dyDescent="0.25">
      <c r="A228" s="167" t="s">
        <v>121</v>
      </c>
      <c r="B228" s="167">
        <v>5587</v>
      </c>
    </row>
    <row r="229" spans="1:2" x14ac:dyDescent="0.25">
      <c r="A229" s="167" t="s">
        <v>324</v>
      </c>
      <c r="B229" s="167">
        <v>5731</v>
      </c>
    </row>
    <row r="230" spans="1:2" x14ac:dyDescent="0.25">
      <c r="A230" s="167" t="s">
        <v>272</v>
      </c>
      <c r="B230" s="167">
        <v>5750</v>
      </c>
    </row>
    <row r="231" spans="1:2" x14ac:dyDescent="0.25">
      <c r="A231" s="167" t="s">
        <v>116</v>
      </c>
      <c r="B231" s="167">
        <v>5407</v>
      </c>
    </row>
    <row r="232" spans="1:2" x14ac:dyDescent="0.25">
      <c r="A232" s="167" t="s">
        <v>334</v>
      </c>
      <c r="B232" s="167">
        <v>5755</v>
      </c>
    </row>
    <row r="233" spans="1:2" x14ac:dyDescent="0.25">
      <c r="A233" s="167" t="s">
        <v>1</v>
      </c>
      <c r="B233" s="167">
        <v>5486</v>
      </c>
    </row>
    <row r="234" spans="1:2" x14ac:dyDescent="0.25">
      <c r="A234" s="167" t="s">
        <v>159</v>
      </c>
      <c r="B234" s="167">
        <v>5638</v>
      </c>
    </row>
    <row r="235" spans="1:2" x14ac:dyDescent="0.25">
      <c r="A235" s="167" t="s">
        <v>363</v>
      </c>
      <c r="B235" s="167">
        <v>5429</v>
      </c>
    </row>
    <row r="236" spans="1:2" x14ac:dyDescent="0.25">
      <c r="A236" s="167" t="s">
        <v>101</v>
      </c>
      <c r="B236" s="167">
        <v>5674</v>
      </c>
    </row>
    <row r="237" spans="1:2" x14ac:dyDescent="0.25">
      <c r="A237" s="167" t="s">
        <v>102</v>
      </c>
      <c r="B237" s="167">
        <v>5675</v>
      </c>
    </row>
    <row r="238" spans="1:2" x14ac:dyDescent="0.25">
      <c r="A238" s="167" t="s">
        <v>23</v>
      </c>
      <c r="B238" s="167">
        <v>5858</v>
      </c>
    </row>
    <row r="239" spans="1:2" x14ac:dyDescent="0.25">
      <c r="A239" s="167" t="s">
        <v>160</v>
      </c>
      <c r="B239" s="167">
        <v>5639</v>
      </c>
    </row>
    <row r="240" spans="1:2" x14ac:dyDescent="0.25">
      <c r="A240" s="167" t="s">
        <v>2</v>
      </c>
      <c r="B240" s="167">
        <v>5487</v>
      </c>
    </row>
    <row r="241" spans="1:2" x14ac:dyDescent="0.25">
      <c r="A241" s="167" t="s">
        <v>161</v>
      </c>
      <c r="B241" s="167">
        <v>5640</v>
      </c>
    </row>
    <row r="242" spans="1:2" x14ac:dyDescent="0.25">
      <c r="A242" s="167" t="s">
        <v>144</v>
      </c>
      <c r="B242" s="167">
        <v>5606</v>
      </c>
    </row>
    <row r="243" spans="1:2" x14ac:dyDescent="0.25">
      <c r="A243" s="167" t="s">
        <v>281</v>
      </c>
      <c r="B243" s="167">
        <v>5790</v>
      </c>
    </row>
    <row r="244" spans="1:2" x14ac:dyDescent="0.25">
      <c r="A244" s="167" t="s">
        <v>364</v>
      </c>
      <c r="B244" s="167">
        <v>5430</v>
      </c>
    </row>
    <row r="245" spans="1:2" x14ac:dyDescent="0.25">
      <c r="A245" s="167" t="s">
        <v>394</v>
      </c>
      <c r="B245" s="167">
        <v>5919</v>
      </c>
    </row>
    <row r="246" spans="1:2" x14ac:dyDescent="0.25">
      <c r="A246" s="167" t="s">
        <v>43</v>
      </c>
      <c r="B246" s="167">
        <v>5562</v>
      </c>
    </row>
    <row r="247" spans="1:2" x14ac:dyDescent="0.25">
      <c r="A247" s="167" t="s">
        <v>3</v>
      </c>
      <c r="B247" s="167">
        <v>5488</v>
      </c>
    </row>
    <row r="248" spans="1:2" x14ac:dyDescent="0.25">
      <c r="A248" s="167" t="s">
        <v>4</v>
      </c>
      <c r="B248" s="167">
        <v>5489</v>
      </c>
    </row>
    <row r="249" spans="1:2" x14ac:dyDescent="0.25">
      <c r="A249" s="167" t="s">
        <v>240</v>
      </c>
      <c r="B249" s="167">
        <v>5723</v>
      </c>
    </row>
    <row r="250" spans="1:2" x14ac:dyDescent="0.25">
      <c r="A250" s="167" t="s">
        <v>9</v>
      </c>
      <c r="B250" s="167">
        <v>5821</v>
      </c>
    </row>
    <row r="251" spans="1:2" x14ac:dyDescent="0.25">
      <c r="A251" s="167" t="s">
        <v>5</v>
      </c>
      <c r="B251" s="167">
        <v>5490</v>
      </c>
    </row>
    <row r="252" spans="1:2" x14ac:dyDescent="0.25">
      <c r="A252" s="167" t="s">
        <v>365</v>
      </c>
      <c r="B252" s="167">
        <v>5431</v>
      </c>
    </row>
    <row r="253" spans="1:2" x14ac:dyDescent="0.25">
      <c r="A253" s="167" t="s">
        <v>395</v>
      </c>
      <c r="B253" s="167">
        <v>5921</v>
      </c>
    </row>
    <row r="254" spans="1:2" x14ac:dyDescent="0.25">
      <c r="A254" s="167" t="s">
        <v>273</v>
      </c>
      <c r="B254" s="167">
        <v>5922</v>
      </c>
    </row>
    <row r="255" spans="1:2" x14ac:dyDescent="0.25">
      <c r="A255" s="167" t="s">
        <v>443</v>
      </c>
      <c r="B255" s="167">
        <v>5693</v>
      </c>
    </row>
    <row r="256" spans="1:2" x14ac:dyDescent="0.25">
      <c r="A256" s="167" t="s">
        <v>335</v>
      </c>
      <c r="B256" s="167">
        <v>5756</v>
      </c>
    </row>
    <row r="257" spans="1:2" x14ac:dyDescent="0.25">
      <c r="A257" s="167" t="s">
        <v>366</v>
      </c>
      <c r="B257" s="167">
        <v>5432</v>
      </c>
    </row>
    <row r="258" spans="1:2" x14ac:dyDescent="0.25">
      <c r="A258" s="167" t="s">
        <v>432</v>
      </c>
      <c r="B258" s="167">
        <v>5540</v>
      </c>
    </row>
    <row r="259" spans="1:2" x14ac:dyDescent="0.25">
      <c r="A259" s="167" t="s">
        <v>164</v>
      </c>
      <c r="B259" s="167">
        <v>5491</v>
      </c>
    </row>
    <row r="260" spans="1:2" x14ac:dyDescent="0.25">
      <c r="A260" s="167" t="s">
        <v>282</v>
      </c>
      <c r="B260" s="167">
        <v>5792</v>
      </c>
    </row>
    <row r="261" spans="1:2" x14ac:dyDescent="0.25">
      <c r="A261" s="167" t="s">
        <v>51</v>
      </c>
      <c r="B261" s="167">
        <v>5886</v>
      </c>
    </row>
    <row r="262" spans="1:2" x14ac:dyDescent="0.25">
      <c r="A262" s="167" t="s">
        <v>165</v>
      </c>
      <c r="B262" s="167">
        <v>5492</v>
      </c>
    </row>
    <row r="263" spans="1:2" x14ac:dyDescent="0.25">
      <c r="A263" s="167" t="s">
        <v>24</v>
      </c>
      <c r="B263" s="167">
        <v>5859</v>
      </c>
    </row>
    <row r="264" spans="1:2" x14ac:dyDescent="0.25">
      <c r="A264" s="167" t="s">
        <v>162</v>
      </c>
      <c r="B264" s="167">
        <v>5642</v>
      </c>
    </row>
    <row r="265" spans="1:2" x14ac:dyDescent="0.25">
      <c r="A265" s="167" t="s">
        <v>187</v>
      </c>
      <c r="B265" s="167">
        <v>5527</v>
      </c>
    </row>
    <row r="266" spans="1:2" x14ac:dyDescent="0.25">
      <c r="A266" s="167" t="s">
        <v>103</v>
      </c>
      <c r="B266" s="167">
        <v>5678</v>
      </c>
    </row>
    <row r="267" spans="1:2" x14ac:dyDescent="0.25">
      <c r="A267" s="167" t="s">
        <v>285</v>
      </c>
      <c r="B267" s="167">
        <v>5563</v>
      </c>
    </row>
    <row r="268" spans="1:2" x14ac:dyDescent="0.25">
      <c r="A268" s="167" t="s">
        <v>286</v>
      </c>
      <c r="B268" s="167">
        <v>5564</v>
      </c>
    </row>
    <row r="269" spans="1:2" x14ac:dyDescent="0.25">
      <c r="A269" s="167" t="s">
        <v>117</v>
      </c>
      <c r="B269" s="167">
        <v>5408</v>
      </c>
    </row>
    <row r="270" spans="1:2" x14ac:dyDescent="0.25">
      <c r="A270" s="167" t="s">
        <v>69</v>
      </c>
      <c r="B270" s="167">
        <v>5724</v>
      </c>
    </row>
    <row r="271" spans="1:2" x14ac:dyDescent="0.25">
      <c r="A271" s="167" t="s">
        <v>104</v>
      </c>
      <c r="B271" s="167">
        <v>5680</v>
      </c>
    </row>
    <row r="272" spans="1:2" x14ac:dyDescent="0.25">
      <c r="A272" s="167" t="s">
        <v>118</v>
      </c>
      <c r="B272" s="167">
        <v>5409</v>
      </c>
    </row>
    <row r="273" spans="1:2" x14ac:dyDescent="0.25">
      <c r="A273" s="167" t="s">
        <v>287</v>
      </c>
      <c r="B273" s="167">
        <v>5565</v>
      </c>
    </row>
    <row r="274" spans="1:2" x14ac:dyDescent="0.25">
      <c r="A274" s="167" t="s">
        <v>274</v>
      </c>
      <c r="B274" s="167">
        <v>5923</v>
      </c>
    </row>
    <row r="275" spans="1:2" x14ac:dyDescent="0.25">
      <c r="A275" s="167" t="s">
        <v>336</v>
      </c>
      <c r="B275" s="167">
        <v>5757</v>
      </c>
    </row>
    <row r="276" spans="1:2" x14ac:dyDescent="0.25">
      <c r="A276" s="167" t="s">
        <v>275</v>
      </c>
      <c r="B276" s="167">
        <v>5924</v>
      </c>
    </row>
    <row r="277" spans="1:2" x14ac:dyDescent="0.25">
      <c r="A277" s="167" t="s">
        <v>130</v>
      </c>
      <c r="B277" s="167">
        <v>5410</v>
      </c>
    </row>
    <row r="278" spans="1:2" x14ac:dyDescent="0.25">
      <c r="A278" s="167" t="s">
        <v>131</v>
      </c>
      <c r="B278" s="167">
        <v>5411</v>
      </c>
    </row>
    <row r="279" spans="1:2" x14ac:dyDescent="0.25">
      <c r="A279" s="167" t="s">
        <v>166</v>
      </c>
      <c r="B279" s="167">
        <v>5493</v>
      </c>
    </row>
    <row r="280" spans="1:2" x14ac:dyDescent="0.25">
      <c r="A280" s="167" t="s">
        <v>435</v>
      </c>
      <c r="B280" s="167">
        <v>5805</v>
      </c>
    </row>
    <row r="281" spans="1:2" x14ac:dyDescent="0.25">
      <c r="A281" s="167" t="s">
        <v>399</v>
      </c>
      <c r="B281" s="167">
        <v>5925</v>
      </c>
    </row>
    <row r="282" spans="1:2" x14ac:dyDescent="0.25">
      <c r="A282" s="167" t="s">
        <v>188</v>
      </c>
      <c r="B282" s="167">
        <v>5529</v>
      </c>
    </row>
    <row r="283" spans="1:2" x14ac:dyDescent="0.25">
      <c r="A283" s="167" t="s">
        <v>189</v>
      </c>
      <c r="B283" s="167">
        <v>5530</v>
      </c>
    </row>
    <row r="284" spans="1:2" x14ac:dyDescent="0.25">
      <c r="A284" s="167" t="s">
        <v>167</v>
      </c>
      <c r="B284" s="167">
        <v>5494</v>
      </c>
    </row>
    <row r="285" spans="1:2" x14ac:dyDescent="0.25">
      <c r="A285" s="167" t="s">
        <v>122</v>
      </c>
      <c r="B285" s="167">
        <v>5588</v>
      </c>
    </row>
    <row r="286" spans="1:2" x14ac:dyDescent="0.25">
      <c r="A286" s="167" t="s">
        <v>10</v>
      </c>
      <c r="B286" s="167">
        <v>5822</v>
      </c>
    </row>
    <row r="287" spans="1:2" x14ac:dyDescent="0.25">
      <c r="A287" s="167" t="s">
        <v>168</v>
      </c>
      <c r="B287" s="167">
        <v>5495</v>
      </c>
    </row>
    <row r="288" spans="1:2" x14ac:dyDescent="0.25">
      <c r="A288" s="167" t="s">
        <v>169</v>
      </c>
      <c r="B288" s="167">
        <v>5496</v>
      </c>
    </row>
    <row r="289" spans="1:2" x14ac:dyDescent="0.25">
      <c r="A289" s="167" t="s">
        <v>190</v>
      </c>
      <c r="B289" s="167">
        <v>5531</v>
      </c>
    </row>
    <row r="290" spans="1:2" x14ac:dyDescent="0.25">
      <c r="A290" s="167" t="s">
        <v>25</v>
      </c>
      <c r="B290" s="167">
        <v>5860</v>
      </c>
    </row>
    <row r="291" spans="1:2" x14ac:dyDescent="0.25">
      <c r="A291" s="167" t="s">
        <v>191</v>
      </c>
      <c r="B291" s="167">
        <v>5533</v>
      </c>
    </row>
    <row r="292" spans="1:2" x14ac:dyDescent="0.25">
      <c r="A292" s="167" t="s">
        <v>170</v>
      </c>
      <c r="B292" s="167">
        <v>5497</v>
      </c>
    </row>
    <row r="293" spans="1:2" x14ac:dyDescent="0.25">
      <c r="A293" s="167" t="s">
        <v>400</v>
      </c>
      <c r="B293" s="167">
        <v>5926</v>
      </c>
    </row>
    <row r="294" spans="1:2" x14ac:dyDescent="0.25">
      <c r="A294" s="167" t="s">
        <v>70</v>
      </c>
      <c r="B294" s="167">
        <v>5725</v>
      </c>
    </row>
    <row r="295" spans="1:2" x14ac:dyDescent="0.25">
      <c r="A295" s="167" t="s">
        <v>218</v>
      </c>
      <c r="B295" s="167">
        <v>5759</v>
      </c>
    </row>
    <row r="296" spans="1:2" x14ac:dyDescent="0.25">
      <c r="A296" s="167" t="s">
        <v>163</v>
      </c>
      <c r="B296" s="167">
        <v>5643</v>
      </c>
    </row>
    <row r="297" spans="1:2" x14ac:dyDescent="0.25">
      <c r="A297" s="167" t="s">
        <v>105</v>
      </c>
      <c r="B297" s="167">
        <v>5683</v>
      </c>
    </row>
    <row r="298" spans="1:2" x14ac:dyDescent="0.25">
      <c r="A298" s="167" t="s">
        <v>123</v>
      </c>
      <c r="B298" s="167">
        <v>5589</v>
      </c>
    </row>
    <row r="299" spans="1:2" x14ac:dyDescent="0.25">
      <c r="A299" s="167" t="s">
        <v>288</v>
      </c>
      <c r="B299" s="167">
        <v>5566</v>
      </c>
    </row>
    <row r="300" spans="1:2" x14ac:dyDescent="0.25">
      <c r="A300" s="167" t="s">
        <v>300</v>
      </c>
      <c r="B300" s="167">
        <v>5607</v>
      </c>
    </row>
    <row r="301" spans="1:2" x14ac:dyDescent="0.25">
      <c r="A301" s="167" t="s">
        <v>124</v>
      </c>
      <c r="B301" s="167">
        <v>5590</v>
      </c>
    </row>
    <row r="302" spans="1:2" x14ac:dyDescent="0.25">
      <c r="A302" s="167" t="s">
        <v>219</v>
      </c>
      <c r="B302" s="167">
        <v>5760</v>
      </c>
    </row>
    <row r="303" spans="1:2" x14ac:dyDescent="0.25">
      <c r="A303" s="167" t="s">
        <v>396</v>
      </c>
      <c r="B303" s="167">
        <v>5591</v>
      </c>
    </row>
    <row r="304" spans="1:2" x14ac:dyDescent="0.25">
      <c r="A304" s="167" t="s">
        <v>132</v>
      </c>
      <c r="B304" s="167">
        <v>5412</v>
      </c>
    </row>
    <row r="305" spans="1:2" x14ac:dyDescent="0.25">
      <c r="A305" s="167" t="s">
        <v>312</v>
      </c>
      <c r="B305" s="167">
        <v>5644</v>
      </c>
    </row>
    <row r="306" spans="1:2" x14ac:dyDescent="0.25">
      <c r="A306" s="167" t="s">
        <v>128</v>
      </c>
      <c r="B306" s="167">
        <v>5609</v>
      </c>
    </row>
    <row r="307" spans="1:2" x14ac:dyDescent="0.25">
      <c r="A307" s="167" t="s">
        <v>133</v>
      </c>
      <c r="B307" s="167">
        <v>5413</v>
      </c>
    </row>
    <row r="308" spans="1:2" x14ac:dyDescent="0.25">
      <c r="A308" s="167" t="s">
        <v>26</v>
      </c>
      <c r="B308" s="167">
        <v>5861</v>
      </c>
    </row>
    <row r="309" spans="1:2" x14ac:dyDescent="0.25">
      <c r="A309" s="167" t="s">
        <v>135</v>
      </c>
      <c r="B309" s="167">
        <v>5761</v>
      </c>
    </row>
    <row r="310" spans="1:2" x14ac:dyDescent="0.25">
      <c r="A310" s="167" t="s">
        <v>216</v>
      </c>
      <c r="B310" s="167">
        <v>5592</v>
      </c>
    </row>
    <row r="311" spans="1:2" x14ac:dyDescent="0.25">
      <c r="A311" s="167" t="s">
        <v>313</v>
      </c>
      <c r="B311" s="167">
        <v>5645</v>
      </c>
    </row>
    <row r="312" spans="1:2" x14ac:dyDescent="0.25">
      <c r="A312" s="167" t="s">
        <v>283</v>
      </c>
      <c r="B312" s="167">
        <v>5798</v>
      </c>
    </row>
    <row r="313" spans="1:2" x14ac:dyDescent="0.25">
      <c r="A313" s="167" t="s">
        <v>106</v>
      </c>
      <c r="B313" s="167">
        <v>5684</v>
      </c>
    </row>
    <row r="314" spans="1:2" x14ac:dyDescent="0.25">
      <c r="A314" s="167" t="s">
        <v>14</v>
      </c>
      <c r="B314" s="167">
        <v>5842</v>
      </c>
    </row>
    <row r="315" spans="1:2" x14ac:dyDescent="0.25">
      <c r="A315" s="167" t="s">
        <v>15</v>
      </c>
      <c r="B315" s="167">
        <v>5843</v>
      </c>
    </row>
    <row r="316" spans="1:2" x14ac:dyDescent="0.25">
      <c r="A316" s="167" t="s">
        <v>401</v>
      </c>
      <c r="B316" s="167">
        <v>5928</v>
      </c>
    </row>
    <row r="317" spans="1:2" x14ac:dyDescent="0.25">
      <c r="A317" s="167" t="s">
        <v>192</v>
      </c>
      <c r="B317" s="167">
        <v>5534</v>
      </c>
    </row>
    <row r="318" spans="1:2" x14ac:dyDescent="0.25">
      <c r="A318" s="167" t="s">
        <v>30</v>
      </c>
      <c r="B318" s="167">
        <v>5535</v>
      </c>
    </row>
    <row r="319" spans="1:2" x14ac:dyDescent="0.25">
      <c r="A319" s="167" t="s">
        <v>320</v>
      </c>
      <c r="B319" s="167">
        <v>5727</v>
      </c>
    </row>
    <row r="320" spans="1:2" x14ac:dyDescent="0.25">
      <c r="A320" s="167" t="s">
        <v>119</v>
      </c>
      <c r="B320" s="167">
        <v>5568</v>
      </c>
    </row>
    <row r="321" spans="1:2" x14ac:dyDescent="0.25">
      <c r="A321" s="167" t="s">
        <v>367</v>
      </c>
      <c r="B321" s="167">
        <v>5434</v>
      </c>
    </row>
    <row r="322" spans="1:2" x14ac:dyDescent="0.25">
      <c r="A322" s="167" t="s">
        <v>518</v>
      </c>
      <c r="B322" s="167">
        <v>5888</v>
      </c>
    </row>
    <row r="323" spans="1:2" x14ac:dyDescent="0.25">
      <c r="A323" s="167" t="s">
        <v>344</v>
      </c>
      <c r="B323" s="167">
        <v>5435</v>
      </c>
    </row>
    <row r="324" spans="1:2" x14ac:dyDescent="0.25">
      <c r="A324" s="167" t="s">
        <v>345</v>
      </c>
      <c r="B324" s="167">
        <v>5436</v>
      </c>
    </row>
    <row r="325" spans="1:2" x14ac:dyDescent="0.25">
      <c r="A325" s="167" t="s">
        <v>314</v>
      </c>
      <c r="B325" s="167">
        <v>5646</v>
      </c>
    </row>
    <row r="326" spans="1:2" x14ac:dyDescent="0.25">
      <c r="A326" s="167" t="s">
        <v>315</v>
      </c>
      <c r="B326" s="167">
        <v>5648</v>
      </c>
    </row>
    <row r="327" spans="1:2" x14ac:dyDescent="0.25">
      <c r="A327" s="167" t="s">
        <v>346</v>
      </c>
      <c r="B327" s="167">
        <v>5437</v>
      </c>
    </row>
    <row r="328" spans="1:2" x14ac:dyDescent="0.25">
      <c r="A328" s="167" t="s">
        <v>297</v>
      </c>
      <c r="B328" s="167">
        <v>5611</v>
      </c>
    </row>
    <row r="329" spans="1:2" x14ac:dyDescent="0.25">
      <c r="A329" s="167" t="s">
        <v>172</v>
      </c>
      <c r="B329" s="167">
        <v>5499</v>
      </c>
    </row>
    <row r="330" spans="1:2" x14ac:dyDescent="0.25">
      <c r="A330" s="167" t="s">
        <v>136</v>
      </c>
      <c r="B330" s="167">
        <v>5762</v>
      </c>
    </row>
    <row r="331" spans="1:2" x14ac:dyDescent="0.25">
      <c r="A331" s="167" t="s">
        <v>284</v>
      </c>
      <c r="B331" s="167">
        <v>5799</v>
      </c>
    </row>
    <row r="332" spans="1:2" x14ac:dyDescent="0.25">
      <c r="A332" s="167" t="s">
        <v>173</v>
      </c>
      <c r="B332" s="167">
        <v>5500</v>
      </c>
    </row>
    <row r="333" spans="1:2" x14ac:dyDescent="0.25">
      <c r="A333" s="167" t="s">
        <v>321</v>
      </c>
      <c r="B333" s="167">
        <v>5728</v>
      </c>
    </row>
    <row r="334" spans="1:2" x14ac:dyDescent="0.25">
      <c r="A334" s="167" t="s">
        <v>129</v>
      </c>
      <c r="B334" s="167">
        <v>5610</v>
      </c>
    </row>
    <row r="335" spans="1:2" x14ac:dyDescent="0.25">
      <c r="A335" s="167" t="s">
        <v>402</v>
      </c>
      <c r="B335" s="167">
        <v>5929</v>
      </c>
    </row>
    <row r="336" spans="1:2" x14ac:dyDescent="0.25">
      <c r="A336" s="167" t="s">
        <v>174</v>
      </c>
      <c r="B336" s="167">
        <v>5501</v>
      </c>
    </row>
    <row r="337" spans="1:2" x14ac:dyDescent="0.25">
      <c r="A337" s="167" t="s">
        <v>403</v>
      </c>
      <c r="B337" s="167">
        <v>5930</v>
      </c>
    </row>
    <row r="338" spans="1:2" x14ac:dyDescent="0.25">
      <c r="A338" s="167" t="s">
        <v>107</v>
      </c>
      <c r="B338" s="167">
        <v>5688</v>
      </c>
    </row>
    <row r="339" spans="1:2" x14ac:dyDescent="0.25">
      <c r="A339" s="167" t="s">
        <v>322</v>
      </c>
      <c r="B339" s="167">
        <v>5729</v>
      </c>
    </row>
    <row r="340" spans="1:2" x14ac:dyDescent="0.25">
      <c r="A340" s="167" t="s">
        <v>27</v>
      </c>
      <c r="B340" s="167">
        <v>5862</v>
      </c>
    </row>
    <row r="341" spans="1:2" x14ac:dyDescent="0.25">
      <c r="A341" s="167" t="s">
        <v>429</v>
      </c>
      <c r="B341" s="167">
        <v>5571</v>
      </c>
    </row>
    <row r="342" spans="1:2" x14ac:dyDescent="0.25">
      <c r="A342" s="167" t="s">
        <v>316</v>
      </c>
      <c r="B342" s="167">
        <v>5649</v>
      </c>
    </row>
    <row r="343" spans="1:2" x14ac:dyDescent="0.25">
      <c r="A343" s="167" t="s">
        <v>323</v>
      </c>
      <c r="B343" s="167">
        <v>5730</v>
      </c>
    </row>
    <row r="344" spans="1:2" x14ac:dyDescent="0.25">
      <c r="A344" s="167" t="s">
        <v>11</v>
      </c>
      <c r="B344" s="167">
        <v>5827</v>
      </c>
    </row>
    <row r="345" spans="1:2" x14ac:dyDescent="0.25">
      <c r="A345" s="167" t="s">
        <v>404</v>
      </c>
      <c r="B345" s="167">
        <v>5931</v>
      </c>
    </row>
    <row r="346" spans="1:2" x14ac:dyDescent="0.25">
      <c r="A346" s="167" t="s">
        <v>517</v>
      </c>
      <c r="B346" s="167">
        <v>5828</v>
      </c>
    </row>
    <row r="347" spans="1:2" x14ac:dyDescent="0.25">
      <c r="A347" s="167" t="s">
        <v>276</v>
      </c>
      <c r="B347" s="167">
        <v>5932</v>
      </c>
    </row>
    <row r="348" spans="1:2" x14ac:dyDescent="0.25">
      <c r="A348" s="167" t="s">
        <v>434</v>
      </c>
      <c r="B348" s="167">
        <v>5831</v>
      </c>
    </row>
    <row r="349" spans="1:2" x14ac:dyDescent="0.25">
      <c r="A349" s="167" t="s">
        <v>397</v>
      </c>
      <c r="B349" s="167">
        <v>5933</v>
      </c>
    </row>
    <row r="350" spans="1:2" x14ac:dyDescent="0.25">
      <c r="A350" s="167" t="s">
        <v>137</v>
      </c>
      <c r="B350" s="167">
        <v>5763</v>
      </c>
    </row>
    <row r="351" spans="1:2" x14ac:dyDescent="0.25">
      <c r="A351" s="167" t="s">
        <v>398</v>
      </c>
      <c r="B351" s="167">
        <v>5934</v>
      </c>
    </row>
    <row r="352" spans="1:2" x14ac:dyDescent="0.25">
      <c r="A352" s="167" t="s">
        <v>337</v>
      </c>
      <c r="B352" s="167">
        <v>5764</v>
      </c>
    </row>
    <row r="353" spans="1:2" x14ac:dyDescent="0.25">
      <c r="A353" s="167" t="s">
        <v>338</v>
      </c>
      <c r="B353" s="167">
        <v>5765</v>
      </c>
    </row>
    <row r="354" spans="1:2" x14ac:dyDescent="0.25">
      <c r="A354" s="167" t="s">
        <v>317</v>
      </c>
      <c r="B354" s="167">
        <v>5650</v>
      </c>
    </row>
    <row r="355" spans="1:2" x14ac:dyDescent="0.25">
      <c r="A355" s="167" t="s">
        <v>53</v>
      </c>
      <c r="B355" s="167">
        <v>5890</v>
      </c>
    </row>
    <row r="356" spans="1:2" x14ac:dyDescent="0.25">
      <c r="A356" s="167" t="s">
        <v>54</v>
      </c>
      <c r="B356" s="167">
        <v>5891</v>
      </c>
    </row>
    <row r="357" spans="1:2" x14ac:dyDescent="0.25">
      <c r="A357" s="167" t="s">
        <v>325</v>
      </c>
      <c r="B357" s="167">
        <v>5732</v>
      </c>
    </row>
    <row r="358" spans="1:2" x14ac:dyDescent="0.25">
      <c r="A358" s="167" t="s">
        <v>299</v>
      </c>
      <c r="B358" s="167">
        <v>5935</v>
      </c>
    </row>
    <row r="359" spans="1:2" x14ac:dyDescent="0.25">
      <c r="A359" s="167" t="s">
        <v>108</v>
      </c>
      <c r="B359" s="167">
        <v>5690</v>
      </c>
    </row>
    <row r="360" spans="1:2" x14ac:dyDescent="0.25">
      <c r="A360" s="167" t="s">
        <v>31</v>
      </c>
      <c r="B360" s="167">
        <v>5537</v>
      </c>
    </row>
    <row r="361" spans="1:2" x14ac:dyDescent="0.25">
      <c r="A361" s="167" t="s">
        <v>318</v>
      </c>
      <c r="B361" s="167">
        <v>5651</v>
      </c>
    </row>
    <row r="362" spans="1:2" x14ac:dyDescent="0.25">
      <c r="A362" s="167" t="s">
        <v>198</v>
      </c>
      <c r="B362" s="167">
        <v>5652</v>
      </c>
    </row>
    <row r="363" spans="1:2" x14ac:dyDescent="0.25">
      <c r="A363" s="167" t="s">
        <v>12</v>
      </c>
      <c r="B363" s="167">
        <v>5830</v>
      </c>
    </row>
    <row r="364" spans="1:2" x14ac:dyDescent="0.25">
      <c r="A364" s="167" t="s">
        <v>134</v>
      </c>
      <c r="B364" s="167">
        <v>5414</v>
      </c>
    </row>
    <row r="365" spans="1:2" x14ac:dyDescent="0.25">
      <c r="A365" s="167" t="s">
        <v>28</v>
      </c>
      <c r="B365" s="167">
        <v>5863</v>
      </c>
    </row>
    <row r="366" spans="1:2" x14ac:dyDescent="0.25">
      <c r="A366" s="167" t="s">
        <v>32</v>
      </c>
      <c r="B366" s="167">
        <v>5539</v>
      </c>
    </row>
    <row r="367" spans="1:2" x14ac:dyDescent="0.25">
      <c r="A367" s="167" t="s">
        <v>109</v>
      </c>
      <c r="B367" s="167">
        <v>5692</v>
      </c>
    </row>
    <row r="368" spans="1:2" x14ac:dyDescent="0.25">
      <c r="A368" s="167" t="s">
        <v>175</v>
      </c>
      <c r="B368" s="167">
        <v>5503</v>
      </c>
    </row>
    <row r="369" spans="1:2" x14ac:dyDescent="0.25">
      <c r="A369" s="167" t="s">
        <v>199</v>
      </c>
      <c r="B369" s="167">
        <v>5653</v>
      </c>
    </row>
    <row r="370" spans="1:2" x14ac:dyDescent="0.25">
      <c r="A370" s="167" t="s">
        <v>277</v>
      </c>
      <c r="B370" s="167">
        <v>5937</v>
      </c>
    </row>
    <row r="371" spans="1:2" x14ac:dyDescent="0.25">
      <c r="A371" s="167" t="s">
        <v>339</v>
      </c>
      <c r="B371" s="167">
        <v>5766</v>
      </c>
    </row>
    <row r="372" spans="1:2" x14ac:dyDescent="0.25">
      <c r="A372" s="167" t="s">
        <v>386</v>
      </c>
      <c r="B372" s="167">
        <v>5803</v>
      </c>
    </row>
    <row r="373" spans="1:2" x14ac:dyDescent="0.25">
      <c r="A373" s="167" t="s">
        <v>200</v>
      </c>
      <c r="B373" s="167">
        <v>5654</v>
      </c>
    </row>
    <row r="374" spans="1:2" x14ac:dyDescent="0.25">
      <c r="A374" s="167" t="s">
        <v>430</v>
      </c>
      <c r="B374" s="167">
        <v>5464</v>
      </c>
    </row>
    <row r="375" spans="1:2" x14ac:dyDescent="0.25">
      <c r="A375" s="167" t="s">
        <v>201</v>
      </c>
      <c r="B375" s="167">
        <v>5655</v>
      </c>
    </row>
    <row r="376" spans="1:2" x14ac:dyDescent="0.25">
      <c r="A376" s="167" t="s">
        <v>150</v>
      </c>
      <c r="B376" s="167">
        <v>5938</v>
      </c>
    </row>
    <row r="377" spans="1:2" x14ac:dyDescent="0.25">
      <c r="A377" s="167" t="s">
        <v>149</v>
      </c>
      <c r="B377" s="167">
        <v>5939</v>
      </c>
    </row>
    <row r="378" spans="1:2" x14ac:dyDescent="0.25">
      <c r="A378" s="167" t="s">
        <v>72</v>
      </c>
      <c r="B378" s="167">
        <v>5415</v>
      </c>
    </row>
    <row r="379" spans="1:2" x14ac:dyDescent="0.25">
      <c r="B379" s="169"/>
    </row>
    <row r="380" spans="1:2" x14ac:dyDescent="0.25">
      <c r="B380" s="169"/>
    </row>
    <row r="381" spans="1:2" x14ac:dyDescent="0.25">
      <c r="B381" s="169"/>
    </row>
    <row r="382" spans="1:2" x14ac:dyDescent="0.25">
      <c r="B382" s="169"/>
    </row>
    <row r="383" spans="1:2" x14ac:dyDescent="0.25">
      <c r="B383" s="169"/>
    </row>
    <row r="384" spans="1:2" x14ac:dyDescent="0.25">
      <c r="B384" s="169"/>
    </row>
    <row r="385" spans="2:2" x14ac:dyDescent="0.25">
      <c r="B385" s="169"/>
    </row>
    <row r="386" spans="2:2" x14ac:dyDescent="0.25">
      <c r="B386" s="169"/>
    </row>
    <row r="387" spans="2:2" x14ac:dyDescent="0.25">
      <c r="B387" s="169"/>
    </row>
    <row r="388" spans="2:2" x14ac:dyDescent="0.25">
      <c r="B388" s="169"/>
    </row>
    <row r="389" spans="2:2" x14ac:dyDescent="0.25">
      <c r="B389" s="169"/>
    </row>
    <row r="390" spans="2:2" x14ac:dyDescent="0.25">
      <c r="B390" s="169"/>
    </row>
    <row r="391" spans="2:2" x14ac:dyDescent="0.25">
      <c r="B391" s="169"/>
    </row>
    <row r="392" spans="2:2" x14ac:dyDescent="0.25">
      <c r="B392" s="169"/>
    </row>
    <row r="393" spans="2:2" x14ac:dyDescent="0.25">
      <c r="B393" s="169"/>
    </row>
    <row r="394" spans="2:2" x14ac:dyDescent="0.25">
      <c r="B394" s="169"/>
    </row>
    <row r="395" spans="2:2" x14ac:dyDescent="0.25">
      <c r="B395" s="169"/>
    </row>
    <row r="396" spans="2:2" x14ac:dyDescent="0.25">
      <c r="B396" s="169"/>
    </row>
    <row r="397" spans="2:2" x14ac:dyDescent="0.25">
      <c r="B397" s="169"/>
    </row>
    <row r="398" spans="2:2" x14ac:dyDescent="0.25">
      <c r="B398" s="169"/>
    </row>
    <row r="399" spans="2:2" x14ac:dyDescent="0.25">
      <c r="B399" s="169"/>
    </row>
    <row r="400" spans="2:2" x14ac:dyDescent="0.25">
      <c r="B400" s="169"/>
    </row>
    <row r="401" spans="2:2" x14ac:dyDescent="0.25">
      <c r="B401" s="169"/>
    </row>
    <row r="402" spans="2:2" x14ac:dyDescent="0.25">
      <c r="B402" s="169"/>
    </row>
    <row r="403" spans="2:2" x14ac:dyDescent="0.25">
      <c r="B403" s="169"/>
    </row>
    <row r="404" spans="2:2" x14ac:dyDescent="0.25">
      <c r="B404" s="169"/>
    </row>
    <row r="405" spans="2:2" x14ac:dyDescent="0.25">
      <c r="B405" s="169"/>
    </row>
    <row r="406" spans="2:2" x14ac:dyDescent="0.25">
      <c r="B406" s="169"/>
    </row>
    <row r="407" spans="2:2" x14ac:dyDescent="0.25">
      <c r="B407" s="169"/>
    </row>
    <row r="408" spans="2:2" x14ac:dyDescent="0.25">
      <c r="B408" s="169"/>
    </row>
    <row r="409" spans="2:2" x14ac:dyDescent="0.25">
      <c r="B409" s="169"/>
    </row>
    <row r="410" spans="2:2" x14ac:dyDescent="0.25">
      <c r="B410" s="169"/>
    </row>
    <row r="411" spans="2:2" x14ac:dyDescent="0.25">
      <c r="B411" s="169"/>
    </row>
    <row r="412" spans="2:2" x14ac:dyDescent="0.25">
      <c r="B412" s="169"/>
    </row>
    <row r="413" spans="2:2" x14ac:dyDescent="0.25">
      <c r="B413" s="169"/>
    </row>
    <row r="414" spans="2:2" x14ac:dyDescent="0.25">
      <c r="B414" s="169"/>
    </row>
    <row r="415" spans="2:2" x14ac:dyDescent="0.25">
      <c r="B415" s="169"/>
    </row>
    <row r="416" spans="2:2" x14ac:dyDescent="0.25">
      <c r="B416" s="169"/>
    </row>
    <row r="417" spans="2:2" x14ac:dyDescent="0.25">
      <c r="B417" s="169"/>
    </row>
    <row r="418" spans="2:2" x14ac:dyDescent="0.25">
      <c r="B418" s="169"/>
    </row>
    <row r="419" spans="2:2" x14ac:dyDescent="0.25">
      <c r="B419" s="169"/>
    </row>
    <row r="420" spans="2:2" x14ac:dyDescent="0.25">
      <c r="B420" s="169"/>
    </row>
    <row r="421" spans="2:2" x14ac:dyDescent="0.25">
      <c r="B421" s="169"/>
    </row>
    <row r="422" spans="2:2" x14ac:dyDescent="0.25">
      <c r="B422" s="169"/>
    </row>
    <row r="423" spans="2:2" x14ac:dyDescent="0.25">
      <c r="B423" s="169"/>
    </row>
    <row r="424" spans="2:2" x14ac:dyDescent="0.25">
      <c r="B424" s="169"/>
    </row>
    <row r="425" spans="2:2" x14ac:dyDescent="0.25">
      <c r="B425" s="169"/>
    </row>
    <row r="426" spans="2:2" x14ac:dyDescent="0.25">
      <c r="B426" s="169"/>
    </row>
    <row r="427" spans="2:2" x14ac:dyDescent="0.25">
      <c r="B427" s="169"/>
    </row>
    <row r="428" spans="2:2" x14ac:dyDescent="0.25">
      <c r="B428" s="169"/>
    </row>
    <row r="429" spans="2:2" x14ac:dyDescent="0.25">
      <c r="B429" s="169"/>
    </row>
    <row r="430" spans="2:2" x14ac:dyDescent="0.25">
      <c r="B430" s="169"/>
    </row>
    <row r="431" spans="2:2" x14ac:dyDescent="0.25">
      <c r="B431" s="169"/>
    </row>
    <row r="432" spans="2:2" x14ac:dyDescent="0.25">
      <c r="B432" s="169"/>
    </row>
    <row r="433" spans="2:2" x14ac:dyDescent="0.25">
      <c r="B433" s="169"/>
    </row>
    <row r="434" spans="2:2" x14ac:dyDescent="0.25">
      <c r="B434" s="169"/>
    </row>
    <row r="435" spans="2:2" x14ac:dyDescent="0.25">
      <c r="B435" s="169"/>
    </row>
    <row r="436" spans="2:2" x14ac:dyDescent="0.25">
      <c r="B436" s="169"/>
    </row>
    <row r="437" spans="2:2" x14ac:dyDescent="0.25">
      <c r="B437" s="169"/>
    </row>
    <row r="438" spans="2:2" x14ac:dyDescent="0.25">
      <c r="B438" s="169"/>
    </row>
    <row r="439" spans="2:2" x14ac:dyDescent="0.25">
      <c r="B439" s="169"/>
    </row>
    <row r="440" spans="2:2" x14ac:dyDescent="0.25">
      <c r="B440" s="169"/>
    </row>
    <row r="441" spans="2:2" x14ac:dyDescent="0.25">
      <c r="B441" s="169"/>
    </row>
    <row r="442" spans="2:2" x14ac:dyDescent="0.25">
      <c r="B442" s="169"/>
    </row>
    <row r="443" spans="2:2" x14ac:dyDescent="0.25">
      <c r="B443" s="169"/>
    </row>
    <row r="444" spans="2:2" x14ac:dyDescent="0.25">
      <c r="B444" s="169"/>
    </row>
    <row r="445" spans="2:2" x14ac:dyDescent="0.25">
      <c r="B445" s="169"/>
    </row>
    <row r="446" spans="2:2" x14ac:dyDescent="0.25">
      <c r="B446" s="169"/>
    </row>
    <row r="447" spans="2:2" x14ac:dyDescent="0.25">
      <c r="B447" s="169"/>
    </row>
    <row r="448" spans="2:2" x14ac:dyDescent="0.25">
      <c r="B448" s="169"/>
    </row>
    <row r="449" spans="2:2" x14ac:dyDescent="0.25">
      <c r="B449" s="169"/>
    </row>
    <row r="450" spans="2:2" x14ac:dyDescent="0.25">
      <c r="B450" s="169"/>
    </row>
    <row r="451" spans="2:2" x14ac:dyDescent="0.25">
      <c r="B451" s="169"/>
    </row>
    <row r="452" spans="2:2" x14ac:dyDescent="0.25">
      <c r="B452" s="169"/>
    </row>
    <row r="453" spans="2:2" x14ac:dyDescent="0.25">
      <c r="B453" s="169"/>
    </row>
    <row r="454" spans="2:2" x14ac:dyDescent="0.25">
      <c r="B454" s="169"/>
    </row>
    <row r="455" spans="2:2" x14ac:dyDescent="0.25">
      <c r="B455" s="169"/>
    </row>
    <row r="456" spans="2:2" x14ac:dyDescent="0.25">
      <c r="B456" s="169"/>
    </row>
    <row r="457" spans="2:2" x14ac:dyDescent="0.25">
      <c r="B457" s="169"/>
    </row>
    <row r="458" spans="2:2" x14ac:dyDescent="0.25">
      <c r="B458" s="169"/>
    </row>
    <row r="459" spans="2:2" x14ac:dyDescent="0.25">
      <c r="B459" s="169"/>
    </row>
    <row r="460" spans="2:2" x14ac:dyDescent="0.25">
      <c r="B460" s="169"/>
    </row>
    <row r="461" spans="2:2" x14ac:dyDescent="0.25">
      <c r="B461" s="169"/>
    </row>
    <row r="462" spans="2:2" x14ac:dyDescent="0.25">
      <c r="B462" s="169"/>
    </row>
    <row r="463" spans="2:2" x14ac:dyDescent="0.25">
      <c r="B463" s="169"/>
    </row>
    <row r="464" spans="2:2" x14ac:dyDescent="0.25">
      <c r="B464" s="169"/>
    </row>
    <row r="465" spans="2:2" x14ac:dyDescent="0.25">
      <c r="B465" s="169"/>
    </row>
    <row r="466" spans="2:2" x14ac:dyDescent="0.25">
      <c r="B466" s="169"/>
    </row>
    <row r="467" spans="2:2" x14ac:dyDescent="0.25">
      <c r="B467" s="169"/>
    </row>
    <row r="468" spans="2:2" x14ac:dyDescent="0.25">
      <c r="B468" s="169"/>
    </row>
    <row r="469" spans="2:2" x14ac:dyDescent="0.25">
      <c r="B469" s="169"/>
    </row>
    <row r="470" spans="2:2" x14ac:dyDescent="0.25">
      <c r="B470" s="169"/>
    </row>
    <row r="471" spans="2:2" x14ac:dyDescent="0.25">
      <c r="B471" s="169"/>
    </row>
    <row r="472" spans="2:2" x14ac:dyDescent="0.25">
      <c r="B472" s="169"/>
    </row>
    <row r="473" spans="2:2" x14ac:dyDescent="0.25">
      <c r="B473" s="169"/>
    </row>
    <row r="474" spans="2:2" x14ac:dyDescent="0.25">
      <c r="B474" s="169"/>
    </row>
    <row r="475" spans="2:2" x14ac:dyDescent="0.25">
      <c r="B475" s="169"/>
    </row>
    <row r="476" spans="2:2" x14ac:dyDescent="0.25">
      <c r="B476" s="169"/>
    </row>
    <row r="477" spans="2:2" x14ac:dyDescent="0.25">
      <c r="B477" s="169"/>
    </row>
    <row r="478" spans="2:2" x14ac:dyDescent="0.25">
      <c r="B478" s="169"/>
    </row>
    <row r="479" spans="2:2" x14ac:dyDescent="0.25">
      <c r="B479" s="169"/>
    </row>
    <row r="480" spans="2:2" x14ac:dyDescent="0.25">
      <c r="B480" s="169"/>
    </row>
    <row r="481" spans="2:2" x14ac:dyDescent="0.25">
      <c r="B481" s="169"/>
    </row>
    <row r="482" spans="2:2" x14ac:dyDescent="0.25">
      <c r="B482" s="169"/>
    </row>
    <row r="483" spans="2:2" x14ac:dyDescent="0.25">
      <c r="B483" s="169"/>
    </row>
    <row r="484" spans="2:2" x14ac:dyDescent="0.25">
      <c r="B484" s="169"/>
    </row>
    <row r="485" spans="2:2" x14ac:dyDescent="0.25">
      <c r="B485" s="169"/>
    </row>
    <row r="486" spans="2:2" x14ac:dyDescent="0.25">
      <c r="B486" s="169"/>
    </row>
    <row r="487" spans="2:2" x14ac:dyDescent="0.25">
      <c r="B487" s="169"/>
    </row>
    <row r="488" spans="2:2" x14ac:dyDescent="0.25">
      <c r="B488" s="169"/>
    </row>
    <row r="489" spans="2:2" x14ac:dyDescent="0.25">
      <c r="B489" s="169"/>
    </row>
    <row r="490" spans="2:2" x14ac:dyDescent="0.25">
      <c r="B490" s="169"/>
    </row>
    <row r="491" spans="2:2" x14ac:dyDescent="0.25">
      <c r="B491" s="169"/>
    </row>
    <row r="492" spans="2:2" x14ac:dyDescent="0.25">
      <c r="B492" s="169"/>
    </row>
    <row r="493" spans="2:2" x14ac:dyDescent="0.25">
      <c r="B493" s="169"/>
    </row>
    <row r="494" spans="2:2" x14ac:dyDescent="0.25">
      <c r="B494" s="169"/>
    </row>
    <row r="495" spans="2:2" x14ac:dyDescent="0.25">
      <c r="B495" s="169"/>
    </row>
    <row r="496" spans="2:2" x14ac:dyDescent="0.25">
      <c r="B496" s="169"/>
    </row>
    <row r="497" spans="2:2" x14ac:dyDescent="0.25">
      <c r="B497" s="169"/>
    </row>
    <row r="498" spans="2:2" x14ac:dyDescent="0.25">
      <c r="B498" s="169"/>
    </row>
    <row r="499" spans="2:2" x14ac:dyDescent="0.25">
      <c r="B499" s="169"/>
    </row>
    <row r="500" spans="2:2" x14ac:dyDescent="0.25">
      <c r="B500" s="169"/>
    </row>
    <row r="501" spans="2:2" x14ac:dyDescent="0.25">
      <c r="B501" s="169"/>
    </row>
    <row r="502" spans="2:2" x14ac:dyDescent="0.25">
      <c r="B502" s="169"/>
    </row>
    <row r="503" spans="2:2" x14ac:dyDescent="0.25">
      <c r="B503" s="169"/>
    </row>
    <row r="504" spans="2:2" x14ac:dyDescent="0.25">
      <c r="B504" s="169"/>
    </row>
    <row r="505" spans="2:2" x14ac:dyDescent="0.25">
      <c r="B505" s="169"/>
    </row>
    <row r="506" spans="2:2" x14ac:dyDescent="0.25">
      <c r="B506" s="169"/>
    </row>
    <row r="507" spans="2:2" x14ac:dyDescent="0.25">
      <c r="B507" s="169"/>
    </row>
    <row r="508" spans="2:2" x14ac:dyDescent="0.25">
      <c r="B508" s="169"/>
    </row>
    <row r="509" spans="2:2" x14ac:dyDescent="0.25">
      <c r="B509" s="169"/>
    </row>
    <row r="510" spans="2:2" x14ac:dyDescent="0.25">
      <c r="B510" s="169"/>
    </row>
    <row r="511" spans="2:2" x14ac:dyDescent="0.25">
      <c r="B511" s="169"/>
    </row>
    <row r="512" spans="2:2" x14ac:dyDescent="0.25">
      <c r="B512" s="169"/>
    </row>
    <row r="513" spans="2:2" x14ac:dyDescent="0.25">
      <c r="B513" s="169"/>
    </row>
    <row r="514" spans="2:2" x14ac:dyDescent="0.25">
      <c r="B514" s="169"/>
    </row>
    <row r="515" spans="2:2" x14ac:dyDescent="0.25">
      <c r="B515" s="169"/>
    </row>
    <row r="516" spans="2:2" x14ac:dyDescent="0.25">
      <c r="B516" s="169"/>
    </row>
    <row r="517" spans="2:2" x14ac:dyDescent="0.25">
      <c r="B517" s="169"/>
    </row>
    <row r="518" spans="2:2" x14ac:dyDescent="0.25">
      <c r="B518" s="169"/>
    </row>
    <row r="519" spans="2:2" x14ac:dyDescent="0.25">
      <c r="B519" s="169"/>
    </row>
    <row r="520" spans="2:2" x14ac:dyDescent="0.25">
      <c r="B520" s="169"/>
    </row>
    <row r="521" spans="2:2" x14ac:dyDescent="0.25">
      <c r="B521" s="169"/>
    </row>
    <row r="522" spans="2:2" x14ac:dyDescent="0.25">
      <c r="B522" s="169"/>
    </row>
    <row r="523" spans="2:2" x14ac:dyDescent="0.25">
      <c r="B523" s="169"/>
    </row>
    <row r="524" spans="2:2" x14ac:dyDescent="0.25">
      <c r="B524" s="169"/>
    </row>
    <row r="525" spans="2:2" x14ac:dyDescent="0.25">
      <c r="B525" s="169"/>
    </row>
    <row r="526" spans="2:2" x14ac:dyDescent="0.25">
      <c r="B526" s="169"/>
    </row>
    <row r="527" spans="2:2" x14ac:dyDescent="0.25">
      <c r="B527" s="169"/>
    </row>
    <row r="528" spans="2:2" x14ac:dyDescent="0.25">
      <c r="B528" s="169"/>
    </row>
    <row r="529" spans="2:2" x14ac:dyDescent="0.25">
      <c r="B529" s="169"/>
    </row>
    <row r="530" spans="2:2" x14ac:dyDescent="0.25">
      <c r="B530" s="169"/>
    </row>
    <row r="531" spans="2:2" x14ac:dyDescent="0.25">
      <c r="B531" s="169"/>
    </row>
    <row r="532" spans="2:2" x14ac:dyDescent="0.25">
      <c r="B532" s="169"/>
    </row>
    <row r="533" spans="2:2" x14ac:dyDescent="0.25">
      <c r="B533" s="169"/>
    </row>
    <row r="534" spans="2:2" x14ac:dyDescent="0.25">
      <c r="B534" s="169"/>
    </row>
    <row r="535" spans="2:2" x14ac:dyDescent="0.25">
      <c r="B535" s="169"/>
    </row>
    <row r="536" spans="2:2" x14ac:dyDescent="0.25">
      <c r="B536" s="169"/>
    </row>
    <row r="537" spans="2:2" x14ac:dyDescent="0.25">
      <c r="B537" s="169"/>
    </row>
    <row r="538" spans="2:2" x14ac:dyDescent="0.25">
      <c r="B538" s="169"/>
    </row>
    <row r="539" spans="2:2" x14ac:dyDescent="0.25">
      <c r="B539" s="169"/>
    </row>
    <row r="540" spans="2:2" x14ac:dyDescent="0.25">
      <c r="B540" s="169"/>
    </row>
    <row r="541" spans="2:2" x14ac:dyDescent="0.25">
      <c r="B541" s="169"/>
    </row>
    <row r="542" spans="2:2" x14ac:dyDescent="0.25">
      <c r="B542" s="169"/>
    </row>
    <row r="543" spans="2:2" x14ac:dyDescent="0.25">
      <c r="B543" s="169"/>
    </row>
    <row r="544" spans="2:2" x14ac:dyDescent="0.25">
      <c r="B544" s="169"/>
    </row>
    <row r="545" spans="2:2" x14ac:dyDescent="0.25">
      <c r="B545" s="169"/>
    </row>
  </sheetData>
  <protectedRanges>
    <protectedRange sqref="B26:H26" name="Plage2"/>
    <protectedRange sqref="A379:A408 B11:B12 B28 B32 B36:B37 B41:B42 G41 B66:B67 B20:B21 D20:F20 B47:F49 B16:F17 B46" name="Plage1"/>
    <protectedRange sqref="A70:A378" name="Plage1_3"/>
    <protectedRange sqref="B70:B378" name="Plage1_4"/>
    <protectedRange sqref="B5:B8" name="Plage1_1"/>
    <protectedRange sqref="B57:B58" name="Plage1_2"/>
    <protectedRange sqref="B59" name="Plage1_5"/>
  </protectedRanges>
  <sortState ref="A70:B378">
    <sortCondition ref="A70:A378"/>
  </sortState>
  <mergeCells count="5">
    <mergeCell ref="J24:K24"/>
    <mergeCell ref="J25:K26"/>
    <mergeCell ref="H15:J15"/>
    <mergeCell ref="H16:J16"/>
    <mergeCell ref="H17:J17"/>
  </mergeCells>
  <phoneticPr fontId="9" type="noConversion"/>
  <printOptions horizontalCentered="1"/>
  <pageMargins left="0" right="0" top="0" bottom="0" header="0.51181102362204722" footer="0.51181102362204722"/>
  <pageSetup paperSize="9" orientation="landscape"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00B050"/>
  </sheetPr>
  <dimension ref="A1:I344"/>
  <sheetViews>
    <sheetView workbookViewId="0"/>
  </sheetViews>
  <sheetFormatPr baseColWidth="10" defaultColWidth="11" defaultRowHeight="15" x14ac:dyDescent="0.25"/>
  <cols>
    <col min="1" max="1" width="9.375" style="13" customWidth="1"/>
    <col min="2" max="2" width="22.25" style="13" customWidth="1"/>
    <col min="3" max="3" width="13.375" style="13" customWidth="1"/>
    <col min="4" max="4" width="11.125" style="13" bestFit="1" customWidth="1"/>
    <col min="5" max="5" width="13" style="13" customWidth="1"/>
    <col min="6" max="7" width="12.375" style="13" customWidth="1"/>
    <col min="8" max="9" width="13" style="13" bestFit="1" customWidth="1"/>
    <col min="10" max="10" width="3.5" style="13" customWidth="1"/>
    <col min="11" max="16384" width="11" style="13"/>
  </cols>
  <sheetData>
    <row r="1" spans="1:9" ht="21" x14ac:dyDescent="0.25">
      <c r="A1" s="52" t="s">
        <v>328</v>
      </c>
      <c r="B1" s="43"/>
      <c r="C1" s="72"/>
      <c r="D1" s="72"/>
      <c r="E1" s="72"/>
      <c r="F1" s="72"/>
      <c r="G1" s="72"/>
      <c r="H1" s="72"/>
      <c r="I1" s="72"/>
    </row>
    <row r="3" spans="1:9" x14ac:dyDescent="0.25">
      <c r="A3" s="126" t="s">
        <v>47</v>
      </c>
      <c r="B3" s="127"/>
      <c r="C3" s="128" t="s">
        <v>455</v>
      </c>
      <c r="D3" s="128" t="s">
        <v>409</v>
      </c>
      <c r="E3" s="72"/>
      <c r="F3" s="72"/>
      <c r="G3" s="72"/>
      <c r="H3" s="72"/>
      <c r="I3" s="72"/>
    </row>
    <row r="4" spans="1:9" x14ac:dyDescent="0.25">
      <c r="A4" s="79" t="s">
        <v>94</v>
      </c>
      <c r="B4" s="80"/>
      <c r="C4" s="11">
        <f>E325</f>
        <v>718895306.01393294</v>
      </c>
      <c r="D4" s="36"/>
      <c r="E4" s="72"/>
      <c r="F4" s="72"/>
      <c r="G4" s="72"/>
      <c r="H4" s="72"/>
      <c r="I4" s="72"/>
    </row>
    <row r="5" spans="1:9" x14ac:dyDescent="0.25">
      <c r="A5" s="85" t="s">
        <v>424</v>
      </c>
      <c r="B5" s="46"/>
      <c r="C5" s="10">
        <v>0</v>
      </c>
      <c r="D5" s="34">
        <f>C5/$C$325</f>
        <v>0</v>
      </c>
      <c r="E5" s="72"/>
      <c r="F5" s="72"/>
      <c r="G5" s="72"/>
      <c r="H5" s="72"/>
      <c r="I5" s="72"/>
    </row>
    <row r="6" spans="1:9" x14ac:dyDescent="0.25">
      <c r="A6" s="85" t="s">
        <v>423</v>
      </c>
      <c r="B6" s="46"/>
      <c r="C6" s="10">
        <f>Paramètres!B36</f>
        <v>-20550548.750974324</v>
      </c>
      <c r="D6" s="279">
        <f>C6/$C$325</f>
        <v>-0.57207620149507787</v>
      </c>
      <c r="E6" s="72"/>
      <c r="F6" s="72"/>
      <c r="G6" s="72"/>
      <c r="H6" s="72"/>
      <c r="I6" s="72"/>
    </row>
    <row r="7" spans="1:9" x14ac:dyDescent="0.25">
      <c r="A7" s="85" t="s">
        <v>95</v>
      </c>
      <c r="B7" s="46"/>
      <c r="C7" s="10">
        <f>'I) Dépenses thématiques'!O314</f>
        <v>-152096710.67373553</v>
      </c>
      <c r="D7" s="279">
        <f>C7/$C$325</f>
        <v>-4.2339944084462076</v>
      </c>
      <c r="E7" s="72"/>
      <c r="F7" s="72"/>
      <c r="G7" s="72"/>
      <c r="H7" s="72"/>
      <c r="I7" s="72"/>
    </row>
    <row r="8" spans="1:9" x14ac:dyDescent="0.25">
      <c r="A8" s="87" t="s">
        <v>278</v>
      </c>
      <c r="B8" s="116"/>
      <c r="C8" s="19">
        <f>Paramètres!B37</f>
        <v>-450000</v>
      </c>
      <c r="D8" s="279">
        <f>C8/$C$325</f>
        <v>-1.2526881583178152E-2</v>
      </c>
      <c r="E8" s="72"/>
      <c r="F8" s="72"/>
      <c r="G8" s="72"/>
      <c r="H8" s="72"/>
      <c r="I8" s="72"/>
    </row>
    <row r="9" spans="1:9" x14ac:dyDescent="0.25">
      <c r="A9" s="87" t="s">
        <v>357</v>
      </c>
      <c r="B9" s="116"/>
      <c r="C9" s="19">
        <f>SUM(C5:C8)</f>
        <v>-173097259.42470986</v>
      </c>
      <c r="D9" s="102">
        <f>SUM(D5:D8)</f>
        <v>-4.8185974915244634</v>
      </c>
      <c r="E9" s="72"/>
      <c r="F9" s="72"/>
      <c r="G9" s="72"/>
      <c r="H9" s="72"/>
      <c r="I9" s="72"/>
    </row>
    <row r="10" spans="1:9" x14ac:dyDescent="0.25">
      <c r="A10" s="79" t="s">
        <v>427</v>
      </c>
      <c r="B10" s="80"/>
      <c r="C10" s="19">
        <f>-SUM(C4:C8)</f>
        <v>-545798046.58922315</v>
      </c>
      <c r="D10" s="102">
        <f>C10/$C$325</f>
        <v>-15.193661106562557</v>
      </c>
      <c r="E10" s="72"/>
      <c r="F10" s="72"/>
      <c r="G10" s="72"/>
      <c r="H10" s="72"/>
      <c r="I10" s="72"/>
    </row>
    <row r="11" spans="1:9" x14ac:dyDescent="0.25">
      <c r="A11" s="79" t="s">
        <v>356</v>
      </c>
      <c r="B11" s="81"/>
      <c r="C11" s="19">
        <f>C9+C10</f>
        <v>-718895306.01393294</v>
      </c>
      <c r="D11" s="102">
        <f>D10+D9</f>
        <v>-20.012258598087019</v>
      </c>
      <c r="E11" s="72"/>
      <c r="F11" s="72"/>
      <c r="G11" s="72"/>
      <c r="H11" s="72"/>
      <c r="I11" s="72"/>
    </row>
    <row r="14" spans="1:9" ht="60" customHeight="1" x14ac:dyDescent="0.25">
      <c r="A14" s="485" t="s">
        <v>46</v>
      </c>
      <c r="B14" s="485" t="s">
        <v>96</v>
      </c>
      <c r="C14" s="508" t="s">
        <v>556</v>
      </c>
      <c r="D14" s="508" t="s">
        <v>304</v>
      </c>
      <c r="E14" s="68" t="s">
        <v>94</v>
      </c>
      <c r="F14" s="68" t="s">
        <v>355</v>
      </c>
      <c r="G14" s="68" t="s">
        <v>426</v>
      </c>
      <c r="H14" s="68" t="s">
        <v>296</v>
      </c>
      <c r="I14" s="65" t="s">
        <v>408</v>
      </c>
    </row>
    <row r="15" spans="1:9" x14ac:dyDescent="0.25">
      <c r="A15" s="486"/>
      <c r="B15" s="486"/>
      <c r="C15" s="508"/>
      <c r="D15" s="508"/>
      <c r="E15" s="431">
        <f>-D9+F15+G15</f>
        <v>20.012258598087023</v>
      </c>
      <c r="F15" s="432">
        <f>F325/C325</f>
        <v>11.588562931258732</v>
      </c>
      <c r="G15" s="432">
        <f>G325/C325</f>
        <v>3.6050981753038251</v>
      </c>
      <c r="H15" s="432"/>
      <c r="I15" s="147"/>
    </row>
    <row r="16" spans="1:9" x14ac:dyDescent="0.25">
      <c r="A16" s="47">
        <f>'A) Base RI'!A7</f>
        <v>5401</v>
      </c>
      <c r="B16" s="314" t="str">
        <f>'A) Base RI'!B7</f>
        <v>Aigle</v>
      </c>
      <c r="C16" s="32">
        <f>'D) Ecrêtage'!C5</f>
        <v>263862.68069135805</v>
      </c>
      <c r="D16" s="14">
        <f>'A) Base RI'!V7</f>
        <v>10153</v>
      </c>
      <c r="E16" s="10">
        <f>C16*E$15</f>
        <v>5280488.2003799211</v>
      </c>
      <c r="F16" s="14">
        <f>'F) Population'!K8</f>
        <v>5142212.3742454723</v>
      </c>
      <c r="G16" s="10">
        <f>'G) Solidarité'!I5</f>
        <v>3541273.9699395676</v>
      </c>
      <c r="H16" s="14">
        <f>F16+G16</f>
        <v>8683486.3441850394</v>
      </c>
      <c r="I16" s="58">
        <f>E16-H16</f>
        <v>-3402998.1438051183</v>
      </c>
    </row>
    <row r="17" spans="1:9" x14ac:dyDescent="0.25">
      <c r="A17" s="50">
        <f>'A) Base RI'!A8</f>
        <v>5402</v>
      </c>
      <c r="B17" s="33" t="str">
        <f>'A) Base RI'!B8</f>
        <v>Bex</v>
      </c>
      <c r="C17" s="32">
        <f>'D) Ecrêtage'!C6</f>
        <v>173630.8553521127</v>
      </c>
      <c r="D17" s="14">
        <f>'A) Base RI'!V8</f>
        <v>7719</v>
      </c>
      <c r="E17" s="10">
        <f t="shared" ref="E17:E80" si="0">C17*E$15</f>
        <v>3474745.5779135218</v>
      </c>
      <c r="F17" s="14">
        <f>'F) Population'!K9</f>
        <v>3414672.8370221322</v>
      </c>
      <c r="G17" s="10">
        <f>'G) Solidarité'!I6</f>
        <v>3520028.0722780908</v>
      </c>
      <c r="H17" s="14">
        <f t="shared" ref="H17:H80" si="1">F17+G17</f>
        <v>6934700.909300223</v>
      </c>
      <c r="I17" s="58">
        <f t="shared" ref="I17:I80" si="2">E17-H17</f>
        <v>-3459955.3313867012</v>
      </c>
    </row>
    <row r="18" spans="1:9" x14ac:dyDescent="0.25">
      <c r="A18" s="50">
        <f>'A) Base RI'!A9</f>
        <v>5403</v>
      </c>
      <c r="B18" s="33" t="str">
        <f>'A) Base RI'!B9</f>
        <v>Chessel</v>
      </c>
      <c r="C18" s="32">
        <f>'D) Ecrêtage'!C7</f>
        <v>9734.1508108108119</v>
      </c>
      <c r="D18" s="14">
        <f>'A) Base RI'!V9</f>
        <v>403</v>
      </c>
      <c r="E18" s="10">
        <f t="shared" si="0"/>
        <v>194802.34325872443</v>
      </c>
      <c r="F18" s="14">
        <f>'F) Population'!K10</f>
        <v>49766.851106639835</v>
      </c>
      <c r="G18" s="10">
        <f>'G) Solidarité'!I7</f>
        <v>185051.20700355587</v>
      </c>
      <c r="H18" s="14">
        <f t="shared" si="1"/>
        <v>234818.05811019571</v>
      </c>
      <c r="I18" s="58">
        <f t="shared" si="2"/>
        <v>-40015.714851471275</v>
      </c>
    </row>
    <row r="19" spans="1:9" x14ac:dyDescent="0.25">
      <c r="A19" s="50">
        <f>'A) Base RI'!A10</f>
        <v>5404</v>
      </c>
      <c r="B19" s="33" t="str">
        <f>'A) Base RI'!B10</f>
        <v>Corbeyrier</v>
      </c>
      <c r="C19" s="32">
        <f>'D) Ecrêtage'!C8</f>
        <v>10864.664095238095</v>
      </c>
      <c r="D19" s="14">
        <f>'A) Base RI'!V10</f>
        <v>437</v>
      </c>
      <c r="E19" s="10">
        <f t="shared" si="0"/>
        <v>217426.46745525592</v>
      </c>
      <c r="F19" s="14">
        <f>'F) Population'!K11</f>
        <v>53965.543259557337</v>
      </c>
      <c r="G19" s="10">
        <f>'G) Solidarité'!I8</f>
        <v>173524.42770112067</v>
      </c>
      <c r="H19" s="14">
        <f t="shared" si="1"/>
        <v>227489.97096067801</v>
      </c>
      <c r="I19" s="58">
        <f t="shared" si="2"/>
        <v>-10063.503505422093</v>
      </c>
    </row>
    <row r="20" spans="1:9" x14ac:dyDescent="0.25">
      <c r="A20" s="50">
        <f>'A) Base RI'!A11</f>
        <v>5405</v>
      </c>
      <c r="B20" s="33" t="str">
        <f>'A) Base RI'!B11</f>
        <v>Gryon</v>
      </c>
      <c r="C20" s="32">
        <f>'D) Ecrêtage'!C9</f>
        <v>69822.459644444432</v>
      </c>
      <c r="D20" s="14">
        <f>'A) Base RI'!V11</f>
        <v>1364</v>
      </c>
      <c r="E20" s="10">
        <f t="shared" si="0"/>
        <v>1397305.1183591173</v>
      </c>
      <c r="F20" s="14">
        <f>'F) Population'!K12</f>
        <v>249352.91750503017</v>
      </c>
      <c r="G20" s="10">
        <f>'G) Solidarité'!I9</f>
        <v>0</v>
      </c>
      <c r="H20" s="14">
        <f t="shared" si="1"/>
        <v>249352.91750503017</v>
      </c>
      <c r="I20" s="58">
        <f t="shared" si="2"/>
        <v>1147952.2008540872</v>
      </c>
    </row>
    <row r="21" spans="1:9" x14ac:dyDescent="0.25">
      <c r="A21" s="50">
        <f>'A) Base RI'!A12</f>
        <v>5406</v>
      </c>
      <c r="B21" s="33" t="str">
        <f>'A) Base RI'!B12</f>
        <v>Lavey-Morcles</v>
      </c>
      <c r="C21" s="32">
        <f>'D) Ecrêtage'!C10</f>
        <v>21528.925666305528</v>
      </c>
      <c r="D21" s="14">
        <f>'A) Base RI'!V12</f>
        <v>926</v>
      </c>
      <c r="E21" s="10">
        <f t="shared" si="0"/>
        <v>430842.42777309916</v>
      </c>
      <c r="F21" s="14">
        <f>'F) Population'!K13</f>
        <v>114352.61569416498</v>
      </c>
      <c r="G21" s="10">
        <f>'G) Solidarité'!I10</f>
        <v>408239.61922827153</v>
      </c>
      <c r="H21" s="14">
        <f t="shared" si="1"/>
        <v>522592.23492243653</v>
      </c>
      <c r="I21" s="58">
        <f t="shared" si="2"/>
        <v>-91749.807149337372</v>
      </c>
    </row>
    <row r="22" spans="1:9" x14ac:dyDescent="0.25">
      <c r="A22" s="50">
        <f>'A) Base RI'!A13</f>
        <v>5407</v>
      </c>
      <c r="B22" s="33" t="str">
        <f>'A) Base RI'!B13</f>
        <v>Leysin</v>
      </c>
      <c r="C22" s="32">
        <f>'D) Ecrêtage'!C11</f>
        <v>90534.062564102569</v>
      </c>
      <c r="D22" s="14">
        <f>'A) Base RI'!V13</f>
        <v>4023</v>
      </c>
      <c r="E22" s="10">
        <f t="shared" si="0"/>
        <v>1811791.0719682102</v>
      </c>
      <c r="F22" s="14">
        <f>'F) Population'!K14</f>
        <v>1320365.1911468811</v>
      </c>
      <c r="G22" s="10">
        <f>'G) Solidarité'!I11</f>
        <v>2213163.183260411</v>
      </c>
      <c r="H22" s="14">
        <f t="shared" si="1"/>
        <v>3533528.3744072923</v>
      </c>
      <c r="I22" s="58">
        <f t="shared" si="2"/>
        <v>-1721737.3024390822</v>
      </c>
    </row>
    <row r="23" spans="1:9" x14ac:dyDescent="0.25">
      <c r="A23" s="50">
        <f>'A) Base RI'!A14</f>
        <v>5408</v>
      </c>
      <c r="B23" s="33" t="str">
        <f>'A) Base RI'!B14</f>
        <v>Noville</v>
      </c>
      <c r="C23" s="32">
        <f>'D) Ecrêtage'!C12</f>
        <v>31735.72989384289</v>
      </c>
      <c r="D23" s="14">
        <f>'A) Base RI'!V14</f>
        <v>1055</v>
      </c>
      <c r="E23" s="10">
        <f t="shared" si="0"/>
        <v>635103.63343462476</v>
      </c>
      <c r="F23" s="14">
        <f>'F) Population'!K15</f>
        <v>142508.55130784708</v>
      </c>
      <c r="G23" s="10">
        <f>'G) Solidarité'!I12</f>
        <v>391773.02207631571</v>
      </c>
      <c r="H23" s="14">
        <f t="shared" si="1"/>
        <v>534281.57338416274</v>
      </c>
      <c r="I23" s="58">
        <f t="shared" si="2"/>
        <v>100822.06005046202</v>
      </c>
    </row>
    <row r="24" spans="1:9" x14ac:dyDescent="0.25">
      <c r="A24" s="50">
        <f>'A) Base RI'!A15</f>
        <v>5409</v>
      </c>
      <c r="B24" s="33" t="str">
        <f>'A) Base RI'!B15</f>
        <v>Ollon</v>
      </c>
      <c r="C24" s="32">
        <f>'D) Ecrêtage'!C13</f>
        <v>367365.91906108597</v>
      </c>
      <c r="D24" s="14">
        <f>'A) Base RI'!V15</f>
        <v>7494</v>
      </c>
      <c r="E24" s="10">
        <f t="shared" si="0"/>
        <v>7351821.772374359</v>
      </c>
      <c r="F24" s="14">
        <f>'F) Population'!K16</f>
        <v>3281302.6156941648</v>
      </c>
      <c r="G24" s="10">
        <f>'G) Solidarité'!I13</f>
        <v>0</v>
      </c>
      <c r="H24" s="14">
        <f t="shared" si="1"/>
        <v>3281302.6156941648</v>
      </c>
      <c r="I24" s="58">
        <f t="shared" si="2"/>
        <v>4070519.1566801942</v>
      </c>
    </row>
    <row r="25" spans="1:9" x14ac:dyDescent="0.25">
      <c r="A25" s="50">
        <f>'A) Base RI'!A16</f>
        <v>5410</v>
      </c>
      <c r="B25" s="33" t="str">
        <f>'A) Base RI'!B16</f>
        <v>Ormont-Dessous</v>
      </c>
      <c r="C25" s="32">
        <f>'D) Ecrêtage'!C14</f>
        <v>37585.850743099792</v>
      </c>
      <c r="D25" s="14">
        <f>'A) Base RI'!V16</f>
        <v>1117</v>
      </c>
      <c r="E25" s="10">
        <f t="shared" si="0"/>
        <v>752177.76470001438</v>
      </c>
      <c r="F25" s="14">
        <f>'F) Population'!K17</f>
        <v>163946.57947686117</v>
      </c>
      <c r="G25" s="10">
        <f>'G) Solidarité'!I14</f>
        <v>317049.45230933343</v>
      </c>
      <c r="H25" s="14">
        <f t="shared" si="1"/>
        <v>480996.0317861946</v>
      </c>
      <c r="I25" s="58">
        <f t="shared" si="2"/>
        <v>271181.73291381978</v>
      </c>
    </row>
    <row r="26" spans="1:9" x14ac:dyDescent="0.25">
      <c r="A26" s="50">
        <f>'A) Base RI'!A17</f>
        <v>5411</v>
      </c>
      <c r="B26" s="33" t="str">
        <f>'A) Base RI'!B17</f>
        <v>Ormont-Dessus</v>
      </c>
      <c r="C26" s="32">
        <f>'D) Ecrêtage'!C15</f>
        <v>78533.565482456135</v>
      </c>
      <c r="D26" s="14">
        <f>'A) Base RI'!V17</f>
        <v>1467</v>
      </c>
      <c r="E26" s="10">
        <f t="shared" si="0"/>
        <v>1571634.0210647129</v>
      </c>
      <c r="F26" s="14">
        <f>'F) Population'!K18</f>
        <v>284967.70623742451</v>
      </c>
      <c r="G26" s="10">
        <f>'G) Solidarité'!I15</f>
        <v>0</v>
      </c>
      <c r="H26" s="14">
        <f t="shared" si="1"/>
        <v>284967.70623742451</v>
      </c>
      <c r="I26" s="58">
        <f t="shared" si="2"/>
        <v>1286666.3148272885</v>
      </c>
    </row>
    <row r="27" spans="1:9" x14ac:dyDescent="0.25">
      <c r="A27" s="50">
        <f>'A) Base RI'!A18</f>
        <v>5412</v>
      </c>
      <c r="B27" s="33" t="str">
        <f>'A) Base RI'!B18</f>
        <v>Rennaz</v>
      </c>
      <c r="C27" s="32">
        <f>'D) Ecrêtage'!C16</f>
        <v>30683.439407407404</v>
      </c>
      <c r="D27" s="14">
        <f>'A) Base RI'!V18</f>
        <v>839</v>
      </c>
      <c r="E27" s="10">
        <f t="shared" si="0"/>
        <v>614044.92409977096</v>
      </c>
      <c r="F27" s="14">
        <f>'F) Population'!K19</f>
        <v>103608.90342052313</v>
      </c>
      <c r="G27" s="10">
        <f>'G) Solidarité'!I16</f>
        <v>131608.91714378557</v>
      </c>
      <c r="H27" s="14">
        <f t="shared" si="1"/>
        <v>235217.8205643087</v>
      </c>
      <c r="I27" s="58">
        <f t="shared" si="2"/>
        <v>378827.10353546229</v>
      </c>
    </row>
    <row r="28" spans="1:9" x14ac:dyDescent="0.25">
      <c r="A28" s="50">
        <f>'A) Base RI'!A19</f>
        <v>5413</v>
      </c>
      <c r="B28" s="33" t="str">
        <f>'A) Base RI'!B19</f>
        <v>Roche</v>
      </c>
      <c r="C28" s="32">
        <f>'D) Ecrêtage'!C17</f>
        <v>36754.028088235296</v>
      </c>
      <c r="D28" s="14">
        <f>'A) Base RI'!V19</f>
        <v>1650</v>
      </c>
      <c r="E28" s="10">
        <f t="shared" si="0"/>
        <v>735531.11462311877</v>
      </c>
      <c r="F28" s="14">
        <f>'F) Population'!K20</f>
        <v>348244.46680080483</v>
      </c>
      <c r="G28" s="10">
        <f>'G) Solidarité'!I17</f>
        <v>696836.75251022424</v>
      </c>
      <c r="H28" s="14">
        <f t="shared" si="1"/>
        <v>1045081.2193110291</v>
      </c>
      <c r="I28" s="58">
        <f t="shared" si="2"/>
        <v>-309550.10468791029</v>
      </c>
    </row>
    <row r="29" spans="1:9" x14ac:dyDescent="0.25">
      <c r="A29" s="50">
        <f>'A) Base RI'!A20</f>
        <v>5414</v>
      </c>
      <c r="B29" s="33" t="str">
        <f>'A) Base RI'!B20</f>
        <v>Villeneuve</v>
      </c>
      <c r="C29" s="32">
        <f>'D) Ecrêtage'!C18</f>
        <v>161374.0856521739</v>
      </c>
      <c r="D29" s="14">
        <f>'A) Base RI'!V20</f>
        <v>5672</v>
      </c>
      <c r="E29" s="10">
        <f t="shared" si="0"/>
        <v>3229459.9331011488</v>
      </c>
      <c r="F29" s="14">
        <f>'F) Population'!K21</f>
        <v>2201300.2012072434</v>
      </c>
      <c r="G29" s="10">
        <f>'G) Solidarité'!I18</f>
        <v>1802569.7497108735</v>
      </c>
      <c r="H29" s="14">
        <f t="shared" si="1"/>
        <v>4003869.9509181166</v>
      </c>
      <c r="I29" s="58">
        <f t="shared" si="2"/>
        <v>-774410.0178169678</v>
      </c>
    </row>
    <row r="30" spans="1:9" x14ac:dyDescent="0.25">
      <c r="A30" s="50">
        <f>'A) Base RI'!A21</f>
        <v>5415</v>
      </c>
      <c r="B30" s="33" t="str">
        <f>'A) Base RI'!B21</f>
        <v>Yvorne</v>
      </c>
      <c r="C30" s="32">
        <f>'D) Ecrêtage'!C19</f>
        <v>34416.914731934739</v>
      </c>
      <c r="D30" s="14">
        <f>'A) Base RI'!V21</f>
        <v>1057</v>
      </c>
      <c r="E30" s="10">
        <f t="shared" si="0"/>
        <v>688760.19776378886</v>
      </c>
      <c r="F30" s="14">
        <f>'F) Population'!K22</f>
        <v>143200.10060362171</v>
      </c>
      <c r="G30" s="10">
        <f>'G) Solidarité'!I19</f>
        <v>272299.28547292366</v>
      </c>
      <c r="H30" s="14">
        <f t="shared" si="1"/>
        <v>415499.38607654534</v>
      </c>
      <c r="I30" s="58">
        <f t="shared" si="2"/>
        <v>273260.81168724352</v>
      </c>
    </row>
    <row r="31" spans="1:9" x14ac:dyDescent="0.25">
      <c r="A31" s="50">
        <f>'A) Base RI'!A22</f>
        <v>5421</v>
      </c>
      <c r="B31" s="33" t="str">
        <f>'A) Base RI'!B22</f>
        <v>Apples</v>
      </c>
      <c r="C31" s="32">
        <f>'D) Ecrêtage'!C20</f>
        <v>58623.163421052632</v>
      </c>
      <c r="D31" s="14">
        <f>'A) Base RI'!V22</f>
        <v>1437</v>
      </c>
      <c r="E31" s="10">
        <f t="shared" si="0"/>
        <v>1173181.9062200212</v>
      </c>
      <c r="F31" s="14">
        <f>'F) Population'!K23</f>
        <v>274594.46680080483</v>
      </c>
      <c r="G31" s="10">
        <f>'G) Solidarité'!I20</f>
        <v>146204.44990905514</v>
      </c>
      <c r="H31" s="14">
        <f t="shared" si="1"/>
        <v>420798.91670985997</v>
      </c>
      <c r="I31" s="58">
        <f t="shared" si="2"/>
        <v>752382.98951016122</v>
      </c>
    </row>
    <row r="32" spans="1:9" x14ac:dyDescent="0.25">
      <c r="A32" s="50">
        <f>'A) Base RI'!A23</f>
        <v>5422</v>
      </c>
      <c r="B32" s="33" t="str">
        <f>'A) Base RI'!B23</f>
        <v>Aubonne</v>
      </c>
      <c r="C32" s="32">
        <f>'D) Ecrêtage'!C21</f>
        <v>244308.18220588236</v>
      </c>
      <c r="D32" s="14">
        <f>'A) Base RI'!V23</f>
        <v>3269</v>
      </c>
      <c r="E32" s="10">
        <f t="shared" si="0"/>
        <v>4889158.5199326798</v>
      </c>
      <c r="F32" s="14">
        <f>'F) Population'!K24</f>
        <v>947916.4989939637</v>
      </c>
      <c r="G32" s="10">
        <f>'G) Solidarité'!I21</f>
        <v>0</v>
      </c>
      <c r="H32" s="14">
        <f t="shared" si="1"/>
        <v>947916.4989939637</v>
      </c>
      <c r="I32" s="58">
        <f t="shared" si="2"/>
        <v>3941242.0209387159</v>
      </c>
    </row>
    <row r="33" spans="1:9" x14ac:dyDescent="0.25">
      <c r="A33" s="50">
        <f>'A) Base RI'!A24</f>
        <v>5423</v>
      </c>
      <c r="B33" s="33" t="str">
        <f>'A) Base RI'!B24</f>
        <v>Ballens</v>
      </c>
      <c r="C33" s="32">
        <f>'D) Ecrêtage'!C22</f>
        <v>16828.247681159421</v>
      </c>
      <c r="D33" s="14">
        <f>'A) Base RI'!V24</f>
        <v>527</v>
      </c>
      <c r="E33" s="10">
        <f t="shared" si="0"/>
        <v>336771.24434802064</v>
      </c>
      <c r="F33" s="14">
        <f>'F) Population'!K25</f>
        <v>65079.728370221324</v>
      </c>
      <c r="G33" s="10">
        <f>'G) Solidarité'!I22</f>
        <v>132714.93551629776</v>
      </c>
      <c r="H33" s="14">
        <f t="shared" si="1"/>
        <v>197794.66388651909</v>
      </c>
      <c r="I33" s="58">
        <f t="shared" si="2"/>
        <v>138976.58046150155</v>
      </c>
    </row>
    <row r="34" spans="1:9" x14ac:dyDescent="0.25">
      <c r="A34" s="50">
        <f>'A) Base RI'!A25</f>
        <v>5424</v>
      </c>
      <c r="B34" s="33" t="str">
        <f>'A) Base RI'!B25</f>
        <v>Berolle</v>
      </c>
      <c r="C34" s="32">
        <f>'D) Ecrêtage'!C23</f>
        <v>11334.098571428574</v>
      </c>
      <c r="D34" s="14">
        <f>'A) Base RI'!V25</f>
        <v>301</v>
      </c>
      <c r="E34" s="10">
        <f t="shared" si="0"/>
        <v>226820.91158763733</v>
      </c>
      <c r="F34" s="14">
        <f>'F) Population'!K26</f>
        <v>37170.774647887323</v>
      </c>
      <c r="G34" s="10">
        <f>'G) Solidarité'!I23</f>
        <v>53745.991889990066</v>
      </c>
      <c r="H34" s="14">
        <f t="shared" si="1"/>
        <v>90916.766537877382</v>
      </c>
      <c r="I34" s="58">
        <f t="shared" si="2"/>
        <v>135904.14504975994</v>
      </c>
    </row>
    <row r="35" spans="1:9" x14ac:dyDescent="0.25">
      <c r="A35" s="50">
        <f>'A) Base RI'!A26</f>
        <v>5425</v>
      </c>
      <c r="B35" s="33" t="str">
        <f>'A) Base RI'!B26</f>
        <v>Bière</v>
      </c>
      <c r="C35" s="32">
        <f>'D) Ecrêtage'!C24</f>
        <v>40579.487849898578</v>
      </c>
      <c r="D35" s="14">
        <f>'A) Base RI'!V26</f>
        <v>1577</v>
      </c>
      <c r="E35" s="10">
        <f t="shared" si="0"/>
        <v>812087.20463010063</v>
      </c>
      <c r="F35" s="14">
        <f>'F) Population'!K27</f>
        <v>323002.91750503017</v>
      </c>
      <c r="G35" s="10">
        <f>'G) Solidarité'!I24</f>
        <v>565669.04805342911</v>
      </c>
      <c r="H35" s="14">
        <f t="shared" si="1"/>
        <v>888671.96555845928</v>
      </c>
      <c r="I35" s="58">
        <f t="shared" si="2"/>
        <v>-76584.76092835865</v>
      </c>
    </row>
    <row r="36" spans="1:9" x14ac:dyDescent="0.25">
      <c r="A36" s="50">
        <f>'A) Base RI'!A27</f>
        <v>5426</v>
      </c>
      <c r="B36" s="33" t="str">
        <f>'A) Base RI'!B27</f>
        <v>Bougy-Villars</v>
      </c>
      <c r="C36" s="32">
        <f>'D) Ecrêtage'!C25</f>
        <v>47833.150252525251</v>
      </c>
      <c r="D36" s="14">
        <f>'A) Base RI'!V27</f>
        <v>483</v>
      </c>
      <c r="E36" s="10">
        <f t="shared" si="0"/>
        <v>957249.37241468683</v>
      </c>
      <c r="F36" s="14">
        <f>'F) Population'!K28</f>
        <v>59646.126760563377</v>
      </c>
      <c r="G36" s="10">
        <f>'G) Solidarité'!I25</f>
        <v>0</v>
      </c>
      <c r="H36" s="14">
        <f t="shared" si="1"/>
        <v>59646.126760563377</v>
      </c>
      <c r="I36" s="58">
        <f t="shared" si="2"/>
        <v>897603.24565412349</v>
      </c>
    </row>
    <row r="37" spans="1:9" x14ac:dyDescent="0.25">
      <c r="A37" s="50">
        <f>'A) Base RI'!A28</f>
        <v>5427</v>
      </c>
      <c r="B37" s="33" t="str">
        <f>'A) Base RI'!B28</f>
        <v>Féchy</v>
      </c>
      <c r="C37" s="32">
        <f>'D) Ecrêtage'!C26</f>
        <v>79308.783786057698</v>
      </c>
      <c r="D37" s="14">
        <f>'A) Base RI'!V28</f>
        <v>895</v>
      </c>
      <c r="E37" s="10">
        <f t="shared" si="0"/>
        <v>1587147.8902263578</v>
      </c>
      <c r="F37" s="14">
        <f>'F) Population'!K29</f>
        <v>110524.39637826961</v>
      </c>
      <c r="G37" s="10">
        <f>'G) Solidarité'!I26</f>
        <v>0</v>
      </c>
      <c r="H37" s="14">
        <f t="shared" si="1"/>
        <v>110524.39637826961</v>
      </c>
      <c r="I37" s="58">
        <f t="shared" si="2"/>
        <v>1476623.4938480882</v>
      </c>
    </row>
    <row r="38" spans="1:9" x14ac:dyDescent="0.25">
      <c r="A38" s="50">
        <f>'A) Base RI'!A29</f>
        <v>5428</v>
      </c>
      <c r="B38" s="33" t="str">
        <f>'A) Base RI'!B29</f>
        <v>Gimel</v>
      </c>
      <c r="C38" s="32">
        <f>'D) Ecrêtage'!C27</f>
        <v>61728.526853146868</v>
      </c>
      <c r="D38" s="14">
        <f>'A) Base RI'!V29</f>
        <v>2016</v>
      </c>
      <c r="E38" s="10">
        <f t="shared" si="0"/>
        <v>1235327.2422641341</v>
      </c>
      <c r="F38" s="14">
        <f>'F) Population'!K30</f>
        <v>474797.98792756535</v>
      </c>
      <c r="G38" s="10">
        <f>'G) Solidarité'!I27</f>
        <v>599004.37883709639</v>
      </c>
      <c r="H38" s="14">
        <f t="shared" si="1"/>
        <v>1073802.3667646619</v>
      </c>
      <c r="I38" s="58">
        <f t="shared" si="2"/>
        <v>161524.87549947225</v>
      </c>
    </row>
    <row r="39" spans="1:9" x14ac:dyDescent="0.25">
      <c r="A39" s="50">
        <f>'A) Base RI'!A30</f>
        <v>5429</v>
      </c>
      <c r="B39" s="33" t="str">
        <f>'A) Base RI'!B30</f>
        <v>Longirod</v>
      </c>
      <c r="C39" s="32">
        <f>'D) Ecrêtage'!C28</f>
        <v>14939.782716049382</v>
      </c>
      <c r="D39" s="14">
        <f>'A) Base RI'!V30</f>
        <v>469</v>
      </c>
      <c r="E39" s="10">
        <f t="shared" si="0"/>
        <v>298978.79511281115</v>
      </c>
      <c r="F39" s="14">
        <f>'F) Population'!K31</f>
        <v>57917.253521126753</v>
      </c>
      <c r="G39" s="10">
        <f>'G) Solidarité'!I28</f>
        <v>163712.92110785851</v>
      </c>
      <c r="H39" s="14">
        <f t="shared" si="1"/>
        <v>221630.17462898526</v>
      </c>
      <c r="I39" s="58">
        <f t="shared" si="2"/>
        <v>77348.620483825885</v>
      </c>
    </row>
    <row r="40" spans="1:9" x14ac:dyDescent="0.25">
      <c r="A40" s="50">
        <f>'A) Base RI'!A31</f>
        <v>5430</v>
      </c>
      <c r="B40" s="33" t="str">
        <f>'A) Base RI'!B31</f>
        <v>Marchissy</v>
      </c>
      <c r="C40" s="32">
        <f>'D) Ecrêtage'!C29</f>
        <v>13613.731392405061</v>
      </c>
      <c r="D40" s="14">
        <f>'A) Base RI'!V31</f>
        <v>455</v>
      </c>
      <c r="E40" s="10">
        <f t="shared" si="0"/>
        <v>272441.51310970541</v>
      </c>
      <c r="F40" s="14">
        <f>'F) Population'!K32</f>
        <v>56188.380281690137</v>
      </c>
      <c r="G40" s="10">
        <f>'G) Solidarité'!I29</f>
        <v>172942.44138704959</v>
      </c>
      <c r="H40" s="14">
        <f t="shared" si="1"/>
        <v>229130.82166873972</v>
      </c>
      <c r="I40" s="58">
        <f t="shared" si="2"/>
        <v>43310.691440965689</v>
      </c>
    </row>
    <row r="41" spans="1:9" x14ac:dyDescent="0.25">
      <c r="A41" s="50">
        <f>'A) Base RI'!A32</f>
        <v>5431</v>
      </c>
      <c r="B41" s="33" t="str">
        <f>'A) Base RI'!B32</f>
        <v>Mollens</v>
      </c>
      <c r="C41" s="32">
        <f>'D) Ecrêtage'!C30</f>
        <v>8973.9812162162179</v>
      </c>
      <c r="D41" s="14">
        <f>'A) Base RI'!V32</f>
        <v>301</v>
      </c>
      <c r="E41" s="10">
        <f t="shared" si="0"/>
        <v>179589.63275329446</v>
      </c>
      <c r="F41" s="14">
        <f>'F) Population'!K33</f>
        <v>37170.774647887323</v>
      </c>
      <c r="G41" s="10">
        <f>'G) Solidarité'!I30</f>
        <v>101082.38909840571</v>
      </c>
      <c r="H41" s="14">
        <f t="shared" si="1"/>
        <v>138253.16374629302</v>
      </c>
      <c r="I41" s="58">
        <f t="shared" si="2"/>
        <v>41336.469007001433</v>
      </c>
    </row>
    <row r="42" spans="1:9" x14ac:dyDescent="0.25">
      <c r="A42" s="50">
        <f>'A) Base RI'!A33</f>
        <v>5432</v>
      </c>
      <c r="B42" s="33" t="str">
        <f>'A) Base RI'!B33</f>
        <v>Montherod</v>
      </c>
      <c r="C42" s="32">
        <f>'D) Ecrêtage'!C31</f>
        <v>17887.262179487177</v>
      </c>
      <c r="D42" s="14">
        <f>'A) Base RI'!V33</f>
        <v>534</v>
      </c>
      <c r="E42" s="10">
        <f t="shared" si="0"/>
        <v>357964.51634767908</v>
      </c>
      <c r="F42" s="14">
        <f>'F) Population'!K34</f>
        <v>65944.164989939629</v>
      </c>
      <c r="G42" s="10">
        <f>'G) Solidarité'!I31</f>
        <v>151613.92189658104</v>
      </c>
      <c r="H42" s="14">
        <f t="shared" si="1"/>
        <v>217558.08688652067</v>
      </c>
      <c r="I42" s="58">
        <f t="shared" si="2"/>
        <v>140406.4294611584</v>
      </c>
    </row>
    <row r="43" spans="1:9" x14ac:dyDescent="0.25">
      <c r="A43" s="50">
        <f>'A) Base RI'!A34</f>
        <v>5434</v>
      </c>
      <c r="B43" s="33" t="str">
        <f>'A) Base RI'!B34</f>
        <v>Saint-George</v>
      </c>
      <c r="C43" s="32">
        <f>'D) Ecrêtage'!C32</f>
        <v>37133.404507042258</v>
      </c>
      <c r="D43" s="14">
        <f>'A) Base RI'!V34</f>
        <v>1031</v>
      </c>
      <c r="E43" s="10">
        <f t="shared" si="0"/>
        <v>743123.2936222998</v>
      </c>
      <c r="F43" s="14">
        <f>'F) Population'!K35</f>
        <v>134209.9597585513</v>
      </c>
      <c r="G43" s="10">
        <f>'G) Solidarité'!I32</f>
        <v>190405.63467981029</v>
      </c>
      <c r="H43" s="14">
        <f t="shared" si="1"/>
        <v>324615.59443836159</v>
      </c>
      <c r="I43" s="58">
        <f t="shared" si="2"/>
        <v>418507.69918393821</v>
      </c>
    </row>
    <row r="44" spans="1:9" x14ac:dyDescent="0.25">
      <c r="A44" s="50">
        <f>'A) Base RI'!A35</f>
        <v>5435</v>
      </c>
      <c r="B44" s="33" t="str">
        <f>'A) Base RI'!B35</f>
        <v>Saint-Livres</v>
      </c>
      <c r="C44" s="32">
        <f>'D) Ecrêtage'!C33</f>
        <v>25639.681014492751</v>
      </c>
      <c r="D44" s="14">
        <f>'A) Base RI'!V35</f>
        <v>683</v>
      </c>
      <c r="E44" s="10">
        <f t="shared" si="0"/>
        <v>513107.92683449114</v>
      </c>
      <c r="F44" s="14">
        <f>'F) Population'!K36</f>
        <v>84344.31589537223</v>
      </c>
      <c r="G44" s="10">
        <f>'G) Solidarité'!I33</f>
        <v>99418.97782503863</v>
      </c>
      <c r="H44" s="14">
        <f t="shared" si="1"/>
        <v>183763.29372041085</v>
      </c>
      <c r="I44" s="58">
        <f t="shared" si="2"/>
        <v>329344.63311408029</v>
      </c>
    </row>
    <row r="45" spans="1:9" x14ac:dyDescent="0.25">
      <c r="A45" s="50">
        <f>'A) Base RI'!A36</f>
        <v>5436</v>
      </c>
      <c r="B45" s="33" t="str">
        <f>'A) Base RI'!B36</f>
        <v>Saint-Oyens</v>
      </c>
      <c r="C45" s="32">
        <f>'D) Ecrêtage'!C34</f>
        <v>11326.600185185187</v>
      </c>
      <c r="D45" s="14">
        <f>'A) Base RI'!V36</f>
        <v>366</v>
      </c>
      <c r="E45" s="10">
        <f t="shared" si="0"/>
        <v>226670.85194306631</v>
      </c>
      <c r="F45" s="14">
        <f>'F) Population'!K37</f>
        <v>45197.686116700199</v>
      </c>
      <c r="G45" s="10">
        <f>'G) Solidarité'!I34</f>
        <v>136433.5307673343</v>
      </c>
      <c r="H45" s="14">
        <f t="shared" si="1"/>
        <v>181631.21688403451</v>
      </c>
      <c r="I45" s="58">
        <f t="shared" si="2"/>
        <v>45039.635059031803</v>
      </c>
    </row>
    <row r="46" spans="1:9" x14ac:dyDescent="0.25">
      <c r="A46" s="50">
        <f>'A) Base RI'!A37</f>
        <v>5437</v>
      </c>
      <c r="B46" s="33" t="str">
        <f>'A) Base RI'!B37</f>
        <v>Saubraz</v>
      </c>
      <c r="C46" s="32">
        <f>'D) Ecrêtage'!C35</f>
        <v>9913.9082500000004</v>
      </c>
      <c r="D46" s="14">
        <f>'A) Base RI'!V37</f>
        <v>420</v>
      </c>
      <c r="E46" s="10">
        <f t="shared" si="0"/>
        <v>198399.69561670837</v>
      </c>
      <c r="F46" s="14">
        <f>'F) Population'!K38</f>
        <v>51866.197183098586</v>
      </c>
      <c r="G46" s="10">
        <f>'G) Solidarité'!I35</f>
        <v>231280.55105631758</v>
      </c>
      <c r="H46" s="14">
        <f t="shared" si="1"/>
        <v>283146.74823941616</v>
      </c>
      <c r="I46" s="58">
        <f t="shared" si="2"/>
        <v>-84747.052622707793</v>
      </c>
    </row>
    <row r="47" spans="1:9" x14ac:dyDescent="0.25">
      <c r="A47" s="50">
        <f>'A) Base RI'!A38</f>
        <v>5451</v>
      </c>
      <c r="B47" s="33" t="str">
        <f>'A) Base RI'!B38</f>
        <v>Avenches</v>
      </c>
      <c r="C47" s="32">
        <f>'D) Ecrêtage'!C36</f>
        <v>95537.476225490187</v>
      </c>
      <c r="D47" s="14">
        <f>'A) Base RI'!V38</f>
        <v>4210</v>
      </c>
      <c r="E47" s="10">
        <f t="shared" si="0"/>
        <v>1911920.6800331005</v>
      </c>
      <c r="F47" s="14">
        <f>'F) Population'!K39</f>
        <v>1412736.4185110661</v>
      </c>
      <c r="G47" s="10">
        <f>'G) Solidarité'!I36</f>
        <v>1745614.1095152514</v>
      </c>
      <c r="H47" s="14">
        <f t="shared" si="1"/>
        <v>3158350.5280263172</v>
      </c>
      <c r="I47" s="58">
        <f t="shared" si="2"/>
        <v>-1246429.8479932167</v>
      </c>
    </row>
    <row r="48" spans="1:9" x14ac:dyDescent="0.25">
      <c r="A48" s="50">
        <f>'A) Base RI'!A39</f>
        <v>5456</v>
      </c>
      <c r="B48" s="33" t="str">
        <f>'A) Base RI'!B39</f>
        <v>Cudrefin</v>
      </c>
      <c r="C48" s="32">
        <f>'D) Ecrêtage'!C37</f>
        <v>54725.941638418088</v>
      </c>
      <c r="D48" s="14">
        <f>'A) Base RI'!V39</f>
        <v>1589</v>
      </c>
      <c r="E48" s="10">
        <f t="shared" si="0"/>
        <v>1095189.696091841</v>
      </c>
      <c r="F48" s="14">
        <f>'F) Population'!K40</f>
        <v>327152.21327967802</v>
      </c>
      <c r="G48" s="10">
        <f>'G) Solidarité'!I37</f>
        <v>237350.50736500035</v>
      </c>
      <c r="H48" s="14">
        <f t="shared" si="1"/>
        <v>564502.72064467834</v>
      </c>
      <c r="I48" s="58">
        <f t="shared" si="2"/>
        <v>530686.97544716264</v>
      </c>
    </row>
    <row r="49" spans="1:9" x14ac:dyDescent="0.25">
      <c r="A49" s="50">
        <f>'A) Base RI'!A40</f>
        <v>5458</v>
      </c>
      <c r="B49" s="33" t="str">
        <f>'A) Base RI'!B40</f>
        <v>Faoug</v>
      </c>
      <c r="C49" s="32">
        <f>'D) Ecrêtage'!C38</f>
        <v>34607.593906250004</v>
      </c>
      <c r="D49" s="14">
        <f>'A) Base RI'!V40</f>
        <v>893</v>
      </c>
      <c r="E49" s="10">
        <f t="shared" si="0"/>
        <v>692576.11870945571</v>
      </c>
      <c r="F49" s="14">
        <f>'F) Population'!K41</f>
        <v>110277.41448692152</v>
      </c>
      <c r="G49" s="10">
        <f>'G) Solidarité'!I38</f>
        <v>94148.570757327427</v>
      </c>
      <c r="H49" s="14">
        <f t="shared" si="1"/>
        <v>204425.98524424894</v>
      </c>
      <c r="I49" s="58">
        <f t="shared" si="2"/>
        <v>488150.13346520677</v>
      </c>
    </row>
    <row r="50" spans="1:9" x14ac:dyDescent="0.25">
      <c r="A50" s="50">
        <f>'A) Base RI'!A41</f>
        <v>5464</v>
      </c>
      <c r="B50" s="33" t="str">
        <f>'A) Base RI'!B41</f>
        <v>Vully-les-Lacs</v>
      </c>
      <c r="C50" s="32">
        <f>'D) Ecrêtage'!C39</f>
        <v>98727.295671641783</v>
      </c>
      <c r="D50" s="14">
        <f>'A) Base RI'!V41</f>
        <v>3080</v>
      </c>
      <c r="E50" s="10">
        <f t="shared" si="0"/>
        <v>1975756.171670693</v>
      </c>
      <c r="F50" s="14">
        <f>'F) Population'!K42</f>
        <v>854557.34406438621</v>
      </c>
      <c r="G50" s="10">
        <f>'G) Solidarité'!I39</f>
        <v>724603.73040728446</v>
      </c>
      <c r="H50" s="14">
        <f t="shared" si="1"/>
        <v>1579161.0744716707</v>
      </c>
      <c r="I50" s="58">
        <f t="shared" si="2"/>
        <v>396595.0971990223</v>
      </c>
    </row>
    <row r="51" spans="1:9" x14ac:dyDescent="0.25">
      <c r="A51" s="50">
        <f>'A) Base RI'!A42</f>
        <v>5471</v>
      </c>
      <c r="B51" s="33" t="str">
        <f>'A) Base RI'!B42</f>
        <v>Bettens</v>
      </c>
      <c r="C51" s="32">
        <f>'D) Ecrêtage'!C40</f>
        <v>19145.941571428568</v>
      </c>
      <c r="D51" s="14">
        <f>'A) Base RI'!V42</f>
        <v>574</v>
      </c>
      <c r="E51" s="10">
        <f t="shared" si="0"/>
        <v>383153.53383129311</v>
      </c>
      <c r="F51" s="14">
        <f>'F) Population'!K43</f>
        <v>70883.8028169014</v>
      </c>
      <c r="G51" s="10">
        <f>'G) Solidarité'!I40</f>
        <v>132838.76080118903</v>
      </c>
      <c r="H51" s="14">
        <f t="shared" si="1"/>
        <v>203722.56361809041</v>
      </c>
      <c r="I51" s="58">
        <f t="shared" si="2"/>
        <v>179430.9702132027</v>
      </c>
    </row>
    <row r="52" spans="1:9" x14ac:dyDescent="0.25">
      <c r="A52" s="50">
        <f>'A) Base RI'!A43</f>
        <v>5472</v>
      </c>
      <c r="B52" s="33" t="str">
        <f>'A) Base RI'!B43</f>
        <v>Bournens</v>
      </c>
      <c r="C52" s="32">
        <f>'D) Ecrêtage'!C41</f>
        <v>14770.012375000002</v>
      </c>
      <c r="D52" s="14">
        <f>'A) Base RI'!V43</f>
        <v>419</v>
      </c>
      <c r="E52" s="10">
        <f t="shared" si="0"/>
        <v>295581.30714544549</v>
      </c>
      <c r="F52" s="14">
        <f>'F) Population'!K44</f>
        <v>51742.706237424543</v>
      </c>
      <c r="G52" s="10">
        <f>'G) Solidarité'!I41</f>
        <v>106421.18099441635</v>
      </c>
      <c r="H52" s="14">
        <f t="shared" si="1"/>
        <v>158163.8872318409</v>
      </c>
      <c r="I52" s="58">
        <f t="shared" si="2"/>
        <v>137417.41991360459</v>
      </c>
    </row>
    <row r="53" spans="1:9" x14ac:dyDescent="0.25">
      <c r="A53" s="50">
        <f>'A) Base RI'!A44</f>
        <v>5473</v>
      </c>
      <c r="B53" s="33" t="str">
        <f>'A) Base RI'!B44</f>
        <v>Boussens</v>
      </c>
      <c r="C53" s="32">
        <f>'D) Ecrêtage'!C42</f>
        <v>33002.569420289859</v>
      </c>
      <c r="D53" s="14">
        <f>'A) Base RI'!V44</f>
        <v>982</v>
      </c>
      <c r="E53" s="10">
        <f t="shared" si="0"/>
        <v>660455.95364015957</v>
      </c>
      <c r="F53" s="14">
        <f>'F) Population'!K45</f>
        <v>121268.10865191146</v>
      </c>
      <c r="G53" s="10">
        <f>'G) Solidarité'!I42</f>
        <v>216120.50449382406</v>
      </c>
      <c r="H53" s="14">
        <f t="shared" si="1"/>
        <v>337388.61314573552</v>
      </c>
      <c r="I53" s="58">
        <f t="shared" si="2"/>
        <v>323067.34049442405</v>
      </c>
    </row>
    <row r="54" spans="1:9" x14ac:dyDescent="0.25">
      <c r="A54" s="50">
        <f>'A) Base RI'!A45</f>
        <v>5474</v>
      </c>
      <c r="B54" s="33" t="str">
        <f>'A) Base RI'!B45</f>
        <v>La Chaux (Cossonay)</v>
      </c>
      <c r="C54" s="32">
        <f>'D) Ecrêtage'!C43</f>
        <v>13388.045367965367</v>
      </c>
      <c r="D54" s="14">
        <f>'A) Base RI'!V45</f>
        <v>420</v>
      </c>
      <c r="E54" s="10">
        <f t="shared" si="0"/>
        <v>267925.02602664405</v>
      </c>
      <c r="F54" s="14">
        <f>'F) Population'!K46</f>
        <v>51866.197183098586</v>
      </c>
      <c r="G54" s="10">
        <f>'G) Solidarité'!I43</f>
        <v>132270.65740199678</v>
      </c>
      <c r="H54" s="14">
        <f t="shared" si="1"/>
        <v>184136.85458509537</v>
      </c>
      <c r="I54" s="58">
        <f t="shared" si="2"/>
        <v>83788.171441548679</v>
      </c>
    </row>
    <row r="55" spans="1:9" x14ac:dyDescent="0.25">
      <c r="A55" s="50">
        <f>'A) Base RI'!A46</f>
        <v>5475</v>
      </c>
      <c r="B55" s="33" t="str">
        <f>'A) Base RI'!B46</f>
        <v>Chavannes-le-Veyron</v>
      </c>
      <c r="C55" s="32">
        <f>'D) Ecrêtage'!C44</f>
        <v>3775.6794805194804</v>
      </c>
      <c r="D55" s="14">
        <f>'A) Base RI'!V46</f>
        <v>141</v>
      </c>
      <c r="E55" s="10">
        <f t="shared" si="0"/>
        <v>75559.874147646711</v>
      </c>
      <c r="F55" s="14">
        <f>'F) Population'!K47</f>
        <v>17412.22334004024</v>
      </c>
      <c r="G55" s="10">
        <f>'G) Solidarité'!I44</f>
        <v>61370.571550446773</v>
      </c>
      <c r="H55" s="14">
        <f t="shared" si="1"/>
        <v>78782.794890487014</v>
      </c>
      <c r="I55" s="58">
        <f t="shared" si="2"/>
        <v>-3222.9207428403024</v>
      </c>
    </row>
    <row r="56" spans="1:9" x14ac:dyDescent="0.25">
      <c r="A56" s="50">
        <f>'A) Base RI'!A47</f>
        <v>5476</v>
      </c>
      <c r="B56" s="33" t="str">
        <f>'A) Base RI'!B47</f>
        <v>Chevilly</v>
      </c>
      <c r="C56" s="32">
        <f>'D) Ecrêtage'!C45</f>
        <v>10077.570765765768</v>
      </c>
      <c r="D56" s="14">
        <f>'A) Base RI'!V47</f>
        <v>298</v>
      </c>
      <c r="E56" s="10">
        <f t="shared" si="0"/>
        <v>201674.95220502641</v>
      </c>
      <c r="F56" s="14">
        <f>'F) Population'!K48</f>
        <v>36800.301810865189</v>
      </c>
      <c r="G56" s="10">
        <f>'G) Solidarité'!I45</f>
        <v>74070.758431839102</v>
      </c>
      <c r="H56" s="14">
        <f t="shared" si="1"/>
        <v>110871.06024270429</v>
      </c>
      <c r="I56" s="58">
        <f t="shared" si="2"/>
        <v>90803.891962322115</v>
      </c>
    </row>
    <row r="57" spans="1:9" x14ac:dyDescent="0.25">
      <c r="A57" s="50">
        <f>'A) Base RI'!A48</f>
        <v>5477</v>
      </c>
      <c r="B57" s="33" t="str">
        <f>'A) Base RI'!B48</f>
        <v>Cossonay</v>
      </c>
      <c r="C57" s="32">
        <f>'D) Ecrêtage'!C46</f>
        <v>123540.83633802818</v>
      </c>
      <c r="D57" s="14">
        <f>'A) Base RI'!V48</f>
        <v>3808</v>
      </c>
      <c r="E57" s="10">
        <f t="shared" si="0"/>
        <v>2472331.1642205659</v>
      </c>
      <c r="F57" s="14">
        <f>'F) Population'!K49</f>
        <v>1214162.9778672031</v>
      </c>
      <c r="G57" s="10">
        <f>'G) Solidarité'!I46</f>
        <v>976380.44577874499</v>
      </c>
      <c r="H57" s="14">
        <f t="shared" si="1"/>
        <v>2190543.4236459481</v>
      </c>
      <c r="I57" s="58">
        <f t="shared" si="2"/>
        <v>281787.74057461787</v>
      </c>
    </row>
    <row r="58" spans="1:9" x14ac:dyDescent="0.25">
      <c r="A58" s="50">
        <f>'A) Base RI'!A49</f>
        <v>5478</v>
      </c>
      <c r="B58" s="33" t="str">
        <f>'A) Base RI'!B49</f>
        <v>Cottens</v>
      </c>
      <c r="C58" s="32">
        <f>'D) Ecrêtage'!C47</f>
        <v>16872.928378378379</v>
      </c>
      <c r="D58" s="14">
        <f>'A) Base RI'!V49</f>
        <v>477</v>
      </c>
      <c r="E58" s="10">
        <f t="shared" si="0"/>
        <v>337665.40601510927</v>
      </c>
      <c r="F58" s="14">
        <f>'F) Population'!K50</f>
        <v>58905.181086519107</v>
      </c>
      <c r="G58" s="10">
        <f>'G) Solidarité'!I47</f>
        <v>102388.63422045852</v>
      </c>
      <c r="H58" s="14">
        <f t="shared" si="1"/>
        <v>161293.81530697763</v>
      </c>
      <c r="I58" s="58">
        <f t="shared" si="2"/>
        <v>176371.59070813164</v>
      </c>
    </row>
    <row r="59" spans="1:9" x14ac:dyDescent="0.25">
      <c r="A59" s="50">
        <f>'A) Base RI'!A50</f>
        <v>5479</v>
      </c>
      <c r="B59" s="33" t="str">
        <f>'A) Base RI'!B50</f>
        <v>Cuarnens</v>
      </c>
      <c r="C59" s="32">
        <f>'D) Ecrêtage'!C48</f>
        <v>15098.323116883119</v>
      </c>
      <c r="D59" s="14">
        <f>'A) Base RI'!V50</f>
        <v>479</v>
      </c>
      <c r="E59" s="10">
        <f t="shared" si="0"/>
        <v>302151.54661254026</v>
      </c>
      <c r="F59" s="14">
        <f>'F) Population'!K51</f>
        <v>59152.1629778672</v>
      </c>
      <c r="G59" s="10">
        <f>'G) Solidarité'!I48</f>
        <v>154873.51186198578</v>
      </c>
      <c r="H59" s="14">
        <f t="shared" si="1"/>
        <v>214025.67483985299</v>
      </c>
      <c r="I59" s="58">
        <f t="shared" si="2"/>
        <v>88125.871772687271</v>
      </c>
    </row>
    <row r="60" spans="1:9" x14ac:dyDescent="0.25">
      <c r="A60" s="50">
        <f>'A) Base RI'!A51</f>
        <v>5480</v>
      </c>
      <c r="B60" s="33" t="str">
        <f>'A) Base RI'!B51</f>
        <v>Daillens</v>
      </c>
      <c r="C60" s="32">
        <f>'D) Ecrêtage'!C49</f>
        <v>41105.758873239436</v>
      </c>
      <c r="D60" s="14">
        <f>'A) Base RI'!V51</f>
        <v>998</v>
      </c>
      <c r="E60" s="10">
        <f t="shared" si="0"/>
        <v>822619.07644187787</v>
      </c>
      <c r="F60" s="14">
        <f>'F) Population'!K52</f>
        <v>123243.96378269617</v>
      </c>
      <c r="G60" s="10">
        <f>'G) Solidarité'!I49</f>
        <v>80756.249558545926</v>
      </c>
      <c r="H60" s="14">
        <f t="shared" si="1"/>
        <v>204000.21334124211</v>
      </c>
      <c r="I60" s="58">
        <f t="shared" si="2"/>
        <v>618618.86310063582</v>
      </c>
    </row>
    <row r="61" spans="1:9" x14ac:dyDescent="0.25">
      <c r="A61" s="50">
        <f>'A) Base RI'!A52</f>
        <v>5481</v>
      </c>
      <c r="B61" s="33" t="str">
        <f>'A) Base RI'!B52</f>
        <v>Dizy</v>
      </c>
      <c r="C61" s="32">
        <f>'D) Ecrêtage'!C50</f>
        <v>8417.6035443037963</v>
      </c>
      <c r="D61" s="14">
        <f>'A) Base RI'!V52</f>
        <v>229</v>
      </c>
      <c r="E61" s="10">
        <f t="shared" si="0"/>
        <v>168455.25890478145</v>
      </c>
      <c r="F61" s="14">
        <f>'F) Population'!K53</f>
        <v>28279.426559356136</v>
      </c>
      <c r="G61" s="10">
        <f>'G) Solidarité'!I50</f>
        <v>48142.752672943068</v>
      </c>
      <c r="H61" s="14">
        <f t="shared" si="1"/>
        <v>76422.179232299211</v>
      </c>
      <c r="I61" s="58">
        <f t="shared" si="2"/>
        <v>92033.079672482243</v>
      </c>
    </row>
    <row r="62" spans="1:9" x14ac:dyDescent="0.25">
      <c r="A62" s="50">
        <f>'A) Base RI'!A53</f>
        <v>5482</v>
      </c>
      <c r="B62" s="33" t="str">
        <f>'A) Base RI'!B53</f>
        <v>Eclépens</v>
      </c>
      <c r="C62" s="32">
        <f>'D) Ecrêtage'!C51</f>
        <v>48921.463913043473</v>
      </c>
      <c r="D62" s="14">
        <f>'A) Base RI'!V53</f>
        <v>1091</v>
      </c>
      <c r="E62" s="10">
        <f t="shared" si="0"/>
        <v>979028.98682480829</v>
      </c>
      <c r="F62" s="14">
        <f>'F) Population'!K54</f>
        <v>154956.43863179072</v>
      </c>
      <c r="G62" s="10">
        <f>'G) Solidarité'!I51</f>
        <v>3491.3230340721839</v>
      </c>
      <c r="H62" s="14">
        <f t="shared" si="1"/>
        <v>158447.7616658629</v>
      </c>
      <c r="I62" s="58">
        <f t="shared" si="2"/>
        <v>820581.22515894542</v>
      </c>
    </row>
    <row r="63" spans="1:9" x14ac:dyDescent="0.25">
      <c r="A63" s="50">
        <f>'A) Base RI'!A54</f>
        <v>5483</v>
      </c>
      <c r="B63" s="33" t="str">
        <f>'A) Base RI'!B54</f>
        <v>Ferreyres</v>
      </c>
      <c r="C63" s="32">
        <f>'D) Ecrêtage'!C52</f>
        <v>12338.918289473684</v>
      </c>
      <c r="D63" s="14">
        <f>'A) Base RI'!V54</f>
        <v>322</v>
      </c>
      <c r="E63" s="10">
        <f t="shared" si="0"/>
        <v>246929.62362961296</v>
      </c>
      <c r="F63" s="14">
        <f>'F) Population'!K55</f>
        <v>39764.084507042251</v>
      </c>
      <c r="G63" s="10">
        <f>'G) Solidarité'!I52</f>
        <v>51090.396202798191</v>
      </c>
      <c r="H63" s="14">
        <f t="shared" si="1"/>
        <v>90854.480709840442</v>
      </c>
      <c r="I63" s="58">
        <f t="shared" si="2"/>
        <v>156075.14291977254</v>
      </c>
    </row>
    <row r="64" spans="1:9" x14ac:dyDescent="0.25">
      <c r="A64" s="50">
        <f>'A) Base RI'!A55</f>
        <v>5484</v>
      </c>
      <c r="B64" s="33" t="str">
        <f>'A) Base RI'!B55</f>
        <v>Gollion</v>
      </c>
      <c r="C64" s="32">
        <f>'D) Ecrêtage'!C53</f>
        <v>33965.841756756759</v>
      </c>
      <c r="D64" s="14">
        <f>'A) Base RI'!V55</f>
        <v>918</v>
      </c>
      <c r="E64" s="10">
        <f t="shared" si="0"/>
        <v>679733.20873791864</v>
      </c>
      <c r="F64" s="14">
        <f>'F) Population'!K56</f>
        <v>113364.68812877263</v>
      </c>
      <c r="G64" s="10">
        <f>'G) Solidarité'!I53</f>
        <v>164498.31036043912</v>
      </c>
      <c r="H64" s="14">
        <f t="shared" si="1"/>
        <v>277862.99848921178</v>
      </c>
      <c r="I64" s="58">
        <f t="shared" si="2"/>
        <v>401870.21024870686</v>
      </c>
    </row>
    <row r="65" spans="1:9" x14ac:dyDescent="0.25">
      <c r="A65" s="50">
        <f>'A) Base RI'!A56</f>
        <v>5485</v>
      </c>
      <c r="B65" s="33" t="str">
        <f>'A) Base RI'!B56</f>
        <v>Grancy</v>
      </c>
      <c r="C65" s="32">
        <f>'D) Ecrêtage'!C54</f>
        <v>17740.37528571429</v>
      </c>
      <c r="D65" s="14">
        <f>'A) Base RI'!V56</f>
        <v>403</v>
      </c>
      <c r="E65" s="10">
        <f t="shared" si="0"/>
        <v>355024.9778448263</v>
      </c>
      <c r="F65" s="14">
        <f>'F) Population'!K57</f>
        <v>49766.851106639835</v>
      </c>
      <c r="G65" s="10">
        <f>'G) Solidarité'!I54</f>
        <v>9432.9391560429704</v>
      </c>
      <c r="H65" s="14">
        <f t="shared" si="1"/>
        <v>59199.790262682807</v>
      </c>
      <c r="I65" s="58">
        <f t="shared" si="2"/>
        <v>295825.18758214347</v>
      </c>
    </row>
    <row r="66" spans="1:9" x14ac:dyDescent="0.25">
      <c r="A66" s="50">
        <f>'A) Base RI'!A57</f>
        <v>5486</v>
      </c>
      <c r="B66" s="33" t="str">
        <f>'A) Base RI'!B57</f>
        <v>L'Isle</v>
      </c>
      <c r="C66" s="32">
        <f>'D) Ecrêtage'!C55</f>
        <v>25696.695921052633</v>
      </c>
      <c r="D66" s="14">
        <f>'A) Base RI'!V57</f>
        <v>1005</v>
      </c>
      <c r="E66" s="10">
        <f t="shared" si="0"/>
        <v>514248.92388851329</v>
      </c>
      <c r="F66" s="14">
        <f>'F) Population'!K58</f>
        <v>125219.81891348088</v>
      </c>
      <c r="G66" s="10">
        <f>'G) Solidarité'!I55</f>
        <v>454075.83781602123</v>
      </c>
      <c r="H66" s="14">
        <f t="shared" si="1"/>
        <v>579295.65672950214</v>
      </c>
      <c r="I66" s="58">
        <f t="shared" si="2"/>
        <v>-65046.732840988843</v>
      </c>
    </row>
    <row r="67" spans="1:9" x14ac:dyDescent="0.25">
      <c r="A67" s="50">
        <f>'A) Base RI'!A58</f>
        <v>5487</v>
      </c>
      <c r="B67" s="33" t="str">
        <f>'A) Base RI'!B58</f>
        <v>Lussery-Villars</v>
      </c>
      <c r="C67" s="32">
        <f>'D) Ecrêtage'!C56</f>
        <v>14347.116805555555</v>
      </c>
      <c r="D67" s="14">
        <f>'A) Base RI'!V58</f>
        <v>459</v>
      </c>
      <c r="E67" s="10">
        <f t="shared" si="0"/>
        <v>287118.21164973796</v>
      </c>
      <c r="F67" s="14">
        <f>'F) Population'!K59</f>
        <v>56682.344064386314</v>
      </c>
      <c r="G67" s="10">
        <f>'G) Solidarité'!I56</f>
        <v>132251.67181843275</v>
      </c>
      <c r="H67" s="14">
        <f t="shared" si="1"/>
        <v>188934.01588281908</v>
      </c>
      <c r="I67" s="58">
        <f t="shared" si="2"/>
        <v>98184.195766918885</v>
      </c>
    </row>
    <row r="68" spans="1:9" x14ac:dyDescent="0.25">
      <c r="A68" s="50">
        <f>'A) Base RI'!A59</f>
        <v>5488</v>
      </c>
      <c r="B68" s="33" t="str">
        <f>'A) Base RI'!B59</f>
        <v>Mauraz</v>
      </c>
      <c r="C68" s="32">
        <f>'D) Ecrêtage'!C57</f>
        <v>1636.236081081081</v>
      </c>
      <c r="D68" s="14">
        <f>'A) Base RI'!V59</f>
        <v>60</v>
      </c>
      <c r="E68" s="10">
        <f t="shared" si="0"/>
        <v>32744.779582115079</v>
      </c>
      <c r="F68" s="14">
        <f>'F) Population'!K60</f>
        <v>7409.4567404426552</v>
      </c>
      <c r="G68" s="10">
        <f>'G) Solidarité'!I57</f>
        <v>23475.435569786547</v>
      </c>
      <c r="H68" s="14">
        <f t="shared" si="1"/>
        <v>30884.892310229203</v>
      </c>
      <c r="I68" s="58">
        <f t="shared" si="2"/>
        <v>1859.8872718858765</v>
      </c>
    </row>
    <row r="69" spans="1:9" x14ac:dyDescent="0.25">
      <c r="A69" s="50">
        <f>'A) Base RI'!A60</f>
        <v>5489</v>
      </c>
      <c r="B69" s="33" t="str">
        <f>'A) Base RI'!B60</f>
        <v>Mex</v>
      </c>
      <c r="C69" s="32">
        <f>'D) Ecrêtage'!C58</f>
        <v>52928.292459016397</v>
      </c>
      <c r="D69" s="14">
        <f>'A) Base RI'!V60</f>
        <v>718</v>
      </c>
      <c r="E69" s="10">
        <f t="shared" si="0"/>
        <v>1059214.6758450153</v>
      </c>
      <c r="F69" s="14">
        <f>'F) Population'!K61</f>
        <v>88666.498993963774</v>
      </c>
      <c r="G69" s="10">
        <f>'G) Solidarité'!I58</f>
        <v>0</v>
      </c>
      <c r="H69" s="14">
        <f t="shared" si="1"/>
        <v>88666.498993963774</v>
      </c>
      <c r="I69" s="58">
        <f t="shared" si="2"/>
        <v>970548.17685105151</v>
      </c>
    </row>
    <row r="70" spans="1:9" x14ac:dyDescent="0.25">
      <c r="A70" s="50">
        <f>'A) Base RI'!A61</f>
        <v>5490</v>
      </c>
      <c r="B70" s="33" t="str">
        <f>'A) Base RI'!B61</f>
        <v>Moiry</v>
      </c>
      <c r="C70" s="32">
        <f>'D) Ecrêtage'!C59</f>
        <v>8175.9358024691346</v>
      </c>
      <c r="D70" s="14">
        <f>'A) Base RI'!V61</f>
        <v>316</v>
      </c>
      <c r="E70" s="10">
        <f t="shared" si="0"/>
        <v>163618.94156037047</v>
      </c>
      <c r="F70" s="14">
        <f>'F) Population'!K62</f>
        <v>39023.138832997982</v>
      </c>
      <c r="G70" s="10">
        <f>'G) Solidarité'!I59</f>
        <v>159666.37146289265</v>
      </c>
      <c r="H70" s="14">
        <f t="shared" si="1"/>
        <v>198689.51029589062</v>
      </c>
      <c r="I70" s="58">
        <f t="shared" si="2"/>
        <v>-35070.568735520152</v>
      </c>
    </row>
    <row r="71" spans="1:9" x14ac:dyDescent="0.25">
      <c r="A71" s="50">
        <f>'A) Base RI'!A62</f>
        <v>5491</v>
      </c>
      <c r="B71" s="33" t="str">
        <f>'A) Base RI'!B62</f>
        <v>Mont-la-Ville</v>
      </c>
      <c r="C71" s="32">
        <f>'D) Ecrêtage'!C60</f>
        <v>10544.805394736843</v>
      </c>
      <c r="D71" s="14">
        <f>'A) Base RI'!V62</f>
        <v>417</v>
      </c>
      <c r="E71" s="10">
        <f t="shared" si="0"/>
        <v>211025.37242597679</v>
      </c>
      <c r="F71" s="14">
        <f>'F) Population'!K63</f>
        <v>51495.724346076451</v>
      </c>
      <c r="G71" s="10">
        <f>'G) Solidarité'!I60</f>
        <v>191106.84327625294</v>
      </c>
      <c r="H71" s="14">
        <f t="shared" si="1"/>
        <v>242602.5676223294</v>
      </c>
      <c r="I71" s="58">
        <f t="shared" si="2"/>
        <v>-31577.195196352608</v>
      </c>
    </row>
    <row r="72" spans="1:9" x14ac:dyDescent="0.25">
      <c r="A72" s="50">
        <f>'A) Base RI'!A63</f>
        <v>5492</v>
      </c>
      <c r="B72" s="33" t="str">
        <f>'A) Base RI'!B63</f>
        <v>Montricher</v>
      </c>
      <c r="C72" s="32">
        <f>'D) Ecrêtage'!C61</f>
        <v>222873.70244791667</v>
      </c>
      <c r="D72" s="14">
        <f>'A) Base RI'!V63</f>
        <v>986</v>
      </c>
      <c r="E72" s="10">
        <f t="shared" si="0"/>
        <v>4460206.1681008087</v>
      </c>
      <c r="F72" s="14">
        <f>'F) Population'!K64</f>
        <v>121762.07243460763</v>
      </c>
      <c r="G72" s="10">
        <f>'G) Solidarité'!I61</f>
        <v>0</v>
      </c>
      <c r="H72" s="14">
        <f t="shared" si="1"/>
        <v>121762.07243460763</v>
      </c>
      <c r="I72" s="58">
        <f t="shared" si="2"/>
        <v>4338444.0956662009</v>
      </c>
    </row>
    <row r="73" spans="1:9" x14ac:dyDescent="0.25">
      <c r="A73" s="50">
        <f>'A) Base RI'!A64</f>
        <v>5493</v>
      </c>
      <c r="B73" s="33" t="str">
        <f>'A) Base RI'!B64</f>
        <v>Orny</v>
      </c>
      <c r="C73" s="32">
        <f>'D) Ecrêtage'!C62</f>
        <v>9896.3592518440455</v>
      </c>
      <c r="D73" s="14">
        <f>'A) Base RI'!V64</f>
        <v>356</v>
      </c>
      <c r="E73" s="10">
        <f t="shared" si="0"/>
        <v>198048.50052747407</v>
      </c>
      <c r="F73" s="14">
        <f>'F) Population'!K65</f>
        <v>43962.776659959753</v>
      </c>
      <c r="G73" s="10">
        <f>'G) Solidarité'!I62</f>
        <v>131560.17678106969</v>
      </c>
      <c r="H73" s="14">
        <f t="shared" si="1"/>
        <v>175522.95344102944</v>
      </c>
      <c r="I73" s="58">
        <f t="shared" si="2"/>
        <v>22525.547086444625</v>
      </c>
    </row>
    <row r="74" spans="1:9" x14ac:dyDescent="0.25">
      <c r="A74" s="50">
        <f>'A) Base RI'!A65</f>
        <v>5494</v>
      </c>
      <c r="B74" s="33" t="str">
        <f>'A) Base RI'!B65</f>
        <v>Pampigny</v>
      </c>
      <c r="C74" s="32">
        <f>'D) Ecrêtage'!C63</f>
        <v>36998.378139682543</v>
      </c>
      <c r="D74" s="14">
        <f>'A) Base RI'!V65</f>
        <v>1124</v>
      </c>
      <c r="E74" s="10">
        <f t="shared" si="0"/>
        <v>740421.1110411369</v>
      </c>
      <c r="F74" s="14">
        <f>'F) Population'!K66</f>
        <v>166367.00201207242</v>
      </c>
      <c r="G74" s="10">
        <f>'G) Solidarité'!I63</f>
        <v>309648.59140841471</v>
      </c>
      <c r="H74" s="14">
        <f t="shared" si="1"/>
        <v>476015.59342048713</v>
      </c>
      <c r="I74" s="58">
        <f t="shared" si="2"/>
        <v>264405.51762064977</v>
      </c>
    </row>
    <row r="75" spans="1:9" x14ac:dyDescent="0.25">
      <c r="A75" s="50">
        <f>'A) Base RI'!A66</f>
        <v>5495</v>
      </c>
      <c r="B75" s="33" t="str">
        <f>'A) Base RI'!B66</f>
        <v>Penthalaz</v>
      </c>
      <c r="C75" s="32">
        <f>'D) Ecrêtage'!C64</f>
        <v>92865.132567567576</v>
      </c>
      <c r="D75" s="14">
        <f>'A) Base RI'!V66</f>
        <v>3282</v>
      </c>
      <c r="E75" s="10">
        <f t="shared" si="0"/>
        <v>1858441.0476877955</v>
      </c>
      <c r="F75" s="14">
        <f>'F) Population'!K67</f>
        <v>954338.02816901403</v>
      </c>
      <c r="G75" s="10">
        <f>'G) Solidarité'!I64</f>
        <v>1210803.5507464353</v>
      </c>
      <c r="H75" s="14">
        <f t="shared" si="1"/>
        <v>2165141.5789154493</v>
      </c>
      <c r="I75" s="58">
        <f t="shared" si="2"/>
        <v>-306700.53122765385</v>
      </c>
    </row>
    <row r="76" spans="1:9" x14ac:dyDescent="0.25">
      <c r="A76" s="50">
        <f>'A) Base RI'!A67</f>
        <v>5496</v>
      </c>
      <c r="B76" s="33" t="str">
        <f>'A) Base RI'!B67</f>
        <v>Penthaz</v>
      </c>
      <c r="C76" s="32">
        <f>'D) Ecrêtage'!C65</f>
        <v>54824.850845070439</v>
      </c>
      <c r="D76" s="14">
        <f>'A) Base RI'!V67</f>
        <v>1726</v>
      </c>
      <c r="E76" s="10">
        <f t="shared" si="0"/>
        <v>1097169.0927130994</v>
      </c>
      <c r="F76" s="14">
        <f>'F) Population'!K68</f>
        <v>374523.34004024143</v>
      </c>
      <c r="G76" s="10">
        <f>'G) Solidarité'!I65</f>
        <v>466043.21148432291</v>
      </c>
      <c r="H76" s="14">
        <f t="shared" si="1"/>
        <v>840566.55152456439</v>
      </c>
      <c r="I76" s="58">
        <f t="shared" si="2"/>
        <v>256602.54118853505</v>
      </c>
    </row>
    <row r="77" spans="1:9" x14ac:dyDescent="0.25">
      <c r="A77" s="50">
        <f>'A) Base RI'!A68</f>
        <v>5497</v>
      </c>
      <c r="B77" s="33" t="str">
        <f>'A) Base RI'!B68</f>
        <v>Pompaples</v>
      </c>
      <c r="C77" s="32">
        <f>'D) Ecrêtage'!C66</f>
        <v>21718.90772727273</v>
      </c>
      <c r="D77" s="14">
        <f>'A) Base RI'!V68</f>
        <v>854</v>
      </c>
      <c r="E77" s="10">
        <f t="shared" si="0"/>
        <v>434644.39790617238</v>
      </c>
      <c r="F77" s="14">
        <f>'F) Population'!K69</f>
        <v>105461.2676056338</v>
      </c>
      <c r="G77" s="10">
        <f>'G) Solidarité'!I66</f>
        <v>293018.63568296813</v>
      </c>
      <c r="H77" s="14">
        <f t="shared" si="1"/>
        <v>398479.9032886019</v>
      </c>
      <c r="I77" s="58">
        <f t="shared" si="2"/>
        <v>36164.494617570483</v>
      </c>
    </row>
    <row r="78" spans="1:9" x14ac:dyDescent="0.25">
      <c r="A78" s="50">
        <f>'A) Base RI'!A69</f>
        <v>5498</v>
      </c>
      <c r="B78" s="33" t="str">
        <f>'A) Base RI'!B69</f>
        <v>La Sarraz</v>
      </c>
      <c r="C78" s="32">
        <f>'D) Ecrêtage'!C67</f>
        <v>70914.560303030303</v>
      </c>
      <c r="D78" s="14">
        <f>'A) Base RI'!V69</f>
        <v>2609</v>
      </c>
      <c r="E78" s="10">
        <f t="shared" si="0"/>
        <v>1419160.5191538788</v>
      </c>
      <c r="F78" s="14">
        <f>'F) Population'!K70</f>
        <v>679842.35412474838</v>
      </c>
      <c r="G78" s="10">
        <f>'G) Solidarité'!I67</f>
        <v>816073.99473525851</v>
      </c>
      <c r="H78" s="14">
        <f t="shared" si="1"/>
        <v>1495916.3488600068</v>
      </c>
      <c r="I78" s="58">
        <f t="shared" si="2"/>
        <v>-76755.829706127988</v>
      </c>
    </row>
    <row r="79" spans="1:9" x14ac:dyDescent="0.25">
      <c r="A79" s="50">
        <f>'A) Base RI'!A70</f>
        <v>5499</v>
      </c>
      <c r="B79" s="33" t="str">
        <f>'A) Base RI'!B70</f>
        <v>Senarclens</v>
      </c>
      <c r="C79" s="32">
        <f>'D) Ecrêtage'!C68</f>
        <v>20155.097956204383</v>
      </c>
      <c r="D79" s="14">
        <f>'A) Base RI'!V70</f>
        <v>505</v>
      </c>
      <c r="E79" s="10">
        <f t="shared" si="0"/>
        <v>403349.03236933734</v>
      </c>
      <c r="F79" s="14">
        <f>'F) Population'!K71</f>
        <v>62362.927565392347</v>
      </c>
      <c r="G79" s="10">
        <f>'G) Solidarité'!I68</f>
        <v>50081.61306002771</v>
      </c>
      <c r="H79" s="14">
        <f t="shared" si="1"/>
        <v>112444.54062542005</v>
      </c>
      <c r="I79" s="58">
        <f t="shared" si="2"/>
        <v>290904.49174391729</v>
      </c>
    </row>
    <row r="80" spans="1:9" x14ac:dyDescent="0.25">
      <c r="A80" s="50">
        <f>'A) Base RI'!A71</f>
        <v>5500</v>
      </c>
      <c r="B80" s="33" t="str">
        <f>'A) Base RI'!B71</f>
        <v>Sévery</v>
      </c>
      <c r="C80" s="32">
        <f>'D) Ecrêtage'!C69</f>
        <v>8930.8127555555548</v>
      </c>
      <c r="D80" s="14">
        <f>'A) Base RI'!V71</f>
        <v>233</v>
      </c>
      <c r="E80" s="10">
        <f t="shared" si="0"/>
        <v>178725.73435527191</v>
      </c>
      <c r="F80" s="14">
        <f>'F) Population'!K72</f>
        <v>28773.390342052313</v>
      </c>
      <c r="G80" s="10">
        <f>'G) Solidarité'!I69</f>
        <v>35950.25544216275</v>
      </c>
      <c r="H80" s="14">
        <f t="shared" si="1"/>
        <v>64723.645784215063</v>
      </c>
      <c r="I80" s="58">
        <f t="shared" si="2"/>
        <v>114002.08857105684</v>
      </c>
    </row>
    <row r="81" spans="1:9" x14ac:dyDescent="0.25">
      <c r="A81" s="50">
        <f>'A) Base RI'!A72</f>
        <v>5501</v>
      </c>
      <c r="B81" s="33" t="str">
        <f>'A) Base RI'!B72</f>
        <v>Sullens</v>
      </c>
      <c r="C81" s="32">
        <f>'D) Ecrêtage'!C70</f>
        <v>34225.937428571429</v>
      </c>
      <c r="D81" s="14">
        <f>'A) Base RI'!V72</f>
        <v>1005</v>
      </c>
      <c r="E81" s="10">
        <f t="shared" ref="E81:E144" si="3">C81*E$15</f>
        <v>684938.31058251706</v>
      </c>
      <c r="F81" s="14">
        <f>'F) Population'!K73</f>
        <v>125219.81891348088</v>
      </c>
      <c r="G81" s="10">
        <f>'G) Solidarité'!I70</f>
        <v>218855.4178380011</v>
      </c>
      <c r="H81" s="14">
        <f t="shared" ref="H81:H144" si="4">F81+G81</f>
        <v>344075.23675148201</v>
      </c>
      <c r="I81" s="58">
        <f t="shared" ref="I81:I144" si="5">E81-H81</f>
        <v>340863.07383103506</v>
      </c>
    </row>
    <row r="82" spans="1:9" x14ac:dyDescent="0.25">
      <c r="A82" s="50">
        <f>'A) Base RI'!A73</f>
        <v>5503</v>
      </c>
      <c r="B82" s="33" t="str">
        <f>'A) Base RI'!B73</f>
        <v>Vufflens-la-Ville</v>
      </c>
      <c r="C82" s="32">
        <f>'D) Ecrêtage'!C71</f>
        <v>64516.192437810947</v>
      </c>
      <c r="D82" s="14">
        <f>'A) Base RI'!V73</f>
        <v>1284</v>
      </c>
      <c r="E82" s="10">
        <f t="shared" si="3"/>
        <v>1291114.7268294191</v>
      </c>
      <c r="F82" s="14">
        <f>'F) Population'!K74</f>
        <v>221690.94567404425</v>
      </c>
      <c r="G82" s="10">
        <f>'G) Solidarité'!I71</f>
        <v>0</v>
      </c>
      <c r="H82" s="14">
        <f t="shared" si="4"/>
        <v>221690.94567404425</v>
      </c>
      <c r="I82" s="58">
        <f t="shared" si="5"/>
        <v>1069423.7811553748</v>
      </c>
    </row>
    <row r="83" spans="1:9" x14ac:dyDescent="0.25">
      <c r="A83" s="50">
        <f>'A) Base RI'!A74</f>
        <v>5511</v>
      </c>
      <c r="B83" s="33" t="str">
        <f>'A) Base RI'!B74</f>
        <v>Assens</v>
      </c>
      <c r="C83" s="32">
        <f>'D) Ecrêtage'!C72</f>
        <v>48081.721857142853</v>
      </c>
      <c r="D83" s="14">
        <f>'A) Base RI'!V74</f>
        <v>1070</v>
      </c>
      <c r="E83" s="10">
        <f t="shared" si="3"/>
        <v>962223.8516464358</v>
      </c>
      <c r="F83" s="14">
        <f>'F) Population'!K75</f>
        <v>147695.17102615692</v>
      </c>
      <c r="G83" s="10">
        <f>'G) Solidarité'!I72</f>
        <v>5941.3997660890091</v>
      </c>
      <c r="H83" s="14">
        <f t="shared" si="4"/>
        <v>153636.57079224594</v>
      </c>
      <c r="I83" s="58">
        <f t="shared" si="5"/>
        <v>808587.28085418988</v>
      </c>
    </row>
    <row r="84" spans="1:9" x14ac:dyDescent="0.25">
      <c r="A84" s="50">
        <f>'A) Base RI'!A75</f>
        <v>5512</v>
      </c>
      <c r="B84" s="33" t="str">
        <f>'A) Base RI'!B75</f>
        <v>Bercher</v>
      </c>
      <c r="C84" s="32">
        <f>'D) Ecrêtage'!C73</f>
        <v>37529.742911392401</v>
      </c>
      <c r="D84" s="14">
        <f>'A) Base RI'!V75</f>
        <v>1221</v>
      </c>
      <c r="E84" s="10">
        <f t="shared" si="3"/>
        <v>751054.92026250809</v>
      </c>
      <c r="F84" s="14">
        <f>'F) Population'!K76</f>
        <v>199907.14285714284</v>
      </c>
      <c r="G84" s="10">
        <f>'G) Solidarité'!I73</f>
        <v>439324.94001811009</v>
      </c>
      <c r="H84" s="14">
        <f t="shared" si="4"/>
        <v>639232.08287525293</v>
      </c>
      <c r="I84" s="58">
        <f t="shared" si="5"/>
        <v>111822.83738725516</v>
      </c>
    </row>
    <row r="85" spans="1:9" x14ac:dyDescent="0.25">
      <c r="A85" s="50">
        <f>'A) Base RI'!A76</f>
        <v>5513</v>
      </c>
      <c r="B85" s="33" t="str">
        <f>'A) Base RI'!B76</f>
        <v>Bioley-Orjulaz</v>
      </c>
      <c r="C85" s="32">
        <f>'D) Ecrêtage'!C74</f>
        <v>21045.596470588232</v>
      </c>
      <c r="D85" s="14">
        <f>'A) Base RI'!V76</f>
        <v>499</v>
      </c>
      <c r="E85" s="10">
        <f t="shared" si="3"/>
        <v>421169.91892039927</v>
      </c>
      <c r="F85" s="14">
        <f>'F) Population'!K77</f>
        <v>61621.981891348085</v>
      </c>
      <c r="G85" s="10">
        <f>'G) Solidarité'!I74</f>
        <v>27969.319497296106</v>
      </c>
      <c r="H85" s="14">
        <f t="shared" si="4"/>
        <v>89591.301388644191</v>
      </c>
      <c r="I85" s="58">
        <f t="shared" si="5"/>
        <v>331578.61753175507</v>
      </c>
    </row>
    <row r="86" spans="1:9" x14ac:dyDescent="0.25">
      <c r="A86" s="50">
        <f>'A) Base RI'!A77</f>
        <v>5514</v>
      </c>
      <c r="B86" s="33" t="str">
        <f>'A) Base RI'!B77</f>
        <v>Bottens</v>
      </c>
      <c r="C86" s="32">
        <f>'D) Ecrêtage'!C75</f>
        <v>40912.963623188407</v>
      </c>
      <c r="D86" s="14">
        <f>'A) Base RI'!V77</f>
        <v>1263</v>
      </c>
      <c r="E86" s="10">
        <f t="shared" si="3"/>
        <v>818760.80804137373</v>
      </c>
      <c r="F86" s="14">
        <f>'F) Population'!K78</f>
        <v>214429.67806841043</v>
      </c>
      <c r="G86" s="10">
        <f>'G) Solidarité'!I75</f>
        <v>307020.96456814307</v>
      </c>
      <c r="H86" s="14">
        <f t="shared" si="4"/>
        <v>521450.6426365535</v>
      </c>
      <c r="I86" s="58">
        <f t="shared" si="5"/>
        <v>297310.16540482023</v>
      </c>
    </row>
    <row r="87" spans="1:9" x14ac:dyDescent="0.25">
      <c r="A87" s="50">
        <f>'A) Base RI'!A78</f>
        <v>5515</v>
      </c>
      <c r="B87" s="33" t="str">
        <f>'A) Base RI'!B78</f>
        <v>Bretigny-sur-Morrens</v>
      </c>
      <c r="C87" s="32">
        <f>'D) Ecrêtage'!C76</f>
        <v>27693.425342465755</v>
      </c>
      <c r="D87" s="14">
        <f>'A) Base RI'!V78</f>
        <v>825</v>
      </c>
      <c r="E87" s="10">
        <f t="shared" si="3"/>
        <v>554207.98942024133</v>
      </c>
      <c r="F87" s="14">
        <f>'F) Population'!K79</f>
        <v>101880.03018108651</v>
      </c>
      <c r="G87" s="10">
        <f>'G) Solidarité'!I76</f>
        <v>203924.15311543274</v>
      </c>
      <c r="H87" s="14">
        <f t="shared" si="4"/>
        <v>305804.18329651922</v>
      </c>
      <c r="I87" s="58">
        <f t="shared" si="5"/>
        <v>248403.80612372211</v>
      </c>
    </row>
    <row r="88" spans="1:9" x14ac:dyDescent="0.25">
      <c r="A88" s="50">
        <f>'A) Base RI'!A79</f>
        <v>5516</v>
      </c>
      <c r="B88" s="33" t="str">
        <f>'A) Base RI'!B79</f>
        <v>Cugy</v>
      </c>
      <c r="C88" s="32">
        <f>'D) Ecrêtage'!C77</f>
        <v>110018.3817142857</v>
      </c>
      <c r="D88" s="14">
        <f>'A) Base RI'!V79</f>
        <v>2744</v>
      </c>
      <c r="E88" s="10">
        <f t="shared" si="3"/>
        <v>2201716.3054093341</v>
      </c>
      <c r="F88" s="14">
        <f>'F) Population'!K80</f>
        <v>726521.93158953707</v>
      </c>
      <c r="G88" s="10">
        <f>'G) Solidarité'!I77</f>
        <v>274376.95454445673</v>
      </c>
      <c r="H88" s="14">
        <f t="shared" si="4"/>
        <v>1000898.8861339937</v>
      </c>
      <c r="I88" s="58">
        <f t="shared" si="5"/>
        <v>1200817.4192753404</v>
      </c>
    </row>
    <row r="89" spans="1:9" x14ac:dyDescent="0.25">
      <c r="A89" s="50">
        <f>'A) Base RI'!A80</f>
        <v>5518</v>
      </c>
      <c r="B89" s="33" t="str">
        <f>'A) Base RI'!B80</f>
        <v>Echallens</v>
      </c>
      <c r="C89" s="32">
        <f>'D) Ecrêtage'!C78</f>
        <v>186251.15094594596</v>
      </c>
      <c r="D89" s="14">
        <f>'A) Base RI'!V80</f>
        <v>5728</v>
      </c>
      <c r="E89" s="10">
        <f t="shared" si="3"/>
        <v>3727306.1969216112</v>
      </c>
      <c r="F89" s="14">
        <f>'F) Population'!K81</f>
        <v>2234494.5674044262</v>
      </c>
      <c r="G89" s="10">
        <f>'G) Solidarité'!I78</f>
        <v>1586236.0023053517</v>
      </c>
      <c r="H89" s="14">
        <f t="shared" si="4"/>
        <v>3820730.5697097778</v>
      </c>
      <c r="I89" s="58">
        <f t="shared" si="5"/>
        <v>-93424.372788166627</v>
      </c>
    </row>
    <row r="90" spans="1:9" x14ac:dyDescent="0.25">
      <c r="A90" s="50">
        <f>'A) Base RI'!A81</f>
        <v>5520</v>
      </c>
      <c r="B90" s="33" t="str">
        <f>'A) Base RI'!B81</f>
        <v>Essertines-sur-Yverdon</v>
      </c>
      <c r="C90" s="32">
        <f>'D) Ecrêtage'!C79</f>
        <v>32026.22082191781</v>
      </c>
      <c r="D90" s="14">
        <f>'A) Base RI'!V81</f>
        <v>981</v>
      </c>
      <c r="E90" s="10">
        <f t="shared" si="3"/>
        <v>640917.0130076583</v>
      </c>
      <c r="F90" s="14">
        <f>'F) Population'!K82</f>
        <v>121144.61770623742</v>
      </c>
      <c r="G90" s="10">
        <f>'G) Solidarité'!I79</f>
        <v>261654.96376022891</v>
      </c>
      <c r="H90" s="14">
        <f t="shared" si="4"/>
        <v>382799.5814664663</v>
      </c>
      <c r="I90" s="58">
        <f t="shared" si="5"/>
        <v>258117.431541192</v>
      </c>
    </row>
    <row r="91" spans="1:9" x14ac:dyDescent="0.25">
      <c r="A91" s="50">
        <f>'A) Base RI'!A82</f>
        <v>5521</v>
      </c>
      <c r="B91" s="33" t="str">
        <f>'A) Base RI'!B82</f>
        <v>Etagnières</v>
      </c>
      <c r="C91" s="32">
        <f>'D) Ecrêtage'!C80</f>
        <v>40939.440821917808</v>
      </c>
      <c r="D91" s="14">
        <f>'A) Base RI'!V82</f>
        <v>1119</v>
      </c>
      <c r="E91" s="10">
        <f t="shared" si="3"/>
        <v>819290.67658929946</v>
      </c>
      <c r="F91" s="14">
        <f>'F) Population'!K83</f>
        <v>164638.1287726358</v>
      </c>
      <c r="G91" s="10">
        <f>'G) Solidarité'!I80</f>
        <v>204961.92176776455</v>
      </c>
      <c r="H91" s="14">
        <f t="shared" si="4"/>
        <v>369600.05054040032</v>
      </c>
      <c r="I91" s="58">
        <f t="shared" si="5"/>
        <v>449690.62604889914</v>
      </c>
    </row>
    <row r="92" spans="1:9" x14ac:dyDescent="0.25">
      <c r="A92" s="50">
        <f>'A) Base RI'!A83</f>
        <v>5522</v>
      </c>
      <c r="B92" s="33" t="str">
        <f>'A) Base RI'!B83</f>
        <v>Fey</v>
      </c>
      <c r="C92" s="32">
        <f>'D) Ecrêtage'!C81</f>
        <v>20215.813200000001</v>
      </c>
      <c r="D92" s="14">
        <f>'A) Base RI'!V83</f>
        <v>703</v>
      </c>
      <c r="E92" s="10">
        <f t="shared" si="3"/>
        <v>404564.08152902115</v>
      </c>
      <c r="F92" s="14">
        <f>'F) Population'!K84</f>
        <v>86814.134808853109</v>
      </c>
      <c r="G92" s="10">
        <f>'G) Solidarité'!I81</f>
        <v>259150.02424420393</v>
      </c>
      <c r="H92" s="14">
        <f t="shared" si="4"/>
        <v>345964.15905305702</v>
      </c>
      <c r="I92" s="58">
        <f t="shared" si="5"/>
        <v>58599.922475964122</v>
      </c>
    </row>
    <row r="93" spans="1:9" x14ac:dyDescent="0.25">
      <c r="A93" s="50">
        <f>'A) Base RI'!A84</f>
        <v>5523</v>
      </c>
      <c r="B93" s="33" t="str">
        <f>'A) Base RI'!B84</f>
        <v>Froideville</v>
      </c>
      <c r="C93" s="32">
        <f>'D) Ecrêtage'!C82</f>
        <v>83831.156184210529</v>
      </c>
      <c r="D93" s="14">
        <f>'A) Base RI'!V84</f>
        <v>2561</v>
      </c>
      <c r="E93" s="10">
        <f t="shared" si="3"/>
        <v>1677650.7761350432</v>
      </c>
      <c r="F93" s="14">
        <f>'F) Population'!K85</f>
        <v>663245.17102615698</v>
      </c>
      <c r="G93" s="10">
        <f>'G) Solidarité'!I82</f>
        <v>735236.25522453582</v>
      </c>
      <c r="H93" s="14">
        <f t="shared" si="4"/>
        <v>1398481.4262506929</v>
      </c>
      <c r="I93" s="58">
        <f t="shared" si="5"/>
        <v>279169.34988435032</v>
      </c>
    </row>
    <row r="94" spans="1:9" x14ac:dyDescent="0.25">
      <c r="A94" s="50">
        <f>'A) Base RI'!A85</f>
        <v>5527</v>
      </c>
      <c r="B94" s="33" t="str">
        <f>'A) Base RI'!B85</f>
        <v>Morrens</v>
      </c>
      <c r="C94" s="32">
        <f>'D) Ecrêtage'!C83</f>
        <v>39666.797042253522</v>
      </c>
      <c r="D94" s="14">
        <f>'A) Base RI'!V85</f>
        <v>1092</v>
      </c>
      <c r="E94" s="10">
        <f t="shared" si="3"/>
        <v>793822.20016741089</v>
      </c>
      <c r="F94" s="14">
        <f>'F) Population'!K86</f>
        <v>155302.21327967805</v>
      </c>
      <c r="G94" s="10">
        <f>'G) Solidarité'!I83</f>
        <v>194921.94749895137</v>
      </c>
      <c r="H94" s="14">
        <f t="shared" si="4"/>
        <v>350224.16077862942</v>
      </c>
      <c r="I94" s="58">
        <f t="shared" si="5"/>
        <v>443598.03938878147</v>
      </c>
    </row>
    <row r="95" spans="1:9" x14ac:dyDescent="0.25">
      <c r="A95" s="50">
        <f>'A) Base RI'!A86</f>
        <v>5529</v>
      </c>
      <c r="B95" s="33" t="str">
        <f>'A) Base RI'!B86</f>
        <v>Oulens-sous-Echallens</v>
      </c>
      <c r="C95" s="32">
        <f>'D) Ecrêtage'!C84</f>
        <v>20224.362535211272</v>
      </c>
      <c r="D95" s="14">
        <f>'A) Base RI'!V86</f>
        <v>577</v>
      </c>
      <c r="E95" s="10">
        <f t="shared" si="3"/>
        <v>404735.17303611082</v>
      </c>
      <c r="F95" s="14">
        <f>'F) Population'!K87</f>
        <v>71254.275653923542</v>
      </c>
      <c r="G95" s="10">
        <f>'G) Solidarité'!I84</f>
        <v>117744.5920563051</v>
      </c>
      <c r="H95" s="14">
        <f t="shared" si="4"/>
        <v>188998.86771022866</v>
      </c>
      <c r="I95" s="58">
        <f t="shared" si="5"/>
        <v>215736.30532588216</v>
      </c>
    </row>
    <row r="96" spans="1:9" x14ac:dyDescent="0.25">
      <c r="A96" s="50">
        <f>'A) Base RI'!A87</f>
        <v>5530</v>
      </c>
      <c r="B96" s="33" t="str">
        <f>'A) Base RI'!B87</f>
        <v>Pailly</v>
      </c>
      <c r="C96" s="32">
        <f>'D) Ecrêtage'!C85</f>
        <v>16275.145870967741</v>
      </c>
      <c r="D96" s="14">
        <f>'A) Base RI'!V87</f>
        <v>543</v>
      </c>
      <c r="E96" s="10">
        <f t="shared" si="3"/>
        <v>325702.42789139471</v>
      </c>
      <c r="F96" s="14">
        <f>'F) Population'!K88</f>
        <v>67055.583501006025</v>
      </c>
      <c r="G96" s="10">
        <f>'G) Solidarité'!I85</f>
        <v>197947.77493807263</v>
      </c>
      <c r="H96" s="14">
        <f t="shared" si="4"/>
        <v>265003.35843907867</v>
      </c>
      <c r="I96" s="58">
        <f t="shared" si="5"/>
        <v>60699.069452316035</v>
      </c>
    </row>
    <row r="97" spans="1:9" x14ac:dyDescent="0.25">
      <c r="A97" s="50">
        <f>'A) Base RI'!A88</f>
        <v>5531</v>
      </c>
      <c r="B97" s="33" t="str">
        <f>'A) Base RI'!B88</f>
        <v>Penthéréaz</v>
      </c>
      <c r="C97" s="32">
        <f>'D) Ecrêtage'!C86</f>
        <v>13115.607307692309</v>
      </c>
      <c r="D97" s="14">
        <f>'A) Base RI'!V88</f>
        <v>418</v>
      </c>
      <c r="E97" s="10">
        <f t="shared" si="3"/>
        <v>262472.9251124984</v>
      </c>
      <c r="F97" s="14">
        <f>'F) Population'!K89</f>
        <v>51619.215291750501</v>
      </c>
      <c r="G97" s="10">
        <f>'G) Solidarité'!I86</f>
        <v>140135.93693378911</v>
      </c>
      <c r="H97" s="14">
        <f t="shared" si="4"/>
        <v>191755.15222553961</v>
      </c>
      <c r="I97" s="58">
        <f t="shared" si="5"/>
        <v>70717.772886958788</v>
      </c>
    </row>
    <row r="98" spans="1:9" x14ac:dyDescent="0.25">
      <c r="A98" s="50">
        <f>'A) Base RI'!A89</f>
        <v>5533</v>
      </c>
      <c r="B98" s="33" t="str">
        <f>'A) Base RI'!B89</f>
        <v>Poliez-Pittet</v>
      </c>
      <c r="C98" s="32">
        <f>'D) Ecrêtage'!C87</f>
        <v>27509.250422535213</v>
      </c>
      <c r="D98" s="14">
        <f>'A) Base RI'!V89</f>
        <v>849</v>
      </c>
      <c r="E98" s="10">
        <f t="shared" si="3"/>
        <v>550522.23329530936</v>
      </c>
      <c r="F98" s="14">
        <f>'F) Population'!K90</f>
        <v>104843.81287726357</v>
      </c>
      <c r="G98" s="10">
        <f>'G) Solidarité'!I87</f>
        <v>218375.63816598838</v>
      </c>
      <c r="H98" s="14">
        <f t="shared" si="4"/>
        <v>323219.45104325196</v>
      </c>
      <c r="I98" s="58">
        <f t="shared" si="5"/>
        <v>227302.7822520574</v>
      </c>
    </row>
    <row r="99" spans="1:9" x14ac:dyDescent="0.25">
      <c r="A99" s="50">
        <f>'A) Base RI'!A90</f>
        <v>5534</v>
      </c>
      <c r="B99" s="33" t="str">
        <f>'A) Base RI'!B90</f>
        <v>Rueyres</v>
      </c>
      <c r="C99" s="32">
        <f>'D) Ecrêtage'!C88</f>
        <v>9282.5224657534254</v>
      </c>
      <c r="D99" s="14">
        <f>'A) Base RI'!V90</f>
        <v>257</v>
      </c>
      <c r="E99" s="10">
        <f t="shared" si="3"/>
        <v>185764.24002720995</v>
      </c>
      <c r="F99" s="14">
        <f>'F) Population'!K91</f>
        <v>31737.173038229372</v>
      </c>
      <c r="G99" s="10">
        <f>'G) Solidarité'!I88</f>
        <v>49619.121385627383</v>
      </c>
      <c r="H99" s="14">
        <f t="shared" si="4"/>
        <v>81356.294423856758</v>
      </c>
      <c r="I99" s="58">
        <f t="shared" si="5"/>
        <v>104407.94560335319</v>
      </c>
    </row>
    <row r="100" spans="1:9" x14ac:dyDescent="0.25">
      <c r="A100" s="50">
        <f>'A) Base RI'!A91</f>
        <v>5535</v>
      </c>
      <c r="B100" s="33" t="str">
        <f>'A) Base RI'!B91</f>
        <v>Saint-Barthélemy</v>
      </c>
      <c r="C100" s="32">
        <f>'D) Ecrêtage'!C89</f>
        <v>23206.167922077926</v>
      </c>
      <c r="D100" s="14">
        <f>'A) Base RI'!V91</f>
        <v>769</v>
      </c>
      <c r="E100" s="10">
        <f t="shared" si="3"/>
        <v>464407.83352725522</v>
      </c>
      <c r="F100" s="14">
        <f>'F) Population'!K92</f>
        <v>94964.537223340027</v>
      </c>
      <c r="G100" s="10">
        <f>'G) Solidarité'!I89</f>
        <v>273019.32261688297</v>
      </c>
      <c r="H100" s="14">
        <f t="shared" si="4"/>
        <v>367983.85984022298</v>
      </c>
      <c r="I100" s="58">
        <f t="shared" si="5"/>
        <v>96423.973687032238</v>
      </c>
    </row>
    <row r="101" spans="1:9" x14ac:dyDescent="0.25">
      <c r="A101" s="50">
        <f>'A) Base RI'!A92</f>
        <v>5537</v>
      </c>
      <c r="B101" s="33" t="str">
        <f>'A) Base RI'!B92</f>
        <v>Villars-le-Terroir</v>
      </c>
      <c r="C101" s="32">
        <f>'D) Ecrêtage'!C90</f>
        <v>33504.625479452057</v>
      </c>
      <c r="D101" s="14">
        <f>'A) Base RI'!V92</f>
        <v>1150</v>
      </c>
      <c r="E101" s="10">
        <f t="shared" si="3"/>
        <v>670503.22932684992</v>
      </c>
      <c r="F101" s="14">
        <f>'F) Population'!K93</f>
        <v>175357.14285714284</v>
      </c>
      <c r="G101" s="10">
        <f>'G) Solidarité'!I90</f>
        <v>392401.65833350684</v>
      </c>
      <c r="H101" s="14">
        <f t="shared" si="4"/>
        <v>567758.80119064962</v>
      </c>
      <c r="I101" s="58">
        <f t="shared" si="5"/>
        <v>102744.42813620029</v>
      </c>
    </row>
    <row r="102" spans="1:9" x14ac:dyDescent="0.25">
      <c r="A102" s="50">
        <f>'A) Base RI'!A93</f>
        <v>5539</v>
      </c>
      <c r="B102" s="33" t="str">
        <f>'A) Base RI'!B93</f>
        <v>Vuarrens</v>
      </c>
      <c r="C102" s="32">
        <f>'D) Ecrêtage'!C91</f>
        <v>26926.432233333333</v>
      </c>
      <c r="D102" s="14">
        <f>'A) Base RI'!V93</f>
        <v>1003</v>
      </c>
      <c r="E102" s="10">
        <f t="shared" si="3"/>
        <v>538858.72497733252</v>
      </c>
      <c r="F102" s="14">
        <f>'F) Population'!K94</f>
        <v>124528.26961770623</v>
      </c>
      <c r="G102" s="10">
        <f>'G) Solidarité'!I91</f>
        <v>412646.56630404579</v>
      </c>
      <c r="H102" s="14">
        <f t="shared" si="4"/>
        <v>537174.83592175203</v>
      </c>
      <c r="I102" s="58">
        <f t="shared" si="5"/>
        <v>1683.8890555804828</v>
      </c>
    </row>
    <row r="103" spans="1:9" x14ac:dyDescent="0.25">
      <c r="A103" s="50">
        <f>'A) Base RI'!A94</f>
        <v>5540</v>
      </c>
      <c r="B103" s="33" t="str">
        <f>'A) Base RI'!B94</f>
        <v>Montilliez</v>
      </c>
      <c r="C103" s="32">
        <f>'D) Ecrêtage'!C92</f>
        <v>56983.650067567571</v>
      </c>
      <c r="D103" s="14">
        <f>'A) Base RI'!V94</f>
        <v>1731</v>
      </c>
      <c r="E103" s="10">
        <f t="shared" si="3"/>
        <v>1140371.5410150613</v>
      </c>
      <c r="F103" s="14">
        <f>'F) Population'!K95</f>
        <v>376252.21327967802</v>
      </c>
      <c r="G103" s="10">
        <f>'G) Solidarité'!I92</f>
        <v>464132.79646958353</v>
      </c>
      <c r="H103" s="14">
        <f t="shared" si="4"/>
        <v>840385.00974926155</v>
      </c>
      <c r="I103" s="58">
        <f t="shared" si="5"/>
        <v>299986.53126579977</v>
      </c>
    </row>
    <row r="104" spans="1:9" x14ac:dyDescent="0.25">
      <c r="A104" s="50">
        <f>'A) Base RI'!A95</f>
        <v>5541</v>
      </c>
      <c r="B104" s="33" t="str">
        <f>'A) Base RI'!B95</f>
        <v>Goumoëns</v>
      </c>
      <c r="C104" s="32">
        <f>'D) Ecrêtage'!C93</f>
        <v>38548.273636363643</v>
      </c>
      <c r="D104" s="14">
        <f>'A) Base RI'!V95</f>
        <v>1110</v>
      </c>
      <c r="E104" s="10">
        <f t="shared" si="3"/>
        <v>771438.02052072959</v>
      </c>
      <c r="F104" s="14">
        <f>'F) Population'!K96</f>
        <v>161526.15694164988</v>
      </c>
      <c r="G104" s="10">
        <f>'G) Solidarité'!I93</f>
        <v>274865.20621198474</v>
      </c>
      <c r="H104" s="14">
        <f t="shared" si="4"/>
        <v>436391.36315363459</v>
      </c>
      <c r="I104" s="58">
        <f t="shared" si="5"/>
        <v>335046.657367095</v>
      </c>
    </row>
    <row r="105" spans="1:9" x14ac:dyDescent="0.25">
      <c r="A105" s="50">
        <f>'A) Base RI'!A96</f>
        <v>5551</v>
      </c>
      <c r="B105" s="33" t="str">
        <f>'A) Base RI'!B96</f>
        <v>Bonvillars</v>
      </c>
      <c r="C105" s="32">
        <f>'D) Ecrêtage'!C94</f>
        <v>18775.330727272729</v>
      </c>
      <c r="D105" s="14">
        <f>'A) Base RI'!V96</f>
        <v>495</v>
      </c>
      <c r="E105" s="10">
        <f t="shared" si="3"/>
        <v>375736.77377879113</v>
      </c>
      <c r="F105" s="14">
        <f>'F) Population'!K97</f>
        <v>61128.018108651908</v>
      </c>
      <c r="G105" s="10">
        <f>'G) Solidarité'!I94</f>
        <v>43455.103021216979</v>
      </c>
      <c r="H105" s="14">
        <f t="shared" si="4"/>
        <v>104583.12112986889</v>
      </c>
      <c r="I105" s="58">
        <f t="shared" si="5"/>
        <v>271153.65264892223</v>
      </c>
    </row>
    <row r="106" spans="1:9" x14ac:dyDescent="0.25">
      <c r="A106" s="50">
        <f>'A) Base RI'!A97</f>
        <v>5552</v>
      </c>
      <c r="B106" s="33" t="str">
        <f>'A) Base RI'!B97</f>
        <v>Bullet</v>
      </c>
      <c r="C106" s="32">
        <f>'D) Ecrêtage'!C95</f>
        <v>17788.918428571429</v>
      </c>
      <c r="D106" s="14">
        <f>'A) Base RI'!V97</f>
        <v>644</v>
      </c>
      <c r="E106" s="10">
        <f t="shared" si="3"/>
        <v>355996.43577284727</v>
      </c>
      <c r="F106" s="14">
        <f>'F) Population'!K98</f>
        <v>79528.169014084502</v>
      </c>
      <c r="G106" s="10">
        <f>'G) Solidarité'!I95</f>
        <v>221045.32074884427</v>
      </c>
      <c r="H106" s="14">
        <f t="shared" si="4"/>
        <v>300573.4897629288</v>
      </c>
      <c r="I106" s="58">
        <f t="shared" si="5"/>
        <v>55422.946009918465</v>
      </c>
    </row>
    <row r="107" spans="1:9" x14ac:dyDescent="0.25">
      <c r="A107" s="50">
        <f>'A) Base RI'!A98</f>
        <v>5553</v>
      </c>
      <c r="B107" s="33" t="str">
        <f>'A) Base RI'!B98</f>
        <v>Champagne</v>
      </c>
      <c r="C107" s="32">
        <f>'D) Ecrêtage'!C96</f>
        <v>34060.380307692314</v>
      </c>
      <c r="D107" s="14">
        <f>'A) Base RI'!V98</f>
        <v>1027</v>
      </c>
      <c r="E107" s="10">
        <f t="shared" si="3"/>
        <v>681625.13866672944</v>
      </c>
      <c r="F107" s="14">
        <f>'F) Population'!K99</f>
        <v>132826.861167002</v>
      </c>
      <c r="G107" s="10">
        <f>'G) Solidarité'!I96</f>
        <v>208221.95606991436</v>
      </c>
      <c r="H107" s="14">
        <f t="shared" si="4"/>
        <v>341048.81723691639</v>
      </c>
      <c r="I107" s="58">
        <f t="shared" si="5"/>
        <v>340576.32142981305</v>
      </c>
    </row>
    <row r="108" spans="1:9" x14ac:dyDescent="0.25">
      <c r="A108" s="50">
        <f>'A) Base RI'!A99</f>
        <v>5554</v>
      </c>
      <c r="B108" s="33" t="str">
        <f>'A) Base RI'!B99</f>
        <v>Concise</v>
      </c>
      <c r="C108" s="32">
        <f>'D) Ecrêtage'!C97</f>
        <v>31701.023466666669</v>
      </c>
      <c r="D108" s="14">
        <f>'A) Base RI'!V99</f>
        <v>969</v>
      </c>
      <c r="E108" s="10">
        <f t="shared" si="3"/>
        <v>634409.07943895855</v>
      </c>
      <c r="F108" s="14">
        <f>'F) Population'!K100</f>
        <v>119662.72635814888</v>
      </c>
      <c r="G108" s="10">
        <f>'G) Solidarité'!I97</f>
        <v>271319.88811855839</v>
      </c>
      <c r="H108" s="14">
        <f t="shared" si="4"/>
        <v>390982.6144767073</v>
      </c>
      <c r="I108" s="58">
        <f t="shared" si="5"/>
        <v>243426.46496225125</v>
      </c>
    </row>
    <row r="109" spans="1:9" x14ac:dyDescent="0.25">
      <c r="A109" s="50">
        <f>'A) Base RI'!A100</f>
        <v>5555</v>
      </c>
      <c r="B109" s="33" t="str">
        <f>'A) Base RI'!B100</f>
        <v>Corcelles-près-Concise</v>
      </c>
      <c r="C109" s="32">
        <f>'D) Ecrêtage'!C98</f>
        <v>13631.876197183097</v>
      </c>
      <c r="D109" s="14">
        <f>'A) Base RI'!V100</f>
        <v>377</v>
      </c>
      <c r="E109" s="10">
        <f t="shared" si="3"/>
        <v>272804.63163513527</v>
      </c>
      <c r="F109" s="14">
        <f>'F) Population'!K101</f>
        <v>46556.086519114688</v>
      </c>
      <c r="G109" s="10">
        <f>'G) Solidarité'!I98</f>
        <v>68550.8319284139</v>
      </c>
      <c r="H109" s="14">
        <f t="shared" si="4"/>
        <v>115106.91844752859</v>
      </c>
      <c r="I109" s="58">
        <f t="shared" si="5"/>
        <v>157697.71318760669</v>
      </c>
    </row>
    <row r="110" spans="1:9" x14ac:dyDescent="0.25">
      <c r="A110" s="50">
        <f>'A) Base RI'!A101</f>
        <v>5556</v>
      </c>
      <c r="B110" s="33" t="str">
        <f>'A) Base RI'!B101</f>
        <v>Fiez</v>
      </c>
      <c r="C110" s="32">
        <f>'D) Ecrêtage'!C99</f>
        <v>12908.608502415458</v>
      </c>
      <c r="D110" s="14">
        <f>'A) Base RI'!V101</f>
        <v>425</v>
      </c>
      <c r="E110" s="10">
        <f t="shared" si="3"/>
        <v>258330.41149180301</v>
      </c>
      <c r="F110" s="14">
        <f>'F) Population'!K102</f>
        <v>52483.651911468805</v>
      </c>
      <c r="G110" s="10">
        <f>'G) Solidarité'!I99</f>
        <v>119584.14733030985</v>
      </c>
      <c r="H110" s="14">
        <f t="shared" si="4"/>
        <v>172067.79924177864</v>
      </c>
      <c r="I110" s="58">
        <f t="shared" si="5"/>
        <v>86262.612250024365</v>
      </c>
    </row>
    <row r="111" spans="1:9" x14ac:dyDescent="0.25">
      <c r="A111" s="50">
        <f>'A) Base RI'!A102</f>
        <v>5557</v>
      </c>
      <c r="B111" s="33" t="str">
        <f>'A) Base RI'!B102</f>
        <v>Fontaines-sur-Grandson</v>
      </c>
      <c r="C111" s="32">
        <f>'D) Ecrêtage'!C100</f>
        <v>4431.6020289855087</v>
      </c>
      <c r="D111" s="14">
        <f>'A) Base RI'!V102</f>
        <v>210</v>
      </c>
      <c r="E111" s="10">
        <f t="shared" si="3"/>
        <v>88686.365807865135</v>
      </c>
      <c r="F111" s="14">
        <f>'F) Population'!K103</f>
        <v>25933.098591549293</v>
      </c>
      <c r="G111" s="10">
        <f>'G) Solidarité'!I100</f>
        <v>95981.327177862317</v>
      </c>
      <c r="H111" s="14">
        <f t="shared" si="4"/>
        <v>121914.42576941161</v>
      </c>
      <c r="I111" s="58">
        <f t="shared" si="5"/>
        <v>-33228.059961546474</v>
      </c>
    </row>
    <row r="112" spans="1:9" x14ac:dyDescent="0.25">
      <c r="A112" s="50">
        <f>'A) Base RI'!A103</f>
        <v>5559</v>
      </c>
      <c r="B112" s="33" t="str">
        <f>'A) Base RI'!B103</f>
        <v>Giez</v>
      </c>
      <c r="C112" s="32">
        <f>'D) Ecrêtage'!C101</f>
        <v>15789.686212121214</v>
      </c>
      <c r="D112" s="14">
        <f>'A) Base RI'!V103</f>
        <v>421</v>
      </c>
      <c r="E112" s="10">
        <f t="shared" si="3"/>
        <v>315987.28365961887</v>
      </c>
      <c r="F112" s="14">
        <f>'F) Population'!K104</f>
        <v>51989.688128772628</v>
      </c>
      <c r="G112" s="10">
        <f>'G) Solidarité'!I101</f>
        <v>56321.277264152821</v>
      </c>
      <c r="H112" s="14">
        <f t="shared" si="4"/>
        <v>108310.96539292546</v>
      </c>
      <c r="I112" s="58">
        <f t="shared" si="5"/>
        <v>207676.31826669342</v>
      </c>
    </row>
    <row r="113" spans="1:9" x14ac:dyDescent="0.25">
      <c r="A113" s="50">
        <f>'A) Base RI'!A104</f>
        <v>5560</v>
      </c>
      <c r="B113" s="33" t="str">
        <f>'A) Base RI'!B104</f>
        <v>Grandevent</v>
      </c>
      <c r="C113" s="32">
        <f>'D) Ecrêtage'!C102</f>
        <v>6263.3176470588232</v>
      </c>
      <c r="D113" s="14">
        <f>'A) Base RI'!V104</f>
        <v>229</v>
      </c>
      <c r="E113" s="10">
        <f t="shared" si="3"/>
        <v>125343.13243490312</v>
      </c>
      <c r="F113" s="14">
        <f>'F) Population'!K105</f>
        <v>28279.426559356136</v>
      </c>
      <c r="G113" s="10">
        <f>'G) Solidarité'!I102</f>
        <v>75319.812474348349</v>
      </c>
      <c r="H113" s="14">
        <f t="shared" si="4"/>
        <v>103599.23903370448</v>
      </c>
      <c r="I113" s="58">
        <f t="shared" si="5"/>
        <v>21743.893401198642</v>
      </c>
    </row>
    <row r="114" spans="1:9" x14ac:dyDescent="0.25">
      <c r="A114" s="50">
        <f>'A) Base RI'!A105</f>
        <v>5561</v>
      </c>
      <c r="B114" s="33" t="str">
        <f>'A) Base RI'!B105</f>
        <v>Grandson</v>
      </c>
      <c r="C114" s="32">
        <f>'D) Ecrêtage'!C103</f>
        <v>115658.41101449275</v>
      </c>
      <c r="D114" s="14">
        <f>'A) Base RI'!V105</f>
        <v>3284</v>
      </c>
      <c r="E114" s="10">
        <f t="shared" si="3"/>
        <v>2314586.0302658654</v>
      </c>
      <c r="F114" s="14">
        <f>'F) Population'!K106</f>
        <v>955325.95573440637</v>
      </c>
      <c r="G114" s="10">
        <f>'G) Solidarité'!I103</f>
        <v>622473.99279122648</v>
      </c>
      <c r="H114" s="14">
        <f t="shared" si="4"/>
        <v>1577799.9485256327</v>
      </c>
      <c r="I114" s="58">
        <f t="shared" si="5"/>
        <v>736786.08174023265</v>
      </c>
    </row>
    <row r="115" spans="1:9" x14ac:dyDescent="0.25">
      <c r="A115" s="50">
        <f>'A) Base RI'!A106</f>
        <v>5562</v>
      </c>
      <c r="B115" s="33" t="str">
        <f>'A) Base RI'!B106</f>
        <v>Mauborget</v>
      </c>
      <c r="C115" s="32">
        <f>'D) Ecrêtage'!C104</f>
        <v>5902.7637857142863</v>
      </c>
      <c r="D115" s="14">
        <f>'A) Base RI'!V106</f>
        <v>119</v>
      </c>
      <c r="E115" s="10">
        <f t="shared" si="3"/>
        <v>118127.63532313742</v>
      </c>
      <c r="F115" s="14">
        <f>'F) Population'!K107</f>
        <v>14695.422535211266</v>
      </c>
      <c r="G115" s="10">
        <f>'G) Solidarité'!I104</f>
        <v>0</v>
      </c>
      <c r="H115" s="14">
        <f t="shared" si="4"/>
        <v>14695.422535211266</v>
      </c>
      <c r="I115" s="58">
        <f t="shared" si="5"/>
        <v>103432.21278792615</v>
      </c>
    </row>
    <row r="116" spans="1:9" x14ac:dyDescent="0.25">
      <c r="A116" s="50">
        <f>'A) Base RI'!A107</f>
        <v>5563</v>
      </c>
      <c r="B116" s="33" t="str">
        <f>'A) Base RI'!B107</f>
        <v>Mutrux</v>
      </c>
      <c r="C116" s="32">
        <f>'D) Ecrêtage'!C105</f>
        <v>3109.2766878980892</v>
      </c>
      <c r="D116" s="14">
        <f>'A) Base RI'!V107</f>
        <v>163</v>
      </c>
      <c r="E116" s="10">
        <f t="shared" si="3"/>
        <v>62223.649131220074</v>
      </c>
      <c r="F116" s="14">
        <f>'F) Population'!K108</f>
        <v>20129.024144869214</v>
      </c>
      <c r="G116" s="10">
        <f>'G) Solidarité'!I105</f>
        <v>104532.81697434625</v>
      </c>
      <c r="H116" s="14">
        <f t="shared" si="4"/>
        <v>124661.84111921546</v>
      </c>
      <c r="I116" s="58">
        <f t="shared" si="5"/>
        <v>-62438.191987995386</v>
      </c>
    </row>
    <row r="117" spans="1:9" x14ac:dyDescent="0.25">
      <c r="A117" s="50">
        <f>'A) Base RI'!A108</f>
        <v>5564</v>
      </c>
      <c r="B117" s="33" t="str">
        <f>'A) Base RI'!B108</f>
        <v>Novalles</v>
      </c>
      <c r="C117" s="32">
        <f>'D) Ecrêtage'!C106</f>
        <v>2625.7898355263155</v>
      </c>
      <c r="D117" s="14">
        <f>'A) Base RI'!V108</f>
        <v>101</v>
      </c>
      <c r="E117" s="10">
        <f t="shared" si="3"/>
        <v>52547.985212781015</v>
      </c>
      <c r="F117" s="14">
        <f>'F) Population'!K109</f>
        <v>12472.585513078469</v>
      </c>
      <c r="G117" s="10">
        <f>'G) Solidarité'!I106</f>
        <v>44637.165288952194</v>
      </c>
      <c r="H117" s="14">
        <f t="shared" si="4"/>
        <v>57109.750802030663</v>
      </c>
      <c r="I117" s="58">
        <f t="shared" si="5"/>
        <v>-4561.7655892496477</v>
      </c>
    </row>
    <row r="118" spans="1:9" x14ac:dyDescent="0.25">
      <c r="A118" s="50">
        <f>'A) Base RI'!A109</f>
        <v>5565</v>
      </c>
      <c r="B118" s="33" t="str">
        <f>'A) Base RI'!B109</f>
        <v>Onnens</v>
      </c>
      <c r="C118" s="32">
        <f>'D) Ecrêtage'!C107</f>
        <v>18487.846307692304</v>
      </c>
      <c r="D118" s="14">
        <f>'A) Base RI'!V109</f>
        <v>477</v>
      </c>
      <c r="E118" s="10">
        <f t="shared" si="3"/>
        <v>369983.56123122672</v>
      </c>
      <c r="F118" s="14">
        <f>'F) Population'!K110</f>
        <v>58905.181086519107</v>
      </c>
      <c r="G118" s="10">
        <f>'G) Solidarité'!I107</f>
        <v>51839.364070052179</v>
      </c>
      <c r="H118" s="14">
        <f t="shared" si="4"/>
        <v>110744.54515657129</v>
      </c>
      <c r="I118" s="58">
        <f t="shared" si="5"/>
        <v>259239.01607465543</v>
      </c>
    </row>
    <row r="119" spans="1:9" x14ac:dyDescent="0.25">
      <c r="A119" s="50">
        <f>'A) Base RI'!A110</f>
        <v>5566</v>
      </c>
      <c r="B119" s="33" t="str">
        <f>'A) Base RI'!B110</f>
        <v>Provence</v>
      </c>
      <c r="C119" s="32">
        <f>'D) Ecrêtage'!C108</f>
        <v>7938.210164609055</v>
      </c>
      <c r="D119" s="14">
        <f>'A) Base RI'!V110</f>
        <v>388</v>
      </c>
      <c r="E119" s="10">
        <f t="shared" si="3"/>
        <v>158861.51462011936</v>
      </c>
      <c r="F119" s="14">
        <f>'F) Population'!K111</f>
        <v>47914.486921529169</v>
      </c>
      <c r="G119" s="10">
        <f>'G) Solidarité'!I108</f>
        <v>250904.11294972236</v>
      </c>
      <c r="H119" s="14">
        <f t="shared" si="4"/>
        <v>298818.5998712515</v>
      </c>
      <c r="I119" s="58">
        <f t="shared" si="5"/>
        <v>-139957.08525113214</v>
      </c>
    </row>
    <row r="120" spans="1:9" x14ac:dyDescent="0.25">
      <c r="A120" s="50">
        <f>'A) Base RI'!A111</f>
        <v>5568</v>
      </c>
      <c r="B120" s="33" t="str">
        <f>'A) Base RI'!B111</f>
        <v>Sainte-Croix</v>
      </c>
      <c r="C120" s="32">
        <f>'D) Ecrêtage'!C109</f>
        <v>99640.524428571414</v>
      </c>
      <c r="D120" s="14">
        <f>'A) Base RI'!V111</f>
        <v>4919</v>
      </c>
      <c r="E120" s="10">
        <f t="shared" si="3"/>
        <v>1994031.9417135783</v>
      </c>
      <c r="F120" s="14">
        <f>'F) Population'!K112</f>
        <v>1762956.7404426557</v>
      </c>
      <c r="G120" s="10">
        <f>'G) Solidarité'!I109</f>
        <v>2395111.1429343428</v>
      </c>
      <c r="H120" s="14">
        <f t="shared" si="4"/>
        <v>4158067.8833769988</v>
      </c>
      <c r="I120" s="58">
        <f t="shared" si="5"/>
        <v>-2164035.9416634208</v>
      </c>
    </row>
    <row r="121" spans="1:9" x14ac:dyDescent="0.25">
      <c r="A121" s="50">
        <f>'A) Base RI'!A112</f>
        <v>5571</v>
      </c>
      <c r="B121" s="33" t="str">
        <f>'A) Base RI'!B112</f>
        <v>Tévenon</v>
      </c>
      <c r="C121" s="32">
        <f>'D) Ecrêtage'!C110</f>
        <v>21324.629931506846</v>
      </c>
      <c r="D121" s="14">
        <f>'A) Base RI'!V112</f>
        <v>843</v>
      </c>
      <c r="E121" s="10">
        <f t="shared" si="3"/>
        <v>426754.00869782176</v>
      </c>
      <c r="F121" s="14">
        <f>'F) Population'!K113</f>
        <v>104102.86720321931</v>
      </c>
      <c r="G121" s="10">
        <f>'G) Solidarité'!I110</f>
        <v>356282.20982025197</v>
      </c>
      <c r="H121" s="14">
        <f t="shared" si="4"/>
        <v>460385.0770234713</v>
      </c>
      <c r="I121" s="58">
        <f t="shared" si="5"/>
        <v>-33631.068325649539</v>
      </c>
    </row>
    <row r="122" spans="1:9" x14ac:dyDescent="0.25">
      <c r="A122" s="50">
        <f>'A) Base RI'!A113</f>
        <v>5581</v>
      </c>
      <c r="B122" s="33" t="str">
        <f>'A) Base RI'!B113</f>
        <v>Belmont-sur-Lausanne</v>
      </c>
      <c r="C122" s="32">
        <f>'D) Ecrêtage'!C111</f>
        <v>192051.94455635498</v>
      </c>
      <c r="D122" s="14">
        <f>'A) Base RI'!V113</f>
        <v>3662</v>
      </c>
      <c r="E122" s="10">
        <f t="shared" si="3"/>
        <v>3843393.1787272473</v>
      </c>
      <c r="F122" s="14">
        <f>'F) Population'!K114</f>
        <v>1142044.2655935613</v>
      </c>
      <c r="G122" s="10">
        <f>'G) Solidarité'!I111</f>
        <v>0</v>
      </c>
      <c r="H122" s="14">
        <f t="shared" si="4"/>
        <v>1142044.2655935613</v>
      </c>
      <c r="I122" s="58">
        <f t="shared" si="5"/>
        <v>2701348.9131336859</v>
      </c>
    </row>
    <row r="123" spans="1:9" x14ac:dyDescent="0.25">
      <c r="A123" s="50">
        <f>'A) Base RI'!A114</f>
        <v>5582</v>
      </c>
      <c r="B123" s="33" t="str">
        <f>'A) Base RI'!B114</f>
        <v>Cheseaux-sur-Lausanne</v>
      </c>
      <c r="C123" s="32">
        <f>'D) Ecrêtage'!C112</f>
        <v>179002.65087248324</v>
      </c>
      <c r="D123" s="14">
        <f>'A) Base RI'!V114</f>
        <v>4357</v>
      </c>
      <c r="E123" s="10">
        <f t="shared" si="3"/>
        <v>3582247.3390032221</v>
      </c>
      <c r="F123" s="14">
        <f>'F) Population'!K115</f>
        <v>1485349.0945674041</v>
      </c>
      <c r="G123" s="10">
        <f>'G) Solidarité'!I112</f>
        <v>398207.37221430056</v>
      </c>
      <c r="H123" s="14">
        <f t="shared" si="4"/>
        <v>1883556.4667817047</v>
      </c>
      <c r="I123" s="58">
        <f t="shared" si="5"/>
        <v>1698690.8722215174</v>
      </c>
    </row>
    <row r="124" spans="1:9" x14ac:dyDescent="0.25">
      <c r="A124" s="50">
        <f>'A) Base RI'!A115</f>
        <v>5583</v>
      </c>
      <c r="B124" s="33" t="str">
        <f>'A) Base RI'!B115</f>
        <v>Crissier</v>
      </c>
      <c r="C124" s="32">
        <f>'D) Ecrêtage'!C113</f>
        <v>294545.40292307688</v>
      </c>
      <c r="D124" s="14">
        <f>'A) Base RI'!V115</f>
        <v>8008</v>
      </c>
      <c r="E124" s="10">
        <f t="shared" si="3"/>
        <v>5894518.7721743518</v>
      </c>
      <c r="F124" s="14">
        <f>'F) Population'!K116</f>
        <v>3585979.4768611668</v>
      </c>
      <c r="G124" s="10">
        <f>'G) Solidarité'!I113</f>
        <v>1136566.0406152173</v>
      </c>
      <c r="H124" s="14">
        <f t="shared" si="4"/>
        <v>4722545.5174763836</v>
      </c>
      <c r="I124" s="58">
        <f t="shared" si="5"/>
        <v>1171973.2546979683</v>
      </c>
    </row>
    <row r="125" spans="1:9" x14ac:dyDescent="0.25">
      <c r="A125" s="50">
        <f>'A) Base RI'!A116</f>
        <v>5584</v>
      </c>
      <c r="B125" s="33" t="str">
        <f>'A) Base RI'!B116</f>
        <v>Epalinges</v>
      </c>
      <c r="C125" s="32">
        <f>'D) Ecrêtage'!C114</f>
        <v>414398.09409090912</v>
      </c>
      <c r="D125" s="14">
        <f>'A) Base RI'!V116</f>
        <v>9335</v>
      </c>
      <c r="E125" s="10">
        <f t="shared" si="3"/>
        <v>8293041.8215016713</v>
      </c>
      <c r="F125" s="14">
        <f>'F) Population'!K117</f>
        <v>4455306.3380281692</v>
      </c>
      <c r="G125" s="10">
        <f>'G) Solidarité'!I114</f>
        <v>134181.52342860689</v>
      </c>
      <c r="H125" s="14">
        <f t="shared" si="4"/>
        <v>4589487.861456776</v>
      </c>
      <c r="I125" s="58">
        <f t="shared" si="5"/>
        <v>3703553.9600448953</v>
      </c>
    </row>
    <row r="126" spans="1:9" x14ac:dyDescent="0.25">
      <c r="A126" s="50">
        <f>'A) Base RI'!A117</f>
        <v>5585</v>
      </c>
      <c r="B126" s="33" t="str">
        <f>'A) Base RI'!B117</f>
        <v>Jouxtens-Mézery</v>
      </c>
      <c r="C126" s="32">
        <f>'D) Ecrêtage'!C115</f>
        <v>171586.66471698115</v>
      </c>
      <c r="D126" s="14">
        <f>'A) Base RI'!V117</f>
        <v>1469</v>
      </c>
      <c r="E126" s="10">
        <f t="shared" si="3"/>
        <v>3433836.706299481</v>
      </c>
      <c r="F126" s="14">
        <f>'F) Population'!K118</f>
        <v>285659.25553319918</v>
      </c>
      <c r="G126" s="10">
        <f>'G) Solidarité'!I115</f>
        <v>0</v>
      </c>
      <c r="H126" s="14">
        <f t="shared" si="4"/>
        <v>285659.25553319918</v>
      </c>
      <c r="I126" s="58">
        <f t="shared" si="5"/>
        <v>3148177.4507662817</v>
      </c>
    </row>
    <row r="127" spans="1:9" x14ac:dyDescent="0.25">
      <c r="A127" s="50">
        <f>'A) Base RI'!A118</f>
        <v>5586</v>
      </c>
      <c r="B127" s="33" t="str">
        <f>'A) Base RI'!B118</f>
        <v>Lausanne</v>
      </c>
      <c r="C127" s="32">
        <f>'D) Ecrêtage'!C116</f>
        <v>5871810.1056962032</v>
      </c>
      <c r="D127" s="14">
        <f>'A) Base RI'!V118</f>
        <v>139624</v>
      </c>
      <c r="E127" s="10">
        <f t="shared" si="3"/>
        <v>117508182.27405311</v>
      </c>
      <c r="F127" s="14">
        <f>'F) Population'!K119</f>
        <v>138932451.10663983</v>
      </c>
      <c r="G127" s="10">
        <f>'G) Solidarité'!I116</f>
        <v>10982794.438869717</v>
      </c>
      <c r="H127" s="14">
        <f t="shared" si="4"/>
        <v>149915245.54550955</v>
      </c>
      <c r="I127" s="58">
        <f t="shared" si="5"/>
        <v>-32407063.271456435</v>
      </c>
    </row>
    <row r="128" spans="1:9" x14ac:dyDescent="0.25">
      <c r="A128" s="50">
        <f>'A) Base RI'!A119</f>
        <v>5587</v>
      </c>
      <c r="B128" s="33" t="str">
        <f>'A) Base RI'!B119</f>
        <v>Le Mont-sur-Lausanne</v>
      </c>
      <c r="C128" s="32">
        <f>'D) Ecrêtage'!C117</f>
        <v>415945.64633333334</v>
      </c>
      <c r="D128" s="14">
        <f>'A) Base RI'!V119</f>
        <v>8093</v>
      </c>
      <c r="E128" s="10">
        <f t="shared" si="3"/>
        <v>8324011.837171114</v>
      </c>
      <c r="F128" s="14">
        <f>'F) Population'!K120</f>
        <v>3636363.7826961768</v>
      </c>
      <c r="G128" s="10">
        <f>'G) Solidarité'!I117</f>
        <v>0</v>
      </c>
      <c r="H128" s="14">
        <f t="shared" si="4"/>
        <v>3636363.7826961768</v>
      </c>
      <c r="I128" s="58">
        <f t="shared" si="5"/>
        <v>4687648.0544749368</v>
      </c>
    </row>
    <row r="129" spans="1:9" x14ac:dyDescent="0.25">
      <c r="A129" s="50">
        <f>'A) Base RI'!A120</f>
        <v>5588</v>
      </c>
      <c r="B129" s="33" t="str">
        <f>'A) Base RI'!B120</f>
        <v>Paudex</v>
      </c>
      <c r="C129" s="32">
        <f>'D) Ecrêtage'!C118</f>
        <v>147210.22826945415</v>
      </c>
      <c r="D129" s="14">
        <f>'A) Base RI'!V120</f>
        <v>1480</v>
      </c>
      <c r="E129" s="10">
        <f t="shared" si="3"/>
        <v>2946009.1564117372</v>
      </c>
      <c r="F129" s="14">
        <f>'F) Population'!K121</f>
        <v>289462.77665995969</v>
      </c>
      <c r="G129" s="10">
        <f>'G) Solidarité'!I118</f>
        <v>0</v>
      </c>
      <c r="H129" s="14">
        <f t="shared" si="4"/>
        <v>289462.77665995969</v>
      </c>
      <c r="I129" s="58">
        <f t="shared" si="5"/>
        <v>2656546.3797517773</v>
      </c>
    </row>
    <row r="130" spans="1:9" x14ac:dyDescent="0.25">
      <c r="A130" s="50">
        <f>'A) Base RI'!A121</f>
        <v>5589</v>
      </c>
      <c r="B130" s="33" t="str">
        <f>'A) Base RI'!B121</f>
        <v>Prilly</v>
      </c>
      <c r="C130" s="32">
        <f>'D) Ecrêtage'!C119</f>
        <v>397261.42585034011</v>
      </c>
      <c r="D130" s="14">
        <f>'A) Base RI'!V121</f>
        <v>12105</v>
      </c>
      <c r="E130" s="10">
        <f t="shared" si="3"/>
        <v>7950098.3851617789</v>
      </c>
      <c r="F130" s="14">
        <f>'F) Population'!K122</f>
        <v>6796941.6498993961</v>
      </c>
      <c r="G130" s="10">
        <f>'G) Solidarité'!I119</f>
        <v>3228428.5590194049</v>
      </c>
      <c r="H130" s="14">
        <f t="shared" si="4"/>
        <v>10025370.208918801</v>
      </c>
      <c r="I130" s="58">
        <f t="shared" si="5"/>
        <v>-2075271.8237570217</v>
      </c>
    </row>
    <row r="131" spans="1:9" x14ac:dyDescent="0.25">
      <c r="A131" s="50">
        <f>'A) Base RI'!A122</f>
        <v>5590</v>
      </c>
      <c r="B131" s="33" t="str">
        <f>'A) Base RI'!B122</f>
        <v>Pully</v>
      </c>
      <c r="C131" s="32">
        <f>'D) Ecrêtage'!C120</f>
        <v>1436103.5918735364</v>
      </c>
      <c r="D131" s="14">
        <f>'A) Base RI'!V122</f>
        <v>18194</v>
      </c>
      <c r="E131" s="10">
        <f t="shared" si="3"/>
        <v>28739676.454214834</v>
      </c>
      <c r="F131" s="14">
        <f>'F) Population'!K123</f>
        <v>12970204.627766598</v>
      </c>
      <c r="G131" s="10">
        <f>'G) Solidarité'!I120</f>
        <v>0</v>
      </c>
      <c r="H131" s="14">
        <f t="shared" si="4"/>
        <v>12970204.627766598</v>
      </c>
      <c r="I131" s="58">
        <f t="shared" si="5"/>
        <v>15769471.826448236</v>
      </c>
    </row>
    <row r="132" spans="1:9" x14ac:dyDescent="0.25">
      <c r="A132" s="50">
        <f>'A) Base RI'!A123</f>
        <v>5591</v>
      </c>
      <c r="B132" s="33" t="str">
        <f>'A) Base RI'!B123</f>
        <v>Renens</v>
      </c>
      <c r="C132" s="32">
        <f>'D) Ecrêtage'!C121</f>
        <v>526209.31525022746</v>
      </c>
      <c r="D132" s="14">
        <f>'A) Base RI'!V123</f>
        <v>21114</v>
      </c>
      <c r="E132" s="10">
        <f t="shared" si="3"/>
        <v>10530636.89350985</v>
      </c>
      <c r="F132" s="14">
        <f>'F) Population'!K124</f>
        <v>15999190.543259557</v>
      </c>
      <c r="G132" s="10">
        <f>'G) Solidarité'!I121</f>
        <v>10512436.335533764</v>
      </c>
      <c r="H132" s="14">
        <f t="shared" si="4"/>
        <v>26511626.878793322</v>
      </c>
      <c r="I132" s="58">
        <f t="shared" si="5"/>
        <v>-15980989.985283472</v>
      </c>
    </row>
    <row r="133" spans="1:9" x14ac:dyDescent="0.25">
      <c r="A133" s="50">
        <f>'A) Base RI'!A124</f>
        <v>5592</v>
      </c>
      <c r="B133" s="33" t="str">
        <f>'A) Base RI'!B124</f>
        <v>Romanel-sur-Lausanne</v>
      </c>
      <c r="C133" s="32">
        <f>'D) Ecrêtage'!C122</f>
        <v>111498.54042857142</v>
      </c>
      <c r="D133" s="14">
        <f>'A) Base RI'!V124</f>
        <v>3300</v>
      </c>
      <c r="E133" s="10">
        <f t="shared" si="3"/>
        <v>2231337.6243658317</v>
      </c>
      <c r="F133" s="14">
        <f>'F) Population'!K125</f>
        <v>963229.37625754508</v>
      </c>
      <c r="G133" s="10">
        <f>'G) Solidarité'!I122</f>
        <v>735893.39980483684</v>
      </c>
      <c r="H133" s="14">
        <f t="shared" si="4"/>
        <v>1699122.7760623819</v>
      </c>
      <c r="I133" s="58">
        <f t="shared" si="5"/>
        <v>532214.84830344981</v>
      </c>
    </row>
    <row r="134" spans="1:9" x14ac:dyDescent="0.25">
      <c r="A134" s="50">
        <f>'A) Base RI'!A125</f>
        <v>5601</v>
      </c>
      <c r="B134" s="33" t="str">
        <f>'A) Base RI'!B125</f>
        <v>Chexbres</v>
      </c>
      <c r="C134" s="32">
        <f>'D) Ecrêtage'!C123</f>
        <v>116832.8703125</v>
      </c>
      <c r="D134" s="14">
        <f>'A) Base RI'!V125</f>
        <v>2250</v>
      </c>
      <c r="E134" s="10">
        <f t="shared" si="3"/>
        <v>2338089.6134505142</v>
      </c>
      <c r="F134" s="14">
        <f>'F) Population'!K126</f>
        <v>555709.25553319906</v>
      </c>
      <c r="G134" s="10">
        <f>'G) Solidarité'!I123</f>
        <v>0</v>
      </c>
      <c r="H134" s="14">
        <f t="shared" si="4"/>
        <v>555709.25553319906</v>
      </c>
      <c r="I134" s="58">
        <f t="shared" si="5"/>
        <v>1782380.3579173151</v>
      </c>
    </row>
    <row r="135" spans="1:9" x14ac:dyDescent="0.25">
      <c r="A135" s="50">
        <f>'A) Base RI'!A126</f>
        <v>5604</v>
      </c>
      <c r="B135" s="33" t="str">
        <f>'A) Base RI'!B126</f>
        <v>Forel (Lavaux)</v>
      </c>
      <c r="C135" s="32">
        <f>'D) Ecrêtage'!C124</f>
        <v>69144.285441176457</v>
      </c>
      <c r="D135" s="14">
        <f>'A) Base RI'!V126</f>
        <v>2084</v>
      </c>
      <c r="E135" s="10">
        <f t="shared" si="3"/>
        <v>1383733.3208287668</v>
      </c>
      <c r="F135" s="14">
        <f>'F) Population'!K127</f>
        <v>498310.66398390336</v>
      </c>
      <c r="G135" s="10">
        <f>'G) Solidarité'!I124</f>
        <v>461902.86157543882</v>
      </c>
      <c r="H135" s="14">
        <f t="shared" si="4"/>
        <v>960213.52555934223</v>
      </c>
      <c r="I135" s="58">
        <f t="shared" si="5"/>
        <v>423519.79526942456</v>
      </c>
    </row>
    <row r="136" spans="1:9" x14ac:dyDescent="0.25">
      <c r="A136" s="50">
        <f>'A) Base RI'!A127</f>
        <v>5606</v>
      </c>
      <c r="B136" s="33" t="str">
        <f>'A) Base RI'!B127</f>
        <v>Lutry</v>
      </c>
      <c r="C136" s="32">
        <f>'D) Ecrêtage'!C125</f>
        <v>819312.37389961397</v>
      </c>
      <c r="D136" s="14">
        <f>'A) Base RI'!V127</f>
        <v>10001</v>
      </c>
      <c r="E136" s="10">
        <f t="shared" si="3"/>
        <v>16396291.09909164</v>
      </c>
      <c r="F136" s="14">
        <f>'F) Population'!K128</f>
        <v>5014572.1327967802</v>
      </c>
      <c r="G136" s="10">
        <f>'G) Solidarité'!I125</f>
        <v>0</v>
      </c>
      <c r="H136" s="14">
        <f t="shared" si="4"/>
        <v>5014572.1327967802</v>
      </c>
      <c r="I136" s="58">
        <f t="shared" si="5"/>
        <v>11381718.966294859</v>
      </c>
    </row>
    <row r="137" spans="1:9" x14ac:dyDescent="0.25">
      <c r="A137" s="50">
        <f>'A) Base RI'!A128</f>
        <v>5607</v>
      </c>
      <c r="B137" s="33" t="str">
        <f>'A) Base RI'!B128</f>
        <v>Puidoux</v>
      </c>
      <c r="C137" s="32">
        <f>'D) Ecrêtage'!C126</f>
        <v>104767.98296273292</v>
      </c>
      <c r="D137" s="14">
        <f>'A) Base RI'!V128</f>
        <v>2904</v>
      </c>
      <c r="E137" s="10">
        <f t="shared" si="3"/>
        <v>2096643.9678501864</v>
      </c>
      <c r="F137" s="14">
        <f>'F) Population'!K129</f>
        <v>781845.87525150902</v>
      </c>
      <c r="G137" s="10">
        <f>'G) Solidarité'!I126</f>
        <v>517898.8641660306</v>
      </c>
      <c r="H137" s="14">
        <f t="shared" si="4"/>
        <v>1299744.7394175397</v>
      </c>
      <c r="I137" s="58">
        <f t="shared" si="5"/>
        <v>796899.22843264672</v>
      </c>
    </row>
    <row r="138" spans="1:9" x14ac:dyDescent="0.25">
      <c r="A138" s="50">
        <f>'A) Base RI'!A129</f>
        <v>5609</v>
      </c>
      <c r="B138" s="33" t="str">
        <f>'A) Base RI'!B129</f>
        <v>Rivaz</v>
      </c>
      <c r="C138" s="32">
        <f>'D) Ecrêtage'!C127</f>
        <v>15550.240157480319</v>
      </c>
      <c r="D138" s="14">
        <f>'A) Base RI'!V129</f>
        <v>351</v>
      </c>
      <c r="E138" s="10">
        <f t="shared" si="3"/>
        <v>311195.4272938536</v>
      </c>
      <c r="F138" s="14">
        <f>'F) Population'!K130</f>
        <v>43345.321931589533</v>
      </c>
      <c r="G138" s="10">
        <f>'G) Solidarité'!I127</f>
        <v>5172.7607116782783</v>
      </c>
      <c r="H138" s="14">
        <f t="shared" si="4"/>
        <v>48518.082643267815</v>
      </c>
      <c r="I138" s="58">
        <f t="shared" si="5"/>
        <v>262677.34465058579</v>
      </c>
    </row>
    <row r="139" spans="1:9" x14ac:dyDescent="0.25">
      <c r="A139" s="50">
        <f>'A) Base RI'!A130</f>
        <v>5610</v>
      </c>
      <c r="B139" s="33" t="str">
        <f>'A) Base RI'!B130</f>
        <v>St-Saphorin (Lavaux)</v>
      </c>
      <c r="C139" s="32">
        <f>'D) Ecrêtage'!C128</f>
        <v>15345.496567164178</v>
      </c>
      <c r="D139" s="14">
        <f>'A) Base RI'!V130</f>
        <v>389</v>
      </c>
      <c r="E139" s="10">
        <f t="shared" si="3"/>
        <v>307098.04561814625</v>
      </c>
      <c r="F139" s="14">
        <f>'F) Population'!K131</f>
        <v>48037.977867203212</v>
      </c>
      <c r="G139" s="10">
        <f>'G) Solidarité'!I128</f>
        <v>40121.421612140621</v>
      </c>
      <c r="H139" s="14">
        <f t="shared" si="4"/>
        <v>88159.399479343832</v>
      </c>
      <c r="I139" s="58">
        <f t="shared" si="5"/>
        <v>218938.6461388024</v>
      </c>
    </row>
    <row r="140" spans="1:9" x14ac:dyDescent="0.25">
      <c r="A140" s="50">
        <f>'A) Base RI'!A131</f>
        <v>5611</v>
      </c>
      <c r="B140" s="33" t="str">
        <f>'A) Base RI'!B131</f>
        <v>Savigny</v>
      </c>
      <c r="C140" s="32">
        <f>'D) Ecrêtage'!C129</f>
        <v>131982.7743236715</v>
      </c>
      <c r="D140" s="14">
        <f>'A) Base RI'!V131</f>
        <v>3352</v>
      </c>
      <c r="E140" s="10">
        <f t="shared" si="3"/>
        <v>2641273.4102582741</v>
      </c>
      <c r="F140" s="14">
        <f>'F) Population'!K132</f>
        <v>988915.49295774638</v>
      </c>
      <c r="G140" s="10">
        <f>'G) Solidarité'!I129</f>
        <v>371389.32507150504</v>
      </c>
      <c r="H140" s="14">
        <f t="shared" si="4"/>
        <v>1360304.8180292514</v>
      </c>
      <c r="I140" s="58">
        <f t="shared" si="5"/>
        <v>1280968.5922290226</v>
      </c>
    </row>
    <row r="141" spans="1:9" x14ac:dyDescent="0.25">
      <c r="A141" s="50">
        <f>'A) Base RI'!A132</f>
        <v>5613</v>
      </c>
      <c r="B141" s="33" t="str">
        <f>'A) Base RI'!B132</f>
        <v>Bourg-en-Lavaux</v>
      </c>
      <c r="C141" s="32">
        <f>'D) Ecrêtage'!C130</f>
        <v>329819.74420765025</v>
      </c>
      <c r="D141" s="14">
        <f>'A) Base RI'!V132</f>
        <v>5288</v>
      </c>
      <c r="E141" s="10">
        <f t="shared" si="3"/>
        <v>6600438.011838411</v>
      </c>
      <c r="F141" s="14">
        <f>'F) Population'!K133</f>
        <v>1973681.6901408448</v>
      </c>
      <c r="G141" s="10">
        <f>'G) Solidarité'!I130</f>
        <v>0</v>
      </c>
      <c r="H141" s="14">
        <f t="shared" si="4"/>
        <v>1973681.6901408448</v>
      </c>
      <c r="I141" s="58">
        <f t="shared" si="5"/>
        <v>4626756.3216975667</v>
      </c>
    </row>
    <row r="142" spans="1:9" x14ac:dyDescent="0.25">
      <c r="A142" s="50">
        <f>'A) Base RI'!A133</f>
        <v>5621</v>
      </c>
      <c r="B142" s="33" t="str">
        <f>'A) Base RI'!B133</f>
        <v>Aclens</v>
      </c>
      <c r="C142" s="32">
        <f>'D) Ecrêtage'!C131</f>
        <v>29752.054618768325</v>
      </c>
      <c r="D142" s="14">
        <f>'A) Base RI'!V133</f>
        <v>545</v>
      </c>
      <c r="E142" s="10">
        <f t="shared" si="3"/>
        <v>595405.8108552011</v>
      </c>
      <c r="F142" s="14">
        <f>'F) Population'!K134</f>
        <v>67302.565392354125</v>
      </c>
      <c r="G142" s="10">
        <f>'G) Solidarité'!I131</f>
        <v>0</v>
      </c>
      <c r="H142" s="14">
        <f t="shared" si="4"/>
        <v>67302.565392354125</v>
      </c>
      <c r="I142" s="58">
        <f t="shared" si="5"/>
        <v>528103.24546284694</v>
      </c>
    </row>
    <row r="143" spans="1:9" x14ac:dyDescent="0.25">
      <c r="A143" s="50">
        <f>'A) Base RI'!A134</f>
        <v>5622</v>
      </c>
      <c r="B143" s="33" t="str">
        <f>'A) Base RI'!B134</f>
        <v>Bremblens</v>
      </c>
      <c r="C143" s="32">
        <f>'D) Ecrêtage'!C132</f>
        <v>30065.565151515151</v>
      </c>
      <c r="D143" s="14">
        <f>'A) Base RI'!V134</f>
        <v>547</v>
      </c>
      <c r="E143" s="10">
        <f t="shared" si="3"/>
        <v>601679.86470975459</v>
      </c>
      <c r="F143" s="14">
        <f>'F) Population'!K135</f>
        <v>67549.54728370221</v>
      </c>
      <c r="G143" s="10">
        <f>'G) Solidarité'!I132</f>
        <v>0</v>
      </c>
      <c r="H143" s="14">
        <f t="shared" si="4"/>
        <v>67549.54728370221</v>
      </c>
      <c r="I143" s="58">
        <f t="shared" si="5"/>
        <v>534130.31742605241</v>
      </c>
    </row>
    <row r="144" spans="1:9" x14ac:dyDescent="0.25">
      <c r="A144" s="50">
        <f>'A) Base RI'!A135</f>
        <v>5623</v>
      </c>
      <c r="B144" s="33" t="str">
        <f>'A) Base RI'!B135</f>
        <v>Buchillon</v>
      </c>
      <c r="C144" s="32">
        <f>'D) Ecrêtage'!C133</f>
        <v>74720.547735849046</v>
      </c>
      <c r="D144" s="14">
        <f>'A) Base RI'!V135</f>
        <v>638</v>
      </c>
      <c r="E144" s="10">
        <f t="shared" si="3"/>
        <v>1495326.9238805168</v>
      </c>
      <c r="F144" s="14">
        <f>'F) Population'!K136</f>
        <v>78787.223340040233</v>
      </c>
      <c r="G144" s="10">
        <f>'G) Solidarité'!I133</f>
        <v>0</v>
      </c>
      <c r="H144" s="14">
        <f t="shared" si="4"/>
        <v>78787.223340040233</v>
      </c>
      <c r="I144" s="58">
        <f t="shared" si="5"/>
        <v>1416539.7005404765</v>
      </c>
    </row>
    <row r="145" spans="1:9" x14ac:dyDescent="0.25">
      <c r="A145" s="50">
        <f>'A) Base RI'!A136</f>
        <v>5624</v>
      </c>
      <c r="B145" s="33" t="str">
        <f>'A) Base RI'!B136</f>
        <v>Bussigny</v>
      </c>
      <c r="C145" s="32">
        <f>'D) Ecrêtage'!C134</f>
        <v>313352.53032258071</v>
      </c>
      <c r="D145" s="14">
        <f>'A) Base RI'!V136</f>
        <v>8677</v>
      </c>
      <c r="E145" s="10">
        <f t="shared" ref="E145:E208" si="6">C145*E$15</f>
        <v>6270891.8691803906</v>
      </c>
      <c r="F145" s="14">
        <f>'F) Population'!K137</f>
        <v>3982533.6016096575</v>
      </c>
      <c r="G145" s="10">
        <f>'G) Solidarité'!I134</f>
        <v>1209199.6069344471</v>
      </c>
      <c r="H145" s="14">
        <f t="shared" ref="H145:H208" si="7">F145+G145</f>
        <v>5191733.2085441044</v>
      </c>
      <c r="I145" s="58">
        <f t="shared" ref="I145:I208" si="8">E145-H145</f>
        <v>1079158.6606362863</v>
      </c>
    </row>
    <row r="146" spans="1:9" x14ac:dyDescent="0.25">
      <c r="A146" s="50">
        <f>'A) Base RI'!A137</f>
        <v>5625</v>
      </c>
      <c r="B146" s="33" t="str">
        <f>'A) Base RI'!B137</f>
        <v>Bussy-Chardonney</v>
      </c>
      <c r="C146" s="32">
        <f>'D) Ecrêtage'!C135</f>
        <v>13647.695555555556</v>
      </c>
      <c r="D146" s="14">
        <f>'A) Base RI'!V137</f>
        <v>371</v>
      </c>
      <c r="E146" s="10">
        <f t="shared" si="6"/>
        <v>273121.21272574074</v>
      </c>
      <c r="F146" s="14">
        <f>'F) Population'!K138</f>
        <v>45815.140845070418</v>
      </c>
      <c r="G146" s="10">
        <f>'G) Solidarité'!I135</f>
        <v>75780.504821419221</v>
      </c>
      <c r="H146" s="14">
        <f t="shared" si="7"/>
        <v>121595.64566648964</v>
      </c>
      <c r="I146" s="58">
        <f t="shared" si="8"/>
        <v>151525.5670592511</v>
      </c>
    </row>
    <row r="147" spans="1:9" x14ac:dyDescent="0.25">
      <c r="A147" s="50">
        <f>'A) Base RI'!A138</f>
        <v>5627</v>
      </c>
      <c r="B147" s="33" t="str">
        <f>'A) Base RI'!B138</f>
        <v>Chavannes-près-Renens</v>
      </c>
      <c r="C147" s="32">
        <f>'D) Ecrêtage'!C136</f>
        <v>167740.14928270038</v>
      </c>
      <c r="D147" s="14">
        <f>'A) Base RI'!V138</f>
        <v>7653</v>
      </c>
      <c r="E147" s="10">
        <f t="shared" si="6"/>
        <v>3356859.2447271217</v>
      </c>
      <c r="F147" s="14">
        <f>'F) Population'!K139</f>
        <v>3375550.9054325954</v>
      </c>
      <c r="G147" s="10">
        <f>'G) Solidarité'!I136</f>
        <v>4430156.9780409997</v>
      </c>
      <c r="H147" s="14">
        <f t="shared" si="7"/>
        <v>7805707.8834735956</v>
      </c>
      <c r="I147" s="58">
        <f t="shared" si="8"/>
        <v>-4448848.6387464739</v>
      </c>
    </row>
    <row r="148" spans="1:9" x14ac:dyDescent="0.25">
      <c r="A148" s="50">
        <f>'A) Base RI'!A139</f>
        <v>5628</v>
      </c>
      <c r="B148" s="33" t="str">
        <f>'A) Base RI'!B139</f>
        <v>Chigny</v>
      </c>
      <c r="C148" s="32">
        <f>'D) Ecrêtage'!C137</f>
        <v>19513.351129032257</v>
      </c>
      <c r="D148" s="14">
        <f>'A) Base RI'!V139</f>
        <v>338</v>
      </c>
      <c r="E148" s="10">
        <f t="shared" si="6"/>
        <v>390506.22890946688</v>
      </c>
      <c r="F148" s="14">
        <f>'F) Population'!K140</f>
        <v>41739.939637826959</v>
      </c>
      <c r="G148" s="10">
        <f>'G) Solidarité'!I137</f>
        <v>0</v>
      </c>
      <c r="H148" s="14">
        <f t="shared" si="7"/>
        <v>41739.939637826959</v>
      </c>
      <c r="I148" s="58">
        <f t="shared" si="8"/>
        <v>348766.28927163989</v>
      </c>
    </row>
    <row r="149" spans="1:9" x14ac:dyDescent="0.25">
      <c r="A149" s="50">
        <f>'A) Base RI'!A140</f>
        <v>5629</v>
      </c>
      <c r="B149" s="33" t="str">
        <f>'A) Base RI'!B140</f>
        <v>Clarmont</v>
      </c>
      <c r="C149" s="32">
        <f>'D) Ecrêtage'!C138</f>
        <v>7442.8926666666675</v>
      </c>
      <c r="D149" s="14">
        <f>'A) Base RI'!V140</f>
        <v>189</v>
      </c>
      <c r="E149" s="10">
        <f t="shared" si="6"/>
        <v>148949.09276313888</v>
      </c>
      <c r="F149" s="14">
        <f>'F) Population'!K141</f>
        <v>23339.788732394365</v>
      </c>
      <c r="G149" s="10">
        <f>'G) Solidarité'!I138</f>
        <v>24715.080553503441</v>
      </c>
      <c r="H149" s="14">
        <f t="shared" si="7"/>
        <v>48054.869285897803</v>
      </c>
      <c r="I149" s="58">
        <f t="shared" si="8"/>
        <v>100894.22347724107</v>
      </c>
    </row>
    <row r="150" spans="1:9" x14ac:dyDescent="0.25">
      <c r="A150" s="50">
        <f>'A) Base RI'!A141</f>
        <v>5631</v>
      </c>
      <c r="B150" s="33" t="str">
        <f>'A) Base RI'!B141</f>
        <v>Denens</v>
      </c>
      <c r="C150" s="32">
        <f>'D) Ecrêtage'!C139</f>
        <v>45367.235142857142</v>
      </c>
      <c r="D150" s="14">
        <f>'A) Base RI'!V141</f>
        <v>774</v>
      </c>
      <c r="E150" s="10">
        <f t="shared" si="6"/>
        <v>907900.84155907854</v>
      </c>
      <c r="F150" s="14">
        <f>'F) Population'!K142</f>
        <v>95581.991951710253</v>
      </c>
      <c r="G150" s="10">
        <f>'G) Solidarité'!I139</f>
        <v>0</v>
      </c>
      <c r="H150" s="14">
        <f t="shared" si="7"/>
        <v>95581.991951710253</v>
      </c>
      <c r="I150" s="58">
        <f t="shared" si="8"/>
        <v>812318.84960736823</v>
      </c>
    </row>
    <row r="151" spans="1:9" x14ac:dyDescent="0.25">
      <c r="A151" s="50">
        <f>'A) Base RI'!A142</f>
        <v>5632</v>
      </c>
      <c r="B151" s="33" t="str">
        <f>'A) Base RI'!B142</f>
        <v>Denges</v>
      </c>
      <c r="C151" s="32">
        <f>'D) Ecrêtage'!C140</f>
        <v>67164.535483870975</v>
      </c>
      <c r="D151" s="14">
        <f>'A) Base RI'!V142</f>
        <v>1614</v>
      </c>
      <c r="E151" s="10">
        <f t="shared" si="6"/>
        <v>1344114.0527236178</v>
      </c>
      <c r="F151" s="14">
        <f>'F) Population'!K143</f>
        <v>335796.57947686117</v>
      </c>
      <c r="G151" s="10">
        <f>'G) Solidarité'!I140</f>
        <v>89080.197650080285</v>
      </c>
      <c r="H151" s="14">
        <f t="shared" si="7"/>
        <v>424876.77712694148</v>
      </c>
      <c r="I151" s="58">
        <f t="shared" si="8"/>
        <v>919237.27559667628</v>
      </c>
    </row>
    <row r="152" spans="1:9" x14ac:dyDescent="0.25">
      <c r="A152" s="50">
        <f>'A) Base RI'!A143</f>
        <v>5633</v>
      </c>
      <c r="B152" s="33" t="str">
        <f>'A) Base RI'!B143</f>
        <v>Echandens</v>
      </c>
      <c r="C152" s="32">
        <f>'D) Ecrêtage'!C141</f>
        <v>132114.82112903227</v>
      </c>
      <c r="D152" s="14">
        <f>'A) Base RI'!V143</f>
        <v>2757</v>
      </c>
      <c r="E152" s="10">
        <f t="shared" si="6"/>
        <v>2643915.9650742048</v>
      </c>
      <c r="F152" s="14">
        <f>'F) Population'!K144</f>
        <v>731017.00201207236</v>
      </c>
      <c r="G152" s="10">
        <f>'G) Solidarité'!I141</f>
        <v>0</v>
      </c>
      <c r="H152" s="14">
        <f t="shared" si="7"/>
        <v>731017.00201207236</v>
      </c>
      <c r="I152" s="58">
        <f t="shared" si="8"/>
        <v>1912898.9630621325</v>
      </c>
    </row>
    <row r="153" spans="1:9" x14ac:dyDescent="0.25">
      <c r="A153" s="50">
        <f>'A) Base RI'!A144</f>
        <v>5634</v>
      </c>
      <c r="B153" s="33" t="str">
        <f>'A) Base RI'!B144</f>
        <v>Echichens</v>
      </c>
      <c r="C153" s="32">
        <f>'D) Ecrêtage'!C142</f>
        <v>126696.63529411763</v>
      </c>
      <c r="D153" s="14">
        <f>'A) Base RI'!V144</f>
        <v>2712</v>
      </c>
      <c r="E153" s="10">
        <f t="shared" si="6"/>
        <v>2535485.8290134012</v>
      </c>
      <c r="F153" s="14">
        <f>'F) Population'!K145</f>
        <v>715457.14285714272</v>
      </c>
      <c r="G153" s="10">
        <f>'G) Solidarité'!I142</f>
        <v>0</v>
      </c>
      <c r="H153" s="14">
        <f t="shared" si="7"/>
        <v>715457.14285714272</v>
      </c>
      <c r="I153" s="58">
        <f t="shared" si="8"/>
        <v>1820028.6861562585</v>
      </c>
    </row>
    <row r="154" spans="1:9" x14ac:dyDescent="0.25">
      <c r="A154" s="50">
        <f>'A) Base RI'!A145</f>
        <v>5635</v>
      </c>
      <c r="B154" s="33" t="str">
        <f>'A) Base RI'!B145</f>
        <v>Ecublens</v>
      </c>
      <c r="C154" s="32">
        <f>'D) Ecrêtage'!C143</f>
        <v>448558.27357385395</v>
      </c>
      <c r="D154" s="14">
        <f>'A) Base RI'!V145</f>
        <v>12560</v>
      </c>
      <c r="E154" s="10">
        <f t="shared" si="6"/>
        <v>8976664.16707143</v>
      </c>
      <c r="F154" s="14">
        <f>'F) Population'!K146</f>
        <v>7246448.6921529174</v>
      </c>
      <c r="G154" s="10">
        <f>'G) Solidarité'!I143</f>
        <v>1827147.8706451964</v>
      </c>
      <c r="H154" s="14">
        <f t="shared" si="7"/>
        <v>9073596.5627981145</v>
      </c>
      <c r="I154" s="58">
        <f t="shared" si="8"/>
        <v>-96932.395726684481</v>
      </c>
    </row>
    <row r="155" spans="1:9" x14ac:dyDescent="0.25">
      <c r="A155" s="50">
        <f>'A) Base RI'!A146</f>
        <v>5636</v>
      </c>
      <c r="B155" s="33" t="str">
        <f>'A) Base RI'!B146</f>
        <v>Etoy</v>
      </c>
      <c r="C155" s="32">
        <f>'D) Ecrêtage'!C144</f>
        <v>151105.62688524593</v>
      </c>
      <c r="D155" s="14">
        <f>'A) Base RI'!V146</f>
        <v>2908</v>
      </c>
      <c r="E155" s="10">
        <f t="shared" si="6"/>
        <v>3023964.8808535924</v>
      </c>
      <c r="F155" s="14">
        <f>'F) Population'!K147</f>
        <v>783228.97384305834</v>
      </c>
      <c r="G155" s="10">
        <f>'G) Solidarité'!I144</f>
        <v>0</v>
      </c>
      <c r="H155" s="14">
        <f t="shared" si="7"/>
        <v>783228.97384305834</v>
      </c>
      <c r="I155" s="58">
        <f t="shared" si="8"/>
        <v>2240735.9070105338</v>
      </c>
    </row>
    <row r="156" spans="1:9" x14ac:dyDescent="0.25">
      <c r="A156" s="50">
        <f>'A) Base RI'!A147</f>
        <v>5637</v>
      </c>
      <c r="B156" s="33" t="str">
        <f>'A) Base RI'!B147</f>
        <v>Lavigny</v>
      </c>
      <c r="C156" s="32">
        <f>'D) Ecrêtage'!C145</f>
        <v>36088.085548098432</v>
      </c>
      <c r="D156" s="14">
        <f>'A) Base RI'!V147</f>
        <v>1007</v>
      </c>
      <c r="E156" s="10">
        <f t="shared" si="6"/>
        <v>722204.10029843287</v>
      </c>
      <c r="F156" s="14">
        <f>'F) Population'!K148</f>
        <v>125911.36820925552</v>
      </c>
      <c r="G156" s="10">
        <f>'G) Solidarité'!I145</f>
        <v>208757.42201122569</v>
      </c>
      <c r="H156" s="14">
        <f t="shared" si="7"/>
        <v>334668.79022048123</v>
      </c>
      <c r="I156" s="58">
        <f t="shared" si="8"/>
        <v>387535.31007795164</v>
      </c>
    </row>
    <row r="157" spans="1:9" x14ac:dyDescent="0.25">
      <c r="A157" s="50">
        <f>'A) Base RI'!A148</f>
        <v>5638</v>
      </c>
      <c r="B157" s="33" t="str">
        <f>'A) Base RI'!B148</f>
        <v>Lonay</v>
      </c>
      <c r="C157" s="32">
        <f>'D) Ecrêtage'!C146</f>
        <v>147307.25563636364</v>
      </c>
      <c r="D157" s="14">
        <f>'A) Base RI'!V148</f>
        <v>2492</v>
      </c>
      <c r="E157" s="10">
        <f t="shared" si="6"/>
        <v>2947950.8931694212</v>
      </c>
      <c r="F157" s="14">
        <f>'F) Population'!K149</f>
        <v>639386.72032193153</v>
      </c>
      <c r="G157" s="10">
        <f>'G) Solidarité'!I146</f>
        <v>0</v>
      </c>
      <c r="H157" s="14">
        <f t="shared" si="7"/>
        <v>639386.72032193153</v>
      </c>
      <c r="I157" s="58">
        <f t="shared" si="8"/>
        <v>2308564.1728474898</v>
      </c>
    </row>
    <row r="158" spans="1:9" x14ac:dyDescent="0.25">
      <c r="A158" s="50">
        <f>'A) Base RI'!A149</f>
        <v>5639</v>
      </c>
      <c r="B158" s="33" t="str">
        <f>'A) Base RI'!B149</f>
        <v>Lully</v>
      </c>
      <c r="C158" s="32">
        <f>'D) Ecrêtage'!C147</f>
        <v>51219.676393442627</v>
      </c>
      <c r="D158" s="14">
        <f>'A) Base RI'!V149</f>
        <v>795</v>
      </c>
      <c r="E158" s="10">
        <f t="shared" si="6"/>
        <v>1025021.4092959071</v>
      </c>
      <c r="F158" s="14">
        <f>'F) Population'!K150</f>
        <v>98175.301810865189</v>
      </c>
      <c r="G158" s="10">
        <f>'G) Solidarité'!I147</f>
        <v>0</v>
      </c>
      <c r="H158" s="14">
        <f t="shared" si="7"/>
        <v>98175.301810865189</v>
      </c>
      <c r="I158" s="58">
        <f t="shared" si="8"/>
        <v>926846.10748504195</v>
      </c>
    </row>
    <row r="159" spans="1:9" x14ac:dyDescent="0.25">
      <c r="A159" s="50">
        <f>'A) Base RI'!A150</f>
        <v>5640</v>
      </c>
      <c r="B159" s="33" t="str">
        <f>'A) Base RI'!B150</f>
        <v>Lussy-sur-Morges</v>
      </c>
      <c r="C159" s="32">
        <f>'D) Ecrêtage'!C148</f>
        <v>55173.413636363643</v>
      </c>
      <c r="D159" s="14">
        <f>'A) Base RI'!V150</f>
        <v>667</v>
      </c>
      <c r="E159" s="10">
        <f t="shared" si="6"/>
        <v>1104144.62143013</v>
      </c>
      <c r="F159" s="14">
        <f>'F) Population'!K151</f>
        <v>82368.460764587522</v>
      </c>
      <c r="G159" s="10">
        <f>'G) Solidarité'!I148</f>
        <v>0</v>
      </c>
      <c r="H159" s="14">
        <f t="shared" si="7"/>
        <v>82368.460764587522</v>
      </c>
      <c r="I159" s="58">
        <f t="shared" si="8"/>
        <v>1021776.1606655425</v>
      </c>
    </row>
    <row r="160" spans="1:9" x14ac:dyDescent="0.25">
      <c r="A160" s="50">
        <f>'A) Base RI'!A151</f>
        <v>5642</v>
      </c>
      <c r="B160" s="33" t="str">
        <f>'A) Base RI'!B151</f>
        <v>Morges</v>
      </c>
      <c r="C160" s="32">
        <f>'D) Ecrêtage'!C149</f>
        <v>737766.82978102157</v>
      </c>
      <c r="D160" s="14">
        <f>'A) Base RI'!V151</f>
        <v>15839</v>
      </c>
      <c r="E160" s="10">
        <f t="shared" si="6"/>
        <v>14764380.582668655</v>
      </c>
      <c r="F160" s="14">
        <f>'F) Population'!K152</f>
        <v>10527306.740442656</v>
      </c>
      <c r="G160" s="10">
        <f>'G) Solidarité'!I149</f>
        <v>0</v>
      </c>
      <c r="H160" s="14">
        <f t="shared" si="7"/>
        <v>10527306.740442656</v>
      </c>
      <c r="I160" s="58">
        <f t="shared" si="8"/>
        <v>4237073.8422259986</v>
      </c>
    </row>
    <row r="161" spans="1:9" x14ac:dyDescent="0.25">
      <c r="A161" s="50">
        <f>'A) Base RI'!A152</f>
        <v>5643</v>
      </c>
      <c r="B161" s="33" t="str">
        <f>'A) Base RI'!B152</f>
        <v>Préverenges</v>
      </c>
      <c r="C161" s="32">
        <f>'D) Ecrêtage'!C150</f>
        <v>261619.24140624996</v>
      </c>
      <c r="D161" s="14">
        <f>'A) Base RI'!V152</f>
        <v>5291</v>
      </c>
      <c r="E161" s="10">
        <f t="shared" si="6"/>
        <v>5235591.9132572301</v>
      </c>
      <c r="F161" s="14">
        <f>'F) Population'!K153</f>
        <v>1975459.9597585511</v>
      </c>
      <c r="G161" s="10">
        <f>'G) Solidarité'!I150</f>
        <v>0</v>
      </c>
      <c r="H161" s="14">
        <f t="shared" si="7"/>
        <v>1975459.9597585511</v>
      </c>
      <c r="I161" s="58">
        <f t="shared" si="8"/>
        <v>3260131.9534986792</v>
      </c>
    </row>
    <row r="162" spans="1:9" x14ac:dyDescent="0.25">
      <c r="A162" s="50">
        <f>'A) Base RI'!A153</f>
        <v>5644</v>
      </c>
      <c r="B162" s="33" t="str">
        <f>'A) Base RI'!B153</f>
        <v>Reverolle</v>
      </c>
      <c r="C162" s="32">
        <f>'D) Ecrêtage'!C151</f>
        <v>14956.659078947367</v>
      </c>
      <c r="D162" s="14">
        <f>'A) Base RI'!V153</f>
        <v>382</v>
      </c>
      <c r="E162" s="10">
        <f t="shared" si="6"/>
        <v>299316.52925132075</v>
      </c>
      <c r="F162" s="14">
        <f>'F) Population'!K154</f>
        <v>47173.541247484907</v>
      </c>
      <c r="G162" s="10">
        <f>'G) Solidarité'!I151</f>
        <v>53286.303916902441</v>
      </c>
      <c r="H162" s="14">
        <f t="shared" si="7"/>
        <v>100459.84516438734</v>
      </c>
      <c r="I162" s="58">
        <f t="shared" si="8"/>
        <v>198856.68408693341</v>
      </c>
    </row>
    <row r="163" spans="1:9" x14ac:dyDescent="0.25">
      <c r="A163" s="50">
        <f>'A) Base RI'!A154</f>
        <v>5645</v>
      </c>
      <c r="B163" s="33" t="str">
        <f>'A) Base RI'!B154</f>
        <v>Romanel-sur-Morges</v>
      </c>
      <c r="C163" s="32">
        <f>'D) Ecrêtage'!C152</f>
        <v>26019.982455357142</v>
      </c>
      <c r="D163" s="14">
        <f>'A) Base RI'!V154</f>
        <v>470</v>
      </c>
      <c r="E163" s="10">
        <f t="shared" si="6"/>
        <v>520718.61761429446</v>
      </c>
      <c r="F163" s="14">
        <f>'F) Population'!K155</f>
        <v>58040.744466800803</v>
      </c>
      <c r="G163" s="10">
        <f>'G) Solidarité'!I152</f>
        <v>0</v>
      </c>
      <c r="H163" s="14">
        <f t="shared" si="7"/>
        <v>58040.744466800803</v>
      </c>
      <c r="I163" s="58">
        <f t="shared" si="8"/>
        <v>462677.87314749364</v>
      </c>
    </row>
    <row r="164" spans="1:9" x14ac:dyDescent="0.25">
      <c r="A164" s="50">
        <f>'A) Base RI'!A155</f>
        <v>5646</v>
      </c>
      <c r="B164" s="33" t="str">
        <f>'A) Base RI'!B155</f>
        <v>Saint-Prex</v>
      </c>
      <c r="C164" s="32">
        <f>'D) Ecrêtage'!C153</f>
        <v>564783.52799999982</v>
      </c>
      <c r="D164" s="14">
        <f>'A) Base RI'!V155</f>
        <v>5695</v>
      </c>
      <c r="E164" s="10">
        <f t="shared" si="6"/>
        <v>11302594.01427592</v>
      </c>
      <c r="F164" s="14">
        <f>'F) Population'!K156</f>
        <v>2214933.6016096575</v>
      </c>
      <c r="G164" s="10">
        <f>'G) Solidarité'!I153</f>
        <v>0</v>
      </c>
      <c r="H164" s="14">
        <f t="shared" si="7"/>
        <v>2214933.6016096575</v>
      </c>
      <c r="I164" s="58">
        <f t="shared" si="8"/>
        <v>9087660.4126662612</v>
      </c>
    </row>
    <row r="165" spans="1:9" x14ac:dyDescent="0.25">
      <c r="A165" s="50">
        <f>'A) Base RI'!A156</f>
        <v>5648</v>
      </c>
      <c r="B165" s="33" t="str">
        <f>'A) Base RI'!B156</f>
        <v>Saint-Sulpice</v>
      </c>
      <c r="C165" s="32">
        <f>'D) Ecrêtage'!C154</f>
        <v>360934.92836363643</v>
      </c>
      <c r="D165" s="14">
        <f>'A) Base RI'!V156</f>
        <v>4524</v>
      </c>
      <c r="E165" s="10">
        <f t="shared" si="6"/>
        <v>7223123.1234951066</v>
      </c>
      <c r="F165" s="14">
        <f>'F) Population'!K157</f>
        <v>1567841.046277666</v>
      </c>
      <c r="G165" s="10">
        <f>'G) Solidarité'!I154</f>
        <v>0</v>
      </c>
      <c r="H165" s="14">
        <f t="shared" si="7"/>
        <v>1567841.046277666</v>
      </c>
      <c r="I165" s="58">
        <f t="shared" si="8"/>
        <v>5655282.0772174411</v>
      </c>
    </row>
    <row r="166" spans="1:9" x14ac:dyDescent="0.25">
      <c r="A166" s="50">
        <f>'A) Base RI'!A157</f>
        <v>5649</v>
      </c>
      <c r="B166" s="33" t="str">
        <f>'A) Base RI'!B157</f>
        <v>Tolochenaz</v>
      </c>
      <c r="C166" s="32">
        <f>'D) Ecrêtage'!C155</f>
        <v>176105.76399999997</v>
      </c>
      <c r="D166" s="14">
        <f>'A) Base RI'!V157</f>
        <v>1883</v>
      </c>
      <c r="E166" s="10">
        <f t="shared" si="6"/>
        <v>3524274.0897816834</v>
      </c>
      <c r="F166" s="14">
        <f>'F) Population'!K158</f>
        <v>428809.95975855127</v>
      </c>
      <c r="G166" s="10">
        <f>'G) Solidarité'!I155</f>
        <v>0</v>
      </c>
      <c r="H166" s="14">
        <f t="shared" si="7"/>
        <v>428809.95975855127</v>
      </c>
      <c r="I166" s="58">
        <f t="shared" si="8"/>
        <v>3095464.1300231321</v>
      </c>
    </row>
    <row r="167" spans="1:9" x14ac:dyDescent="0.25">
      <c r="A167" s="50">
        <f>'A) Base RI'!A158</f>
        <v>5650</v>
      </c>
      <c r="B167" s="33" t="str">
        <f>'A) Base RI'!B158</f>
        <v>Vaux-sur-Morges</v>
      </c>
      <c r="C167" s="32">
        <f>'D) Ecrêtage'!C156</f>
        <v>169595.47750000004</v>
      </c>
      <c r="D167" s="14">
        <f>'A) Base RI'!V158</f>
        <v>199</v>
      </c>
      <c r="E167" s="10">
        <f t="shared" si="6"/>
        <v>3393988.55279605</v>
      </c>
      <c r="F167" s="14">
        <f>'F) Population'!K159</f>
        <v>24574.698189134808</v>
      </c>
      <c r="G167" s="10">
        <f>'G) Solidarité'!I156</f>
        <v>0</v>
      </c>
      <c r="H167" s="14">
        <f t="shared" si="7"/>
        <v>24574.698189134808</v>
      </c>
      <c r="I167" s="58">
        <f t="shared" si="8"/>
        <v>3369413.8546069153</v>
      </c>
    </row>
    <row r="168" spans="1:9" x14ac:dyDescent="0.25">
      <c r="A168" s="50">
        <f>'A) Base RI'!A159</f>
        <v>5651</v>
      </c>
      <c r="B168" s="33" t="str">
        <f>'A) Base RI'!B159</f>
        <v>Villars-Sainte-Croix</v>
      </c>
      <c r="C168" s="32">
        <f>'D) Ecrêtage'!C157</f>
        <v>47710.277796610164</v>
      </c>
      <c r="D168" s="14">
        <f>'A) Base RI'!V159</f>
        <v>935</v>
      </c>
      <c r="E168" s="10">
        <f t="shared" si="6"/>
        <v>954790.41705233208</v>
      </c>
      <c r="F168" s="14">
        <f>'F) Population'!K160</f>
        <v>115464.03420523138</v>
      </c>
      <c r="G168" s="10">
        <f>'G) Solidarité'!I157</f>
        <v>0</v>
      </c>
      <c r="H168" s="14">
        <f t="shared" si="7"/>
        <v>115464.03420523138</v>
      </c>
      <c r="I168" s="58">
        <f t="shared" si="8"/>
        <v>839326.38284710073</v>
      </c>
    </row>
    <row r="169" spans="1:9" x14ac:dyDescent="0.25">
      <c r="A169" s="50">
        <f>'A) Base RI'!A160</f>
        <v>5652</v>
      </c>
      <c r="B169" s="33" t="str">
        <f>'A) Base RI'!B160</f>
        <v>Villars-sous-Yens</v>
      </c>
      <c r="C169" s="32">
        <f>'D) Ecrêtage'!C158</f>
        <v>25794.085109649121</v>
      </c>
      <c r="D169" s="14">
        <f>'A) Base RI'!V160</f>
        <v>614</v>
      </c>
      <c r="E169" s="10">
        <f t="shared" si="6"/>
        <v>516197.90151536406</v>
      </c>
      <c r="F169" s="14">
        <f>'F) Population'!K161</f>
        <v>75823.44064386317</v>
      </c>
      <c r="G169" s="10">
        <f>'G) Solidarité'!I158</f>
        <v>45327.316166480872</v>
      </c>
      <c r="H169" s="14">
        <f t="shared" si="7"/>
        <v>121150.75681034404</v>
      </c>
      <c r="I169" s="58">
        <f t="shared" si="8"/>
        <v>395047.14470502001</v>
      </c>
    </row>
    <row r="170" spans="1:9" x14ac:dyDescent="0.25">
      <c r="A170" s="50">
        <f>'A) Base RI'!A161</f>
        <v>5653</v>
      </c>
      <c r="B170" s="33" t="str">
        <f>'A) Base RI'!B161</f>
        <v>Vufflens-le-Château</v>
      </c>
      <c r="C170" s="32">
        <f>'D) Ecrêtage'!C159</f>
        <v>58104.710727272715</v>
      </c>
      <c r="D170" s="14">
        <f>'A) Base RI'!V161</f>
        <v>884</v>
      </c>
      <c r="E170" s="10">
        <f t="shared" si="6"/>
        <v>1162806.4968412227</v>
      </c>
      <c r="F170" s="14">
        <f>'F) Population'!K162</f>
        <v>109165.99597585513</v>
      </c>
      <c r="G170" s="10">
        <f>'G) Solidarité'!I159</f>
        <v>0</v>
      </c>
      <c r="H170" s="14">
        <f t="shared" si="7"/>
        <v>109165.99597585513</v>
      </c>
      <c r="I170" s="58">
        <f t="shared" si="8"/>
        <v>1053640.5008653677</v>
      </c>
    </row>
    <row r="171" spans="1:9" x14ac:dyDescent="0.25">
      <c r="A171" s="50">
        <f>'A) Base RI'!A162</f>
        <v>5654</v>
      </c>
      <c r="B171" s="33" t="str">
        <f>'A) Base RI'!B162</f>
        <v>Vullierens</v>
      </c>
      <c r="C171" s="32">
        <f>'D) Ecrêtage'!C160</f>
        <v>18548.379210526316</v>
      </c>
      <c r="D171" s="14">
        <f>'A) Base RI'!V162</f>
        <v>499</v>
      </c>
      <c r="E171" s="10">
        <f t="shared" si="6"/>
        <v>371194.96133643383</v>
      </c>
      <c r="F171" s="14">
        <f>'F) Population'!K163</f>
        <v>61621.981891348085</v>
      </c>
      <c r="G171" s="10">
        <f>'G) Solidarité'!I160</f>
        <v>92350.578151484369</v>
      </c>
      <c r="H171" s="14">
        <f t="shared" si="7"/>
        <v>153972.56004283245</v>
      </c>
      <c r="I171" s="58">
        <f t="shared" si="8"/>
        <v>217222.40129360138</v>
      </c>
    </row>
    <row r="172" spans="1:9" x14ac:dyDescent="0.25">
      <c r="A172" s="50">
        <f>'A) Base RI'!A163</f>
        <v>5655</v>
      </c>
      <c r="B172" s="33" t="str">
        <f>'A) Base RI'!B163</f>
        <v>Yens</v>
      </c>
      <c r="C172" s="32">
        <f>'D) Ecrêtage'!C161</f>
        <v>71567.801506849311</v>
      </c>
      <c r="D172" s="14">
        <f>'A) Base RI'!V163</f>
        <v>1395</v>
      </c>
      <c r="E172" s="10">
        <f t="shared" si="6"/>
        <v>1432233.3510516305</v>
      </c>
      <c r="F172" s="14">
        <f>'F) Population'!K164</f>
        <v>260071.93158953721</v>
      </c>
      <c r="G172" s="10">
        <f>'G) Solidarité'!I161</f>
        <v>0</v>
      </c>
      <c r="H172" s="14">
        <f t="shared" si="7"/>
        <v>260071.93158953721</v>
      </c>
      <c r="I172" s="58">
        <f t="shared" si="8"/>
        <v>1172161.4194620932</v>
      </c>
    </row>
    <row r="173" spans="1:9" x14ac:dyDescent="0.25">
      <c r="A173" s="50">
        <f>'A) Base RI'!A164</f>
        <v>5661</v>
      </c>
      <c r="B173" s="33" t="str">
        <f>'A) Base RI'!B164</f>
        <v>Boulens</v>
      </c>
      <c r="C173" s="32">
        <f>'D) Ecrêtage'!C162</f>
        <v>9056.8577215189871</v>
      </c>
      <c r="D173" s="14">
        <f>'A) Base RI'!V164</f>
        <v>377</v>
      </c>
      <c r="E173" s="10">
        <f t="shared" si="6"/>
        <v>181248.17880911918</v>
      </c>
      <c r="F173" s="14">
        <f>'F) Population'!K165</f>
        <v>46556.086519114688</v>
      </c>
      <c r="G173" s="10">
        <f>'G) Solidarité'!I162</f>
        <v>198520.59690644874</v>
      </c>
      <c r="H173" s="14">
        <f t="shared" si="7"/>
        <v>245076.68342556345</v>
      </c>
      <c r="I173" s="58">
        <f t="shared" si="8"/>
        <v>-63828.504616444261</v>
      </c>
    </row>
    <row r="174" spans="1:9" x14ac:dyDescent="0.25">
      <c r="A174" s="50">
        <f>'A) Base RI'!A165</f>
        <v>5663</v>
      </c>
      <c r="B174" s="33" t="str">
        <f>'A) Base RI'!B165</f>
        <v>Bussy-sur-Moudon</v>
      </c>
      <c r="C174" s="32">
        <f>'D) Ecrêtage'!C163</f>
        <v>5655.1166249999997</v>
      </c>
      <c r="D174" s="14">
        <f>'A) Base RI'!V165</f>
        <v>209</v>
      </c>
      <c r="E174" s="10">
        <f t="shared" si="6"/>
        <v>113171.65630184111</v>
      </c>
      <c r="F174" s="14">
        <f>'F) Population'!K166</f>
        <v>25809.60764587525</v>
      </c>
      <c r="G174" s="10">
        <f>'G) Solidarité'!I163</f>
        <v>96702.86963658387</v>
      </c>
      <c r="H174" s="14">
        <f t="shared" si="7"/>
        <v>122512.47728245912</v>
      </c>
      <c r="I174" s="58">
        <f t="shared" si="8"/>
        <v>-9340.8209806180093</v>
      </c>
    </row>
    <row r="175" spans="1:9" x14ac:dyDescent="0.25">
      <c r="A175" s="50">
        <f>'A) Base RI'!A166</f>
        <v>5665</v>
      </c>
      <c r="B175" s="33" t="str">
        <f>'A) Base RI'!B166</f>
        <v>Chavannes-sur-Moudon</v>
      </c>
      <c r="C175" s="32">
        <f>'D) Ecrêtage'!C164</f>
        <v>5028.5345205479452</v>
      </c>
      <c r="D175" s="14">
        <f>'A) Base RI'!V166</f>
        <v>220</v>
      </c>
      <c r="E175" s="10">
        <f t="shared" si="6"/>
        <v>100632.33319461302</v>
      </c>
      <c r="F175" s="14">
        <f>'F) Population'!K167</f>
        <v>27168.008048289736</v>
      </c>
      <c r="G175" s="10">
        <f>'G) Solidarité'!I164</f>
        <v>104362.33577271004</v>
      </c>
      <c r="H175" s="14">
        <f t="shared" si="7"/>
        <v>131530.34382099978</v>
      </c>
      <c r="I175" s="58">
        <f t="shared" si="8"/>
        <v>-30898.010626386764</v>
      </c>
    </row>
    <row r="176" spans="1:9" x14ac:dyDescent="0.25">
      <c r="A176" s="50">
        <f>'A) Base RI'!A167</f>
        <v>5669</v>
      </c>
      <c r="B176" s="33" t="str">
        <f>'A) Base RI'!B167</f>
        <v>Curtilles</v>
      </c>
      <c r="C176" s="32">
        <f>'D) Ecrêtage'!C165</f>
        <v>9029.3026666666665</v>
      </c>
      <c r="D176" s="14">
        <f>'A) Base RI'!V167</f>
        <v>318</v>
      </c>
      <c r="E176" s="10">
        <f t="shared" si="6"/>
        <v>180696.73992573007</v>
      </c>
      <c r="F176" s="14">
        <f>'F) Population'!K168</f>
        <v>39270.120724346074</v>
      </c>
      <c r="G176" s="10">
        <f>'G) Solidarité'!I165</f>
        <v>119806.4391898888</v>
      </c>
      <c r="H176" s="14">
        <f t="shared" si="7"/>
        <v>159076.55991423488</v>
      </c>
      <c r="I176" s="58">
        <f t="shared" si="8"/>
        <v>21620.180011495191</v>
      </c>
    </row>
    <row r="177" spans="1:9" x14ac:dyDescent="0.25">
      <c r="A177" s="50">
        <f>'A) Base RI'!A168</f>
        <v>5671</v>
      </c>
      <c r="B177" s="33" t="str">
        <f>'A) Base RI'!B168</f>
        <v>Dompierre</v>
      </c>
      <c r="C177" s="32">
        <f>'D) Ecrêtage'!C166</f>
        <v>6333.6785</v>
      </c>
      <c r="D177" s="14">
        <f>'A) Base RI'!V168</f>
        <v>259</v>
      </c>
      <c r="E177" s="10">
        <f t="shared" si="6"/>
        <v>126751.21201914392</v>
      </c>
      <c r="F177" s="14">
        <f>'F) Population'!K169</f>
        <v>31984.15492957746</v>
      </c>
      <c r="G177" s="10">
        <f>'G) Solidarité'!I166</f>
        <v>137015.99913864009</v>
      </c>
      <c r="H177" s="14">
        <f t="shared" si="7"/>
        <v>169000.15406821755</v>
      </c>
      <c r="I177" s="58">
        <f t="shared" si="8"/>
        <v>-42248.942049073637</v>
      </c>
    </row>
    <row r="178" spans="1:9" x14ac:dyDescent="0.25">
      <c r="A178" s="50">
        <f>'A) Base RI'!A169</f>
        <v>5673</v>
      </c>
      <c r="B178" s="33" t="str">
        <f>'A) Base RI'!B169</f>
        <v>Hermenches</v>
      </c>
      <c r="C178" s="32">
        <f>'D) Ecrêtage'!C167</f>
        <v>8912.655777777778</v>
      </c>
      <c r="D178" s="14">
        <f>'A) Base RI'!V169</f>
        <v>379</v>
      </c>
      <c r="E178" s="10">
        <f t="shared" si="6"/>
        <v>178362.37222062331</v>
      </c>
      <c r="F178" s="14">
        <f>'F) Population'!K170</f>
        <v>46803.068410462773</v>
      </c>
      <c r="G178" s="10">
        <f>'G) Solidarité'!I167</f>
        <v>184179.81644744473</v>
      </c>
      <c r="H178" s="14">
        <f t="shared" si="7"/>
        <v>230982.88485790748</v>
      </c>
      <c r="I178" s="58">
        <f t="shared" si="8"/>
        <v>-52620.512637284177</v>
      </c>
    </row>
    <row r="179" spans="1:9" x14ac:dyDescent="0.25">
      <c r="A179" s="50">
        <f>'A) Base RI'!A170</f>
        <v>5674</v>
      </c>
      <c r="B179" s="33" t="str">
        <f>'A) Base RI'!B170</f>
        <v>Lovatens</v>
      </c>
      <c r="C179" s="32">
        <f>'D) Ecrêtage'!C168</f>
        <v>3614.9058666666665</v>
      </c>
      <c r="D179" s="14">
        <f>'A) Base RI'!V170</f>
        <v>141</v>
      </c>
      <c r="E179" s="10">
        <f t="shared" si="6"/>
        <v>72342.431011475215</v>
      </c>
      <c r="F179" s="14">
        <f>'F) Population'!K171</f>
        <v>17412.22334004024</v>
      </c>
      <c r="G179" s="10">
        <f>'G) Solidarité'!I168</f>
        <v>61823.582432364732</v>
      </c>
      <c r="H179" s="14">
        <f t="shared" si="7"/>
        <v>79235.805772404972</v>
      </c>
      <c r="I179" s="58">
        <f t="shared" si="8"/>
        <v>-6893.374760929757</v>
      </c>
    </row>
    <row r="180" spans="1:9" x14ac:dyDescent="0.25">
      <c r="A180" s="50">
        <f>'A) Base RI'!A171</f>
        <v>5675</v>
      </c>
      <c r="B180" s="33" t="str">
        <f>'A) Base RI'!B171</f>
        <v>Lucens</v>
      </c>
      <c r="C180" s="32">
        <f>'D) Ecrêtage'!C169</f>
        <v>84285.039641873256</v>
      </c>
      <c r="D180" s="14">
        <f>'A) Base RI'!V171</f>
        <v>4157</v>
      </c>
      <c r="E180" s="10">
        <f t="shared" si="6"/>
        <v>1686734.0092631837</v>
      </c>
      <c r="F180" s="14">
        <f>'F) Population'!K172</f>
        <v>1386556.3380281688</v>
      </c>
      <c r="G180" s="10">
        <f>'G) Solidarité'!I169</f>
        <v>1797987.4612971547</v>
      </c>
      <c r="H180" s="14">
        <f t="shared" si="7"/>
        <v>3184543.7993253237</v>
      </c>
      <c r="I180" s="58">
        <f t="shared" si="8"/>
        <v>-1497809.79006214</v>
      </c>
    </row>
    <row r="181" spans="1:9" x14ac:dyDescent="0.25">
      <c r="A181" s="50">
        <f>'A) Base RI'!A172</f>
        <v>5678</v>
      </c>
      <c r="B181" s="33" t="str">
        <f>'A) Base RI'!B172</f>
        <v>Moudon</v>
      </c>
      <c r="C181" s="32">
        <f>'D) Ecrêtage'!C170</f>
        <v>115802.40466666668</v>
      </c>
      <c r="D181" s="14">
        <f>'A) Base RI'!V172</f>
        <v>6185</v>
      </c>
      <c r="E181" s="10">
        <f t="shared" si="6"/>
        <v>2317467.668469653</v>
      </c>
      <c r="F181" s="14">
        <f>'F) Population'!K173</f>
        <v>2505384.3058350096</v>
      </c>
      <c r="G181" s="10">
        <f>'G) Solidarité'!I170</f>
        <v>3669436.5030501783</v>
      </c>
      <c r="H181" s="14">
        <f t="shared" si="7"/>
        <v>6174820.8088851878</v>
      </c>
      <c r="I181" s="58">
        <f t="shared" si="8"/>
        <v>-3857353.1404155348</v>
      </c>
    </row>
    <row r="182" spans="1:9" x14ac:dyDescent="0.25">
      <c r="A182" s="50">
        <f>'A) Base RI'!A173</f>
        <v>5680</v>
      </c>
      <c r="B182" s="33" t="str">
        <f>'A) Base RI'!B173</f>
        <v>Ogens</v>
      </c>
      <c r="C182" s="32">
        <f>'D) Ecrêtage'!C171</f>
        <v>7404.4946581196582</v>
      </c>
      <c r="D182" s="14">
        <f>'A) Base RI'!V173</f>
        <v>304</v>
      </c>
      <c r="E182" s="10">
        <f t="shared" si="6"/>
        <v>148180.66188644455</v>
      </c>
      <c r="F182" s="14">
        <f>'F) Population'!K174</f>
        <v>37541.247484909451</v>
      </c>
      <c r="G182" s="10">
        <f>'G) Solidarité'!I171</f>
        <v>153598.82986950074</v>
      </c>
      <c r="H182" s="14">
        <f t="shared" si="7"/>
        <v>191140.0773544102</v>
      </c>
      <c r="I182" s="58">
        <f t="shared" si="8"/>
        <v>-42959.415467965649</v>
      </c>
    </row>
    <row r="183" spans="1:9" x14ac:dyDescent="0.25">
      <c r="A183" s="50">
        <f>'A) Base RI'!A174</f>
        <v>5683</v>
      </c>
      <c r="B183" s="33" t="str">
        <f>'A) Base RI'!B174</f>
        <v>Prévonloup</v>
      </c>
      <c r="C183" s="32">
        <f>'D) Ecrêtage'!C172</f>
        <v>3876.1695945945944</v>
      </c>
      <c r="D183" s="14">
        <f>'A) Base RI'!V174</f>
        <v>160</v>
      </c>
      <c r="E183" s="10">
        <f t="shared" si="6"/>
        <v>77570.908297069167</v>
      </c>
      <c r="F183" s="14">
        <f>'F) Population'!K175</f>
        <v>19758.551307847079</v>
      </c>
      <c r="G183" s="10">
        <f>'G) Solidarité'!I172</f>
        <v>73218.923066457079</v>
      </c>
      <c r="H183" s="14">
        <f t="shared" si="7"/>
        <v>92977.474374304162</v>
      </c>
      <c r="I183" s="58">
        <f t="shared" si="8"/>
        <v>-15406.566077234995</v>
      </c>
    </row>
    <row r="184" spans="1:9" x14ac:dyDescent="0.25">
      <c r="A184" s="50">
        <f>'A) Base RI'!A175</f>
        <v>5684</v>
      </c>
      <c r="B184" s="33" t="str">
        <f>'A) Base RI'!B175</f>
        <v>Rossenges</v>
      </c>
      <c r="C184" s="32">
        <f>'D) Ecrêtage'!C173</f>
        <v>2934.7781666666665</v>
      </c>
      <c r="D184" s="14">
        <f>'A) Base RI'!V175</f>
        <v>63</v>
      </c>
      <c r="E184" s="10">
        <f t="shared" si="6"/>
        <v>58731.539599353069</v>
      </c>
      <c r="F184" s="14">
        <f>'F) Population'!K176</f>
        <v>7779.9295774647881</v>
      </c>
      <c r="G184" s="10">
        <f>'G) Solidarité'!I173</f>
        <v>0</v>
      </c>
      <c r="H184" s="14">
        <f t="shared" si="7"/>
        <v>7779.9295774647881</v>
      </c>
      <c r="I184" s="58">
        <f t="shared" si="8"/>
        <v>50951.610021888278</v>
      </c>
    </row>
    <row r="185" spans="1:9" x14ac:dyDescent="0.25">
      <c r="A185" s="50">
        <f>'A) Base RI'!A176</f>
        <v>5688</v>
      </c>
      <c r="B185" s="33" t="str">
        <f>'A) Base RI'!B176</f>
        <v>Syens</v>
      </c>
      <c r="C185" s="32">
        <f>'D) Ecrêtage'!C174</f>
        <v>6079.6888888888907</v>
      </c>
      <c r="D185" s="14">
        <f>'A) Base RI'!V176</f>
        <v>150</v>
      </c>
      <c r="E185" s="10">
        <f t="shared" si="6"/>
        <v>121668.30624036083</v>
      </c>
      <c r="F185" s="14">
        <f>'F) Population'!K177</f>
        <v>18523.641851106637</v>
      </c>
      <c r="G185" s="10">
        <f>'G) Solidarité'!I174</f>
        <v>16002.972525388393</v>
      </c>
      <c r="H185" s="14">
        <f t="shared" si="7"/>
        <v>34526.614376495032</v>
      </c>
      <c r="I185" s="58">
        <f t="shared" si="8"/>
        <v>87141.691863865795</v>
      </c>
    </row>
    <row r="186" spans="1:9" x14ac:dyDescent="0.25">
      <c r="A186" s="50">
        <f>'A) Base RI'!A177</f>
        <v>5690</v>
      </c>
      <c r="B186" s="33" t="str">
        <f>'A) Base RI'!B177</f>
        <v>Villars-le-Comte</v>
      </c>
      <c r="C186" s="32">
        <f>'D) Ecrêtage'!C175</f>
        <v>3585.4957380952383</v>
      </c>
      <c r="D186" s="14">
        <f>'A) Base RI'!V177</f>
        <v>142</v>
      </c>
      <c r="E186" s="10">
        <f t="shared" si="6"/>
        <v>71753.86791310081</v>
      </c>
      <c r="F186" s="14">
        <f>'F) Population'!K178</f>
        <v>17535.714285714283</v>
      </c>
      <c r="G186" s="10">
        <f>'G) Solidarité'!I175</f>
        <v>55310.813052017482</v>
      </c>
      <c r="H186" s="14">
        <f t="shared" si="7"/>
        <v>72846.527337731764</v>
      </c>
      <c r="I186" s="58">
        <f t="shared" si="8"/>
        <v>-1092.6594246309542</v>
      </c>
    </row>
    <row r="187" spans="1:9" x14ac:dyDescent="0.25">
      <c r="A187" s="50">
        <f>'A) Base RI'!A178</f>
        <v>5692</v>
      </c>
      <c r="B187" s="33" t="str">
        <f>'A) Base RI'!B178</f>
        <v>Vucherens</v>
      </c>
      <c r="C187" s="32">
        <f>'D) Ecrêtage'!C176</f>
        <v>17261.954936708858</v>
      </c>
      <c r="D187" s="14">
        <f>'A) Base RI'!V178</f>
        <v>583</v>
      </c>
      <c r="E187" s="10">
        <f t="shared" si="6"/>
        <v>345450.70610194257</v>
      </c>
      <c r="F187" s="14">
        <f>'F) Population'!K179</f>
        <v>71995.221327967796</v>
      </c>
      <c r="G187" s="10">
        <f>'G) Solidarité'!I176</f>
        <v>226104.97888266345</v>
      </c>
      <c r="H187" s="14">
        <f t="shared" si="7"/>
        <v>298100.20021063124</v>
      </c>
      <c r="I187" s="58">
        <f t="shared" si="8"/>
        <v>47350.505891311332</v>
      </c>
    </row>
    <row r="188" spans="1:9" x14ac:dyDescent="0.25">
      <c r="A188" s="50">
        <f>'A) Base RI'!A179</f>
        <v>5693</v>
      </c>
      <c r="B188" s="33" t="str">
        <f>'A) Base RI'!B179</f>
        <v>Montanaire</v>
      </c>
      <c r="C188" s="32">
        <f>'D) Ecrêtage'!C177</f>
        <v>70163.69902777778</v>
      </c>
      <c r="D188" s="14">
        <f>'A) Base RI'!V179</f>
        <v>2606</v>
      </c>
      <c r="E188" s="10">
        <f t="shared" si="6"/>
        <v>1404134.0891422359</v>
      </c>
      <c r="F188" s="14">
        <f>'F) Population'!K180</f>
        <v>678805.03018108639</v>
      </c>
      <c r="G188" s="10">
        <f>'G) Solidarité'!I177</f>
        <v>983889.77602183132</v>
      </c>
      <c r="H188" s="14">
        <f t="shared" si="7"/>
        <v>1662694.8062029178</v>
      </c>
      <c r="I188" s="58">
        <f t="shared" si="8"/>
        <v>-258560.7170606819</v>
      </c>
    </row>
    <row r="189" spans="1:9" x14ac:dyDescent="0.25">
      <c r="A189" s="50">
        <f>'A) Base RI'!A180</f>
        <v>5701</v>
      </c>
      <c r="B189" s="33" t="str">
        <f>'A) Base RI'!B180</f>
        <v>Arnex-sur-Nyon</v>
      </c>
      <c r="C189" s="32">
        <f>'D) Ecrêtage'!C178</f>
        <v>14485.916142857144</v>
      </c>
      <c r="D189" s="14">
        <f>'A) Base RI'!V180</f>
        <v>224</v>
      </c>
      <c r="E189" s="10">
        <f t="shared" si="6"/>
        <v>289895.89988106047</v>
      </c>
      <c r="F189" s="14">
        <f>'F) Population'!K181</f>
        <v>27661.971830985913</v>
      </c>
      <c r="G189" s="10">
        <f>'G) Solidarité'!I178</f>
        <v>0</v>
      </c>
      <c r="H189" s="14">
        <f t="shared" si="7"/>
        <v>27661.971830985913</v>
      </c>
      <c r="I189" s="58">
        <f t="shared" si="8"/>
        <v>262233.92805007455</v>
      </c>
    </row>
    <row r="190" spans="1:9" x14ac:dyDescent="0.25">
      <c r="A190" s="50">
        <f>'A) Base RI'!A181</f>
        <v>5702</v>
      </c>
      <c r="B190" s="33" t="str">
        <f>'A) Base RI'!B181</f>
        <v>Arzier-Le Muids</v>
      </c>
      <c r="C190" s="32">
        <f>'D) Ecrêtage'!C179</f>
        <v>155554.60781250003</v>
      </c>
      <c r="D190" s="14">
        <f>'A) Base RI'!V181</f>
        <v>2653</v>
      </c>
      <c r="E190" s="10">
        <f t="shared" si="6"/>
        <v>3112999.0376677588</v>
      </c>
      <c r="F190" s="14">
        <f>'F) Population'!K182</f>
        <v>695056.43863179069</v>
      </c>
      <c r="G190" s="10">
        <f>'G) Solidarité'!I179</f>
        <v>0</v>
      </c>
      <c r="H190" s="14">
        <f t="shared" si="7"/>
        <v>695056.43863179069</v>
      </c>
      <c r="I190" s="58">
        <f t="shared" si="8"/>
        <v>2417942.5990359681</v>
      </c>
    </row>
    <row r="191" spans="1:9" x14ac:dyDescent="0.25">
      <c r="A191" s="50">
        <f>'A) Base RI'!A182</f>
        <v>5703</v>
      </c>
      <c r="B191" s="33" t="str">
        <f>'A) Base RI'!B182</f>
        <v>Bassins</v>
      </c>
      <c r="C191" s="32">
        <f>'D) Ecrêtage'!C180</f>
        <v>56619.784440154435</v>
      </c>
      <c r="D191" s="14">
        <f>'A) Base RI'!V182</f>
        <v>1356</v>
      </c>
      <c r="E191" s="10">
        <f t="shared" si="6"/>
        <v>1133089.7679843144</v>
      </c>
      <c r="F191" s="14">
        <f>'F) Population'!K183</f>
        <v>246586.72032193159</v>
      </c>
      <c r="G191" s="10">
        <f>'G) Solidarité'!I180</f>
        <v>102438.79898290509</v>
      </c>
      <c r="H191" s="14">
        <f t="shared" si="7"/>
        <v>349025.51930483669</v>
      </c>
      <c r="I191" s="58">
        <f t="shared" si="8"/>
        <v>784064.24867947772</v>
      </c>
    </row>
    <row r="192" spans="1:9" x14ac:dyDescent="0.25">
      <c r="A192" s="50">
        <f>'A) Base RI'!A183</f>
        <v>5704</v>
      </c>
      <c r="B192" s="33" t="str">
        <f>'A) Base RI'!B183</f>
        <v>Begnins</v>
      </c>
      <c r="C192" s="32">
        <f>'D) Ecrêtage'!C181</f>
        <v>127181.77029850746</v>
      </c>
      <c r="D192" s="14">
        <f>'A) Base RI'!V183</f>
        <v>1910</v>
      </c>
      <c r="E192" s="10">
        <f t="shared" si="6"/>
        <v>2545194.4761762344</v>
      </c>
      <c r="F192" s="14">
        <f>'F) Population'!K184</f>
        <v>438145.87525150902</v>
      </c>
      <c r="G192" s="10">
        <f>'G) Solidarité'!I181</f>
        <v>0</v>
      </c>
      <c r="H192" s="14">
        <f t="shared" si="7"/>
        <v>438145.87525150902</v>
      </c>
      <c r="I192" s="58">
        <f t="shared" si="8"/>
        <v>2107048.6009247256</v>
      </c>
    </row>
    <row r="193" spans="1:9" x14ac:dyDescent="0.25">
      <c r="A193" s="50">
        <f>'A) Base RI'!A184</f>
        <v>5705</v>
      </c>
      <c r="B193" s="33" t="str">
        <f>'A) Base RI'!B184</f>
        <v>Bogis-Bossey</v>
      </c>
      <c r="C193" s="32">
        <f>'D) Ecrêtage'!C182</f>
        <v>54965.953000000009</v>
      </c>
      <c r="D193" s="14">
        <f>'A) Base RI'!V184</f>
        <v>893</v>
      </c>
      <c r="E193" s="10">
        <f t="shared" si="6"/>
        <v>1099992.8655262974</v>
      </c>
      <c r="F193" s="14">
        <f>'F) Population'!K185</f>
        <v>110277.41448692152</v>
      </c>
      <c r="G193" s="10">
        <f>'G) Solidarité'!I182</f>
        <v>0</v>
      </c>
      <c r="H193" s="14">
        <f t="shared" si="7"/>
        <v>110277.41448692152</v>
      </c>
      <c r="I193" s="58">
        <f t="shared" si="8"/>
        <v>989715.45103937585</v>
      </c>
    </row>
    <row r="194" spans="1:9" x14ac:dyDescent="0.25">
      <c r="A194" s="50">
        <f>'A) Base RI'!A185</f>
        <v>5706</v>
      </c>
      <c r="B194" s="33" t="str">
        <f>'A) Base RI'!B185</f>
        <v>Borex</v>
      </c>
      <c r="C194" s="32">
        <f>'D) Ecrêtage'!C183</f>
        <v>71857.063735632182</v>
      </c>
      <c r="D194" s="14">
        <f>'A) Base RI'!V185</f>
        <v>1126</v>
      </c>
      <c r="E194" s="10">
        <f t="shared" si="6"/>
        <v>1438022.1415766922</v>
      </c>
      <c r="F194" s="14">
        <f>'F) Population'!K186</f>
        <v>167058.55130784708</v>
      </c>
      <c r="G194" s="10">
        <f>'G) Solidarité'!I183</f>
        <v>0</v>
      </c>
      <c r="H194" s="14">
        <f t="shared" si="7"/>
        <v>167058.55130784708</v>
      </c>
      <c r="I194" s="58">
        <f t="shared" si="8"/>
        <v>1270963.5902688452</v>
      </c>
    </row>
    <row r="195" spans="1:9" x14ac:dyDescent="0.25">
      <c r="A195" s="50">
        <f>'A) Base RI'!A186</f>
        <v>5707</v>
      </c>
      <c r="B195" s="33" t="str">
        <f>'A) Base RI'!B186</f>
        <v>Chavannes-de-Bogis</v>
      </c>
      <c r="C195" s="32">
        <f>'D) Ecrêtage'!C184</f>
        <v>84087.690451977411</v>
      </c>
      <c r="D195" s="14">
        <f>'A) Base RI'!V186</f>
        <v>1290</v>
      </c>
      <c r="E195" s="10">
        <f t="shared" si="6"/>
        <v>1682784.6062408651</v>
      </c>
      <c r="F195" s="14">
        <f>'F) Population'!K187</f>
        <v>223765.59356136818</v>
      </c>
      <c r="G195" s="10">
        <f>'G) Solidarité'!I184</f>
        <v>0</v>
      </c>
      <c r="H195" s="14">
        <f t="shared" si="7"/>
        <v>223765.59356136818</v>
      </c>
      <c r="I195" s="58">
        <f t="shared" si="8"/>
        <v>1459019.0126794968</v>
      </c>
    </row>
    <row r="196" spans="1:9" x14ac:dyDescent="0.25">
      <c r="A196" s="50">
        <f>'A) Base RI'!A187</f>
        <v>5708</v>
      </c>
      <c r="B196" s="33" t="str">
        <f>'A) Base RI'!B187</f>
        <v>Chavannes-des-Bois</v>
      </c>
      <c r="C196" s="32">
        <f>'D) Ecrêtage'!C185</f>
        <v>57555.435593220333</v>
      </c>
      <c r="D196" s="14">
        <f>'A) Base RI'!V187</f>
        <v>942</v>
      </c>
      <c r="E196" s="10">
        <f t="shared" si="6"/>
        <v>1151814.2608170675</v>
      </c>
      <c r="F196" s="14">
        <f>'F) Population'!K188</f>
        <v>116328.47082494969</v>
      </c>
      <c r="G196" s="10">
        <f>'G) Solidarité'!I185</f>
        <v>0</v>
      </c>
      <c r="H196" s="14">
        <f t="shared" si="7"/>
        <v>116328.47082494969</v>
      </c>
      <c r="I196" s="58">
        <f t="shared" si="8"/>
        <v>1035485.7899921178</v>
      </c>
    </row>
    <row r="197" spans="1:9" x14ac:dyDescent="0.25">
      <c r="A197" s="50">
        <f>'A) Base RI'!A188</f>
        <v>5709</v>
      </c>
      <c r="B197" s="33" t="str">
        <f>'A) Base RI'!B188</f>
        <v>Chéserex</v>
      </c>
      <c r="C197" s="32">
        <f>'D) Ecrêtage'!C186</f>
        <v>76627.19473684211</v>
      </c>
      <c r="D197" s="14">
        <f>'A) Base RI'!V188</f>
        <v>1219</v>
      </c>
      <c r="E197" s="10">
        <f t="shared" si="6"/>
        <v>1533483.2367196572</v>
      </c>
      <c r="F197" s="14">
        <f>'F) Population'!K189</f>
        <v>199215.59356136818</v>
      </c>
      <c r="G197" s="10">
        <f>'G) Solidarité'!I186</f>
        <v>0</v>
      </c>
      <c r="H197" s="14">
        <f t="shared" si="7"/>
        <v>199215.59356136818</v>
      </c>
      <c r="I197" s="58">
        <f t="shared" si="8"/>
        <v>1334267.6431582891</v>
      </c>
    </row>
    <row r="198" spans="1:9" x14ac:dyDescent="0.25">
      <c r="A198" s="50">
        <f>'A) Base RI'!A189</f>
        <v>5710</v>
      </c>
      <c r="B198" s="33" t="str">
        <f>'A) Base RI'!B189</f>
        <v>Coinsins</v>
      </c>
      <c r="C198" s="32">
        <f>'D) Ecrêtage'!C187</f>
        <v>93255.286470588253</v>
      </c>
      <c r="D198" s="14">
        <f>'A) Base RI'!V189</f>
        <v>484</v>
      </c>
      <c r="E198" s="10">
        <f t="shared" si="6"/>
        <v>1866248.9084880981</v>
      </c>
      <c r="F198" s="14">
        <f>'F) Population'!K190</f>
        <v>59769.617706237419</v>
      </c>
      <c r="G198" s="10">
        <f>'G) Solidarité'!I187</f>
        <v>0</v>
      </c>
      <c r="H198" s="14">
        <f t="shared" si="7"/>
        <v>59769.617706237419</v>
      </c>
      <c r="I198" s="58">
        <f t="shared" si="8"/>
        <v>1806479.2907818607</v>
      </c>
    </row>
    <row r="199" spans="1:9" x14ac:dyDescent="0.25">
      <c r="A199" s="50">
        <f>'A) Base RI'!A190</f>
        <v>5711</v>
      </c>
      <c r="B199" s="33" t="str">
        <f>'A) Base RI'!B190</f>
        <v>Commugny</v>
      </c>
      <c r="C199" s="32">
        <f>'D) Ecrêtage'!C188</f>
        <v>252725.09392712548</v>
      </c>
      <c r="D199" s="14">
        <f>'A) Base RI'!V190</f>
        <v>2858</v>
      </c>
      <c r="E199" s="10">
        <f t="shared" si="6"/>
        <v>5057599.9338954668</v>
      </c>
      <c r="F199" s="14">
        <f>'F) Population'!K191</f>
        <v>765940.24144869205</v>
      </c>
      <c r="G199" s="10">
        <f>'G) Solidarité'!I188</f>
        <v>0</v>
      </c>
      <c r="H199" s="14">
        <f t="shared" si="7"/>
        <v>765940.24144869205</v>
      </c>
      <c r="I199" s="58">
        <f t="shared" si="8"/>
        <v>4291659.6924467748</v>
      </c>
    </row>
    <row r="200" spans="1:9" x14ac:dyDescent="0.25">
      <c r="A200" s="50">
        <f>'A) Base RI'!A191</f>
        <v>5712</v>
      </c>
      <c r="B200" s="33" t="str">
        <f>'A) Base RI'!B191</f>
        <v>Coppet</v>
      </c>
      <c r="C200" s="32">
        <f>'D) Ecrêtage'!C189</f>
        <v>325058.64591194969</v>
      </c>
      <c r="D200" s="14">
        <f>'A) Base RI'!V191</f>
        <v>3123</v>
      </c>
      <c r="E200" s="10">
        <f t="shared" si="6"/>
        <v>6505157.6815339401</v>
      </c>
      <c r="F200" s="14">
        <f>'F) Population'!K192</f>
        <v>875797.78672032186</v>
      </c>
      <c r="G200" s="10">
        <f>'G) Solidarité'!I189</f>
        <v>0</v>
      </c>
      <c r="H200" s="14">
        <f t="shared" si="7"/>
        <v>875797.78672032186</v>
      </c>
      <c r="I200" s="58">
        <f t="shared" si="8"/>
        <v>5629359.8948136186</v>
      </c>
    </row>
    <row r="201" spans="1:9" x14ac:dyDescent="0.25">
      <c r="A201" s="50">
        <f>'A) Base RI'!A192</f>
        <v>5713</v>
      </c>
      <c r="B201" s="33" t="str">
        <f>'A) Base RI'!B192</f>
        <v>Crans-près-Céligny</v>
      </c>
      <c r="C201" s="32">
        <f>'D) Ecrêtage'!C190</f>
        <v>238982.42094339622</v>
      </c>
      <c r="D201" s="14">
        <f>'A) Base RI'!V192</f>
        <v>2177</v>
      </c>
      <c r="E201" s="10">
        <f t="shared" si="6"/>
        <v>4782578.0083161332</v>
      </c>
      <c r="F201" s="14">
        <f>'F) Population'!K193</f>
        <v>530467.70623742451</v>
      </c>
      <c r="G201" s="10">
        <f>'G) Solidarité'!I190</f>
        <v>0</v>
      </c>
      <c r="H201" s="14">
        <f t="shared" si="7"/>
        <v>530467.70623742451</v>
      </c>
      <c r="I201" s="58">
        <f t="shared" si="8"/>
        <v>4252110.302078709</v>
      </c>
    </row>
    <row r="202" spans="1:9" x14ac:dyDescent="0.25">
      <c r="A202" s="50">
        <f>'A) Base RI'!A193</f>
        <v>5714</v>
      </c>
      <c r="B202" s="33" t="str">
        <f>'A) Base RI'!B193</f>
        <v>Crassier</v>
      </c>
      <c r="C202" s="32">
        <f>'D) Ecrêtage'!C191</f>
        <v>81379.304374999992</v>
      </c>
      <c r="D202" s="14">
        <f>'A) Base RI'!V193</f>
        <v>1161</v>
      </c>
      <c r="E202" s="10">
        <f t="shared" si="6"/>
        <v>1628583.6836849344</v>
      </c>
      <c r="F202" s="14">
        <f>'F) Population'!K194</f>
        <v>179160.66398390342</v>
      </c>
      <c r="G202" s="10">
        <f>'G) Solidarité'!I191</f>
        <v>0</v>
      </c>
      <c r="H202" s="14">
        <f t="shared" si="7"/>
        <v>179160.66398390342</v>
      </c>
      <c r="I202" s="58">
        <f t="shared" si="8"/>
        <v>1449423.019701031</v>
      </c>
    </row>
    <row r="203" spans="1:9" x14ac:dyDescent="0.25">
      <c r="A203" s="50">
        <f>'A) Base RI'!A194</f>
        <v>5715</v>
      </c>
      <c r="B203" s="33" t="str">
        <f>'A) Base RI'!B194</f>
        <v>Duillier</v>
      </c>
      <c r="C203" s="32">
        <f>'D) Ecrêtage'!C192</f>
        <v>59220.850303030304</v>
      </c>
      <c r="D203" s="14">
        <f>'A) Base RI'!V194</f>
        <v>1078</v>
      </c>
      <c r="E203" s="10">
        <f t="shared" si="6"/>
        <v>1185142.9706628427</v>
      </c>
      <c r="F203" s="14">
        <f>'F) Population'!K195</f>
        <v>150461.36820925551</v>
      </c>
      <c r="G203" s="10">
        <f>'G) Solidarité'!I192</f>
        <v>0</v>
      </c>
      <c r="H203" s="14">
        <f t="shared" si="7"/>
        <v>150461.36820925551</v>
      </c>
      <c r="I203" s="58">
        <f t="shared" si="8"/>
        <v>1034681.6024535872</v>
      </c>
    </row>
    <row r="204" spans="1:9" x14ac:dyDescent="0.25">
      <c r="A204" s="50">
        <f>'A) Base RI'!A195</f>
        <v>5716</v>
      </c>
      <c r="B204" s="33" t="str">
        <f>'A) Base RI'!B195</f>
        <v>Eysins</v>
      </c>
      <c r="C204" s="32">
        <f>'D) Ecrêtage'!C193</f>
        <v>124151.91836065573</v>
      </c>
      <c r="D204" s="14">
        <f>'A) Base RI'!V195</f>
        <v>1603</v>
      </c>
      <c r="E204" s="10">
        <f t="shared" si="6"/>
        <v>2484560.2956820307</v>
      </c>
      <c r="F204" s="14">
        <f>'F) Population'!K196</f>
        <v>331993.05835010053</v>
      </c>
      <c r="G204" s="10">
        <f>'G) Solidarité'!I193</f>
        <v>0</v>
      </c>
      <c r="H204" s="14">
        <f t="shared" si="7"/>
        <v>331993.05835010053</v>
      </c>
      <c r="I204" s="58">
        <f t="shared" si="8"/>
        <v>2152567.2373319301</v>
      </c>
    </row>
    <row r="205" spans="1:9" x14ac:dyDescent="0.25">
      <c r="A205" s="50">
        <f>'A) Base RI'!A196</f>
        <v>5717</v>
      </c>
      <c r="B205" s="33" t="str">
        <f>'A) Base RI'!B196</f>
        <v>Founex</v>
      </c>
      <c r="C205" s="32">
        <f>'D) Ecrêtage'!C194</f>
        <v>339342.81578947371</v>
      </c>
      <c r="D205" s="14">
        <f>'A) Base RI'!V196</f>
        <v>3788</v>
      </c>
      <c r="E205" s="10">
        <f t="shared" si="6"/>
        <v>6791016.1829819558</v>
      </c>
      <c r="F205" s="14">
        <f>'F) Population'!K197</f>
        <v>1204283.7022132794</v>
      </c>
      <c r="G205" s="10">
        <f>'G) Solidarité'!I194</f>
        <v>0</v>
      </c>
      <c r="H205" s="14">
        <f t="shared" si="7"/>
        <v>1204283.7022132794</v>
      </c>
      <c r="I205" s="58">
        <f t="shared" si="8"/>
        <v>5586732.4807686768</v>
      </c>
    </row>
    <row r="206" spans="1:9" x14ac:dyDescent="0.25">
      <c r="A206" s="50">
        <f>'A) Base RI'!A197</f>
        <v>5718</v>
      </c>
      <c r="B206" s="33" t="str">
        <f>'A) Base RI'!B197</f>
        <v>Genolier</v>
      </c>
      <c r="C206" s="32">
        <f>'D) Ecrêtage'!C195</f>
        <v>176672.45218181823</v>
      </c>
      <c r="D206" s="14">
        <f>'A) Base RI'!V197</f>
        <v>1945</v>
      </c>
      <c r="E206" s="10">
        <f t="shared" si="6"/>
        <v>3535614.8002207102</v>
      </c>
      <c r="F206" s="14">
        <f>'F) Population'!K198</f>
        <v>450247.98792756535</v>
      </c>
      <c r="G206" s="10">
        <f>'G) Solidarité'!I195</f>
        <v>0</v>
      </c>
      <c r="H206" s="14">
        <f t="shared" si="7"/>
        <v>450247.98792756535</v>
      </c>
      <c r="I206" s="58">
        <f t="shared" si="8"/>
        <v>3085366.8122931449</v>
      </c>
    </row>
    <row r="207" spans="1:9" x14ac:dyDescent="0.25">
      <c r="A207" s="50">
        <f>'A) Base RI'!A198</f>
        <v>5719</v>
      </c>
      <c r="B207" s="33" t="str">
        <f>'A) Base RI'!B198</f>
        <v>Gingins</v>
      </c>
      <c r="C207" s="32">
        <f>'D) Ecrêtage'!C196</f>
        <v>130825.37064327484</v>
      </c>
      <c r="D207" s="14">
        <f>'A) Base RI'!V198</f>
        <v>1212</v>
      </c>
      <c r="E207" s="10">
        <f t="shared" si="6"/>
        <v>2618111.1485037985</v>
      </c>
      <c r="F207" s="14">
        <f>'F) Population'!K199</f>
        <v>196795.17102615692</v>
      </c>
      <c r="G207" s="10">
        <f>'G) Solidarité'!I196</f>
        <v>0</v>
      </c>
      <c r="H207" s="14">
        <f t="shared" si="7"/>
        <v>196795.17102615692</v>
      </c>
      <c r="I207" s="58">
        <f t="shared" si="8"/>
        <v>2421315.9774776418</v>
      </c>
    </row>
    <row r="208" spans="1:9" x14ac:dyDescent="0.25">
      <c r="A208" s="50">
        <f>'A) Base RI'!A199</f>
        <v>5720</v>
      </c>
      <c r="B208" s="33" t="str">
        <f>'A) Base RI'!B199</f>
        <v>Givrins</v>
      </c>
      <c r="C208" s="32">
        <f>'D) Ecrêtage'!C197</f>
        <v>72642.976593806918</v>
      </c>
      <c r="D208" s="14">
        <f>'A) Base RI'!V199</f>
        <v>995</v>
      </c>
      <c r="E208" s="10">
        <f t="shared" si="6"/>
        <v>1453750.0329300468</v>
      </c>
      <c r="F208" s="14">
        <f>'F) Population'!K200</f>
        <v>122873.49094567403</v>
      </c>
      <c r="G208" s="10">
        <f>'G) Solidarité'!I197</f>
        <v>0</v>
      </c>
      <c r="H208" s="14">
        <f t="shared" si="7"/>
        <v>122873.49094567403</v>
      </c>
      <c r="I208" s="58">
        <f t="shared" si="8"/>
        <v>1330876.5419843728</v>
      </c>
    </row>
    <row r="209" spans="1:9" x14ac:dyDescent="0.25">
      <c r="A209" s="50">
        <f>'A) Base RI'!A200</f>
        <v>5721</v>
      </c>
      <c r="B209" s="33" t="str">
        <f>'A) Base RI'!B200</f>
        <v>Gland</v>
      </c>
      <c r="C209" s="32">
        <f>'D) Ecrêtage'!C198</f>
        <v>599217.55248000007</v>
      </c>
      <c r="D209" s="14">
        <f>'A) Base RI'!V200</f>
        <v>13081</v>
      </c>
      <c r="E209" s="10">
        <f t="shared" ref="E209:E272" si="9">C209*E$15</f>
        <v>11991696.616742544</v>
      </c>
      <c r="F209" s="14">
        <f>'F) Population'!K201</f>
        <v>7761158.9537223335</v>
      </c>
      <c r="G209" s="10">
        <f>'G) Solidarité'!I198</f>
        <v>0</v>
      </c>
      <c r="H209" s="14">
        <f t="shared" ref="H209:H272" si="10">F209+G209</f>
        <v>7761158.9537223335</v>
      </c>
      <c r="I209" s="58">
        <f t="shared" ref="I209:I272" si="11">E209-H209</f>
        <v>4230537.6630202103</v>
      </c>
    </row>
    <row r="210" spans="1:9" x14ac:dyDescent="0.25">
      <c r="A210" s="50">
        <f>'A) Base RI'!A201</f>
        <v>5722</v>
      </c>
      <c r="B210" s="33" t="str">
        <f>'A) Base RI'!B201</f>
        <v>Grens</v>
      </c>
      <c r="C210" s="32">
        <f>'D) Ecrêtage'!C199</f>
        <v>25282.227903225812</v>
      </c>
      <c r="D210" s="14">
        <f>'A) Base RI'!V201</f>
        <v>382</v>
      </c>
      <c r="E210" s="10">
        <f t="shared" si="9"/>
        <v>505954.4827351264</v>
      </c>
      <c r="F210" s="14">
        <f>'F) Population'!K202</f>
        <v>47173.541247484907</v>
      </c>
      <c r="G210" s="10">
        <f>'G) Solidarité'!I199</f>
        <v>0</v>
      </c>
      <c r="H210" s="14">
        <f t="shared" si="10"/>
        <v>47173.541247484907</v>
      </c>
      <c r="I210" s="58">
        <f t="shared" si="11"/>
        <v>458780.94148764148</v>
      </c>
    </row>
    <row r="211" spans="1:9" x14ac:dyDescent="0.25">
      <c r="A211" s="50">
        <f>'A) Base RI'!A202</f>
        <v>5723</v>
      </c>
      <c r="B211" s="33" t="str">
        <f>'A) Base RI'!B202</f>
        <v>Mies</v>
      </c>
      <c r="C211" s="32">
        <f>'D) Ecrêtage'!C200</f>
        <v>442357.54510204075</v>
      </c>
      <c r="D211" s="14">
        <f>'A) Base RI'!V202</f>
        <v>2037</v>
      </c>
      <c r="E211" s="10">
        <f t="shared" si="9"/>
        <v>8852573.5853969827</v>
      </c>
      <c r="F211" s="14">
        <f>'F) Population'!K203</f>
        <v>482059.25553319918</v>
      </c>
      <c r="G211" s="10">
        <f>'G) Solidarité'!I200</f>
        <v>0</v>
      </c>
      <c r="H211" s="14">
        <f t="shared" si="10"/>
        <v>482059.25553319918</v>
      </c>
      <c r="I211" s="58">
        <f t="shared" si="11"/>
        <v>8370514.3298637839</v>
      </c>
    </row>
    <row r="212" spans="1:9" x14ac:dyDescent="0.25">
      <c r="A212" s="50">
        <f>'A) Base RI'!A203</f>
        <v>5724</v>
      </c>
      <c r="B212" s="33" t="str">
        <f>'A) Base RI'!B203</f>
        <v>Nyon</v>
      </c>
      <c r="C212" s="32">
        <f>'D) Ecrêtage'!C201</f>
        <v>1295846.4763430012</v>
      </c>
      <c r="D212" s="14">
        <f>'A) Base RI'!V203</f>
        <v>20551</v>
      </c>
      <c r="E212" s="10">
        <f t="shared" si="9"/>
        <v>25932814.787995998</v>
      </c>
      <c r="F212" s="14">
        <f>'F) Population'!K204</f>
        <v>15415177.162977867</v>
      </c>
      <c r="G212" s="10">
        <f>'G) Solidarité'!I201</f>
        <v>0</v>
      </c>
      <c r="H212" s="14">
        <f t="shared" si="10"/>
        <v>15415177.162977867</v>
      </c>
      <c r="I212" s="58">
        <f t="shared" si="11"/>
        <v>10517637.625018131</v>
      </c>
    </row>
    <row r="213" spans="1:9" x14ac:dyDescent="0.25">
      <c r="A213" s="50">
        <f>'A) Base RI'!A204</f>
        <v>5725</v>
      </c>
      <c r="B213" s="33" t="str">
        <f>'A) Base RI'!B204</f>
        <v>Prangins</v>
      </c>
      <c r="C213" s="32">
        <f>'D) Ecrêtage'!C202</f>
        <v>297756.63698979589</v>
      </c>
      <c r="D213" s="14">
        <f>'A) Base RI'!V204</f>
        <v>4069</v>
      </c>
      <c r="E213" s="10">
        <f t="shared" si="9"/>
        <v>5958782.8187365197</v>
      </c>
      <c r="F213" s="14">
        <f>'F) Population'!K205</f>
        <v>1343087.5251509054</v>
      </c>
      <c r="G213" s="10">
        <f>'G) Solidarité'!I202</f>
        <v>0</v>
      </c>
      <c r="H213" s="14">
        <f t="shared" si="10"/>
        <v>1343087.5251509054</v>
      </c>
      <c r="I213" s="58">
        <f t="shared" si="11"/>
        <v>4615695.2935856143</v>
      </c>
    </row>
    <row r="214" spans="1:9" x14ac:dyDescent="0.25">
      <c r="A214" s="50">
        <f>'A) Base RI'!A205</f>
        <v>5726</v>
      </c>
      <c r="B214" s="33" t="str">
        <f>'A) Base RI'!B205</f>
        <v>La Rippe</v>
      </c>
      <c r="C214" s="32">
        <f>'D) Ecrêtage'!C203</f>
        <v>56821.794000000002</v>
      </c>
      <c r="D214" s="14">
        <f>'A) Base RI'!V205</f>
        <v>1164</v>
      </c>
      <c r="E214" s="10">
        <f t="shared" si="9"/>
        <v>1137132.4355352297</v>
      </c>
      <c r="F214" s="14">
        <f>'F) Population'!K206</f>
        <v>180197.98792756538</v>
      </c>
      <c r="G214" s="10">
        <f>'G) Solidarité'!I203</f>
        <v>0</v>
      </c>
      <c r="H214" s="14">
        <f t="shared" si="10"/>
        <v>180197.98792756538</v>
      </c>
      <c r="I214" s="58">
        <f t="shared" si="11"/>
        <v>956934.44760766439</v>
      </c>
    </row>
    <row r="215" spans="1:9" x14ac:dyDescent="0.25">
      <c r="A215" s="50">
        <f>'A) Base RI'!A206</f>
        <v>5727</v>
      </c>
      <c r="B215" s="33" t="str">
        <f>'A) Base RI'!B206</f>
        <v>Saint-Cergue</v>
      </c>
      <c r="C215" s="32">
        <f>'D) Ecrêtage'!C204</f>
        <v>100367.45777777779</v>
      </c>
      <c r="D215" s="14">
        <f>'A) Base RI'!V206</f>
        <v>2559</v>
      </c>
      <c r="E215" s="10">
        <f t="shared" si="9"/>
        <v>2008579.5198814697</v>
      </c>
      <c r="F215" s="14">
        <f>'F) Population'!K207</f>
        <v>662553.62173038232</v>
      </c>
      <c r="G215" s="10">
        <f>'G) Solidarité'!I204</f>
        <v>266196.73672534531</v>
      </c>
      <c r="H215" s="14">
        <f t="shared" si="10"/>
        <v>928750.35845572758</v>
      </c>
      <c r="I215" s="58">
        <f t="shared" si="11"/>
        <v>1079829.1614257421</v>
      </c>
    </row>
    <row r="216" spans="1:9" x14ac:dyDescent="0.25">
      <c r="A216" s="50">
        <f>'A) Base RI'!A207</f>
        <v>5728</v>
      </c>
      <c r="B216" s="33" t="str">
        <f>'A) Base RI'!B207</f>
        <v>Signy-Avenex</v>
      </c>
      <c r="C216" s="32">
        <f>'D) Ecrêtage'!C205</f>
        <v>36550.556034482761</v>
      </c>
      <c r="D216" s="14">
        <f>'A) Base RI'!V207</f>
        <v>567</v>
      </c>
      <c r="E216" s="10">
        <f t="shared" si="9"/>
        <v>731459.17926593916</v>
      </c>
      <c r="F216" s="14">
        <f>'F) Population'!K208</f>
        <v>70019.366197183088</v>
      </c>
      <c r="G216" s="10">
        <f>'G) Solidarité'!I205</f>
        <v>0</v>
      </c>
      <c r="H216" s="14">
        <f t="shared" si="10"/>
        <v>70019.366197183088</v>
      </c>
      <c r="I216" s="58">
        <f t="shared" si="11"/>
        <v>661439.81306875614</v>
      </c>
    </row>
    <row r="217" spans="1:9" x14ac:dyDescent="0.25">
      <c r="A217" s="50">
        <f>'A) Base RI'!A208</f>
        <v>5729</v>
      </c>
      <c r="B217" s="33" t="str">
        <f>'A) Base RI'!B208</f>
        <v>Tannay</v>
      </c>
      <c r="C217" s="32">
        <f>'D) Ecrêtage'!C206</f>
        <v>172823.24043715847</v>
      </c>
      <c r="D217" s="14">
        <f>'A) Base RI'!V208</f>
        <v>1585</v>
      </c>
      <c r="E217" s="10">
        <f t="shared" si="9"/>
        <v>3458583.3793877852</v>
      </c>
      <c r="F217" s="14">
        <f>'F) Population'!K209</f>
        <v>325769.1146881287</v>
      </c>
      <c r="G217" s="10">
        <f>'G) Solidarité'!I206</f>
        <v>0</v>
      </c>
      <c r="H217" s="14">
        <f t="shared" si="10"/>
        <v>325769.1146881287</v>
      </c>
      <c r="I217" s="58">
        <f t="shared" si="11"/>
        <v>3132814.2646996565</v>
      </c>
    </row>
    <row r="218" spans="1:9" x14ac:dyDescent="0.25">
      <c r="A218" s="50">
        <f>'A) Base RI'!A209</f>
        <v>5730</v>
      </c>
      <c r="B218" s="33" t="str">
        <f>'A) Base RI'!B209</f>
        <v>Trélex</v>
      </c>
      <c r="C218" s="32">
        <f>'D) Ecrêtage'!C207</f>
        <v>103185.50284600389</v>
      </c>
      <c r="D218" s="14">
        <f>'A) Base RI'!V209</f>
        <v>1405</v>
      </c>
      <c r="E218" s="10">
        <f t="shared" si="9"/>
        <v>2064974.9665278743</v>
      </c>
      <c r="F218" s="14">
        <f>'F) Population'!K210</f>
        <v>263529.67806841043</v>
      </c>
      <c r="G218" s="10">
        <f>'G) Solidarité'!I207</f>
        <v>0</v>
      </c>
      <c r="H218" s="14">
        <f t="shared" si="10"/>
        <v>263529.67806841043</v>
      </c>
      <c r="I218" s="58">
        <f t="shared" si="11"/>
        <v>1801445.288459464</v>
      </c>
    </row>
    <row r="219" spans="1:9" x14ac:dyDescent="0.25">
      <c r="A219" s="50">
        <f>'A) Base RI'!A210</f>
        <v>5731</v>
      </c>
      <c r="B219" s="33" t="str">
        <f>'A) Base RI'!B210</f>
        <v>Le Vaud</v>
      </c>
      <c r="C219" s="32">
        <f>'D) Ecrêtage'!C208</f>
        <v>50829.361333333334</v>
      </c>
      <c r="D219" s="14">
        <f>'A) Base RI'!V210</f>
        <v>1283</v>
      </c>
      <c r="E219" s="10">
        <f t="shared" si="9"/>
        <v>1017210.3233782721</v>
      </c>
      <c r="F219" s="14">
        <f>'F) Population'!K211</f>
        <v>221345.17102615692</v>
      </c>
      <c r="G219" s="10">
        <f>'G) Solidarité'!I208</f>
        <v>160961.01528574832</v>
      </c>
      <c r="H219" s="14">
        <f t="shared" si="10"/>
        <v>382306.18631190527</v>
      </c>
      <c r="I219" s="58">
        <f t="shared" si="11"/>
        <v>634904.13706636685</v>
      </c>
    </row>
    <row r="220" spans="1:9" x14ac:dyDescent="0.25">
      <c r="A220" s="50">
        <f>'A) Base RI'!A211</f>
        <v>5732</v>
      </c>
      <c r="B220" s="33" t="str">
        <f>'A) Base RI'!B211</f>
        <v>Vich</v>
      </c>
      <c r="C220" s="32">
        <f>'D) Ecrêtage'!C209</f>
        <v>61037.471029411761</v>
      </c>
      <c r="D220" s="14">
        <f>'A) Base RI'!V211</f>
        <v>1026</v>
      </c>
      <c r="E220" s="10">
        <f t="shared" si="9"/>
        <v>1221497.6544138331</v>
      </c>
      <c r="F220" s="14">
        <f>'F) Population'!K212</f>
        <v>132481.08651911467</v>
      </c>
      <c r="G220" s="10">
        <f>'G) Solidarité'!I209</f>
        <v>0</v>
      </c>
      <c r="H220" s="14">
        <f t="shared" si="10"/>
        <v>132481.08651911467</v>
      </c>
      <c r="I220" s="58">
        <f t="shared" si="11"/>
        <v>1089016.5678947184</v>
      </c>
    </row>
    <row r="221" spans="1:9" x14ac:dyDescent="0.25">
      <c r="A221" s="50">
        <f>'A) Base RI'!A212</f>
        <v>5741</v>
      </c>
      <c r="B221" s="33" t="str">
        <f>'A) Base RI'!B212</f>
        <v>L'Abergement</v>
      </c>
      <c r="C221" s="32">
        <f>'D) Ecrêtage'!C210</f>
        <v>6619.5511522633742</v>
      </c>
      <c r="D221" s="14">
        <f>'A) Base RI'!V212</f>
        <v>237</v>
      </c>
      <c r="E221" s="10">
        <f t="shared" si="9"/>
        <v>132472.16946235957</v>
      </c>
      <c r="F221" s="14">
        <f>'F) Population'!K213</f>
        <v>29267.35412474849</v>
      </c>
      <c r="G221" s="10">
        <f>'G) Solidarité'!I210</f>
        <v>107015.89793899072</v>
      </c>
      <c r="H221" s="14">
        <f t="shared" si="10"/>
        <v>136283.2520637392</v>
      </c>
      <c r="I221" s="58">
        <f t="shared" si="11"/>
        <v>-3811.0826013796323</v>
      </c>
    </row>
    <row r="222" spans="1:9" x14ac:dyDescent="0.25">
      <c r="A222" s="50">
        <f>'A) Base RI'!A213</f>
        <v>5742</v>
      </c>
      <c r="B222" s="33" t="str">
        <f>'A) Base RI'!B213</f>
        <v>Agiez</v>
      </c>
      <c r="C222" s="32">
        <f>'D) Ecrêtage'!C211</f>
        <v>9354.2819736842121</v>
      </c>
      <c r="D222" s="14">
        <f>'A) Base RI'!V213</f>
        <v>314</v>
      </c>
      <c r="E222" s="10">
        <f t="shared" si="9"/>
        <v>187200.30985679233</v>
      </c>
      <c r="F222" s="14">
        <f>'F) Population'!K214</f>
        <v>38776.156941649897</v>
      </c>
      <c r="G222" s="10">
        <f>'G) Solidarité'!I211</f>
        <v>111392.36450442023</v>
      </c>
      <c r="H222" s="14">
        <f t="shared" si="10"/>
        <v>150168.52144607011</v>
      </c>
      <c r="I222" s="58">
        <f t="shared" si="11"/>
        <v>37031.78841072222</v>
      </c>
    </row>
    <row r="223" spans="1:9" x14ac:dyDescent="0.25">
      <c r="A223" s="50">
        <f>'A) Base RI'!A214</f>
        <v>5743</v>
      </c>
      <c r="B223" s="33" t="str">
        <f>'A) Base RI'!B214</f>
        <v>Arnex-sur-Orbe</v>
      </c>
      <c r="C223" s="32">
        <f>'D) Ecrêtage'!C212</f>
        <v>17594.003904109592</v>
      </c>
      <c r="D223" s="14">
        <f>'A) Base RI'!V214</f>
        <v>642</v>
      </c>
      <c r="E223" s="10">
        <f t="shared" si="9"/>
        <v>352095.7559047938</v>
      </c>
      <c r="F223" s="14">
        <f>'F) Population'!K215</f>
        <v>79281.187122736417</v>
      </c>
      <c r="G223" s="10">
        <f>'G) Solidarité'!I212</f>
        <v>242614.09820479518</v>
      </c>
      <c r="H223" s="14">
        <f t="shared" si="10"/>
        <v>321895.28532753163</v>
      </c>
      <c r="I223" s="58">
        <f t="shared" si="11"/>
        <v>30200.470577262167</v>
      </c>
    </row>
    <row r="224" spans="1:9" x14ac:dyDescent="0.25">
      <c r="A224" s="50">
        <f>'A) Base RI'!A215</f>
        <v>5744</v>
      </c>
      <c r="B224" s="33" t="str">
        <f>'A) Base RI'!B215</f>
        <v>Ballaigues</v>
      </c>
      <c r="C224" s="32">
        <f>'D) Ecrêtage'!C213</f>
        <v>49791.438333333339</v>
      </c>
      <c r="D224" s="14">
        <f>'A) Base RI'!V215</f>
        <v>1095</v>
      </c>
      <c r="E224" s="10">
        <f t="shared" si="9"/>
        <v>996439.1398973699</v>
      </c>
      <c r="F224" s="14">
        <f>'F) Population'!K216</f>
        <v>156339.53722334001</v>
      </c>
      <c r="G224" s="10">
        <f>'G) Solidarité'!I213</f>
        <v>0</v>
      </c>
      <c r="H224" s="14">
        <f t="shared" si="10"/>
        <v>156339.53722334001</v>
      </c>
      <c r="I224" s="58">
        <f t="shared" si="11"/>
        <v>840099.60267402988</v>
      </c>
    </row>
    <row r="225" spans="1:9" x14ac:dyDescent="0.25">
      <c r="A225" s="50">
        <f>'A) Base RI'!A216</f>
        <v>5745</v>
      </c>
      <c r="B225" s="33" t="str">
        <f>'A) Base RI'!B216</f>
        <v>Baulmes</v>
      </c>
      <c r="C225" s="32">
        <f>'D) Ecrêtage'!C214</f>
        <v>25375.775641025641</v>
      </c>
      <c r="D225" s="14">
        <f>'A) Base RI'!V216</f>
        <v>1053</v>
      </c>
      <c r="E225" s="10">
        <f t="shared" si="9"/>
        <v>507826.5842552426</v>
      </c>
      <c r="F225" s="14">
        <f>'F) Population'!K217</f>
        <v>141817.00201207242</v>
      </c>
      <c r="G225" s="10">
        <f>'G) Solidarité'!I214</f>
        <v>538625.74680460035</v>
      </c>
      <c r="H225" s="14">
        <f t="shared" si="10"/>
        <v>680442.74881667271</v>
      </c>
      <c r="I225" s="58">
        <f t="shared" si="11"/>
        <v>-172616.16456143011</v>
      </c>
    </row>
    <row r="226" spans="1:9" x14ac:dyDescent="0.25">
      <c r="A226" s="50">
        <f>'A) Base RI'!A217</f>
        <v>5746</v>
      </c>
      <c r="B226" s="33" t="str">
        <f>'A) Base RI'!B217</f>
        <v>Bavois</v>
      </c>
      <c r="C226" s="32">
        <f>'D) Ecrêtage'!C215</f>
        <v>25508.009041095891</v>
      </c>
      <c r="D226" s="14">
        <f>'A) Base RI'!V217</f>
        <v>928</v>
      </c>
      <c r="E226" s="10">
        <f t="shared" si="9"/>
        <v>510472.87325275276</v>
      </c>
      <c r="F226" s="14">
        <f>'F) Population'!K218</f>
        <v>114599.59758551307</v>
      </c>
      <c r="G226" s="10">
        <f>'G) Solidarité'!I215</f>
        <v>349078.66804403649</v>
      </c>
      <c r="H226" s="14">
        <f t="shared" si="10"/>
        <v>463678.26562954957</v>
      </c>
      <c r="I226" s="58">
        <f t="shared" si="11"/>
        <v>46794.607623203192</v>
      </c>
    </row>
    <row r="227" spans="1:9" x14ac:dyDescent="0.25">
      <c r="A227" s="50">
        <f>'A) Base RI'!A218</f>
        <v>5747</v>
      </c>
      <c r="B227" s="33" t="str">
        <f>'A) Base RI'!B218</f>
        <v>Bofflens</v>
      </c>
      <c r="C227" s="32">
        <f>'D) Ecrêtage'!C216</f>
        <v>5402.2208695652162</v>
      </c>
      <c r="D227" s="14">
        <f>'A) Base RI'!V218</f>
        <v>191</v>
      </c>
      <c r="E227" s="10">
        <f t="shared" si="9"/>
        <v>108110.64104572166</v>
      </c>
      <c r="F227" s="14">
        <f>'F) Population'!K219</f>
        <v>23586.770623742454</v>
      </c>
      <c r="G227" s="10">
        <f>'G) Solidarité'!I216</f>
        <v>61304.992782811176</v>
      </c>
      <c r="H227" s="14">
        <f t="shared" si="10"/>
        <v>84891.763406553626</v>
      </c>
      <c r="I227" s="58">
        <f t="shared" si="11"/>
        <v>23218.877639168029</v>
      </c>
    </row>
    <row r="228" spans="1:9" x14ac:dyDescent="0.25">
      <c r="A228" s="50">
        <f>'A) Base RI'!A219</f>
        <v>5748</v>
      </c>
      <c r="B228" s="33" t="str">
        <f>'A) Base RI'!B219</f>
        <v>Bretonnières</v>
      </c>
      <c r="C228" s="32">
        <f>'D) Ecrêtage'!C217</f>
        <v>7661.0479629629635</v>
      </c>
      <c r="D228" s="14">
        <f>'A) Base RI'!V219</f>
        <v>262</v>
      </c>
      <c r="E228" s="10">
        <f t="shared" si="9"/>
        <v>153314.87296716264</v>
      </c>
      <c r="F228" s="14">
        <f>'F) Population'!K220</f>
        <v>32354.627766599595</v>
      </c>
      <c r="G228" s="10">
        <f>'G) Solidarité'!I217</f>
        <v>86392.758371230171</v>
      </c>
      <c r="H228" s="14">
        <f t="shared" si="10"/>
        <v>118747.38613782977</v>
      </c>
      <c r="I228" s="58">
        <f t="shared" si="11"/>
        <v>34567.486829332862</v>
      </c>
    </row>
    <row r="229" spans="1:9" x14ac:dyDescent="0.25">
      <c r="A229" s="50">
        <f>'A) Base RI'!A220</f>
        <v>5749</v>
      </c>
      <c r="B229" s="33" t="str">
        <f>'A) Base RI'!B220</f>
        <v>Chavornay</v>
      </c>
      <c r="C229" s="32">
        <f>'D) Ecrêtage'!C218</f>
        <v>134740.63065656566</v>
      </c>
      <c r="D229" s="14">
        <f>'A) Base RI'!V220</f>
        <v>4908</v>
      </c>
      <c r="E229" s="10">
        <f t="shared" si="9"/>
        <v>2696464.3443685239</v>
      </c>
      <c r="F229" s="14">
        <f>'F) Population'!K221</f>
        <v>1757523.1388329978</v>
      </c>
      <c r="G229" s="10">
        <f>'G) Solidarité'!I218</f>
        <v>1799394.6611300868</v>
      </c>
      <c r="H229" s="14">
        <f t="shared" si="10"/>
        <v>3556917.7999630845</v>
      </c>
      <c r="I229" s="58">
        <f t="shared" si="11"/>
        <v>-860453.4555945606</v>
      </c>
    </row>
    <row r="230" spans="1:9" x14ac:dyDescent="0.25">
      <c r="A230" s="50">
        <f>'A) Base RI'!A221</f>
        <v>5750</v>
      </c>
      <c r="B230" s="33" t="str">
        <f>'A) Base RI'!B221</f>
        <v>Les Clées</v>
      </c>
      <c r="C230" s="32">
        <f>'D) Ecrêtage'!C219</f>
        <v>5020.8349583333338</v>
      </c>
      <c r="D230" s="14">
        <f>'A) Base RI'!V221</f>
        <v>181</v>
      </c>
      <c r="E230" s="10">
        <f t="shared" si="9"/>
        <v>100478.24756448215</v>
      </c>
      <c r="F230" s="14">
        <f>'F) Population'!K222</f>
        <v>22351.861167002011</v>
      </c>
      <c r="G230" s="10">
        <f>'G) Solidarité'!I219</f>
        <v>80605.381091780451</v>
      </c>
      <c r="H230" s="14">
        <f t="shared" si="10"/>
        <v>102957.24225878247</v>
      </c>
      <c r="I230" s="58">
        <f t="shared" si="11"/>
        <v>-2478.994694300316</v>
      </c>
    </row>
    <row r="231" spans="1:9" x14ac:dyDescent="0.25">
      <c r="A231" s="50">
        <f>'A) Base RI'!A222</f>
        <v>5752</v>
      </c>
      <c r="B231" s="33" t="str">
        <f>'A) Base RI'!B222</f>
        <v>Croy</v>
      </c>
      <c r="C231" s="32">
        <f>'D) Ecrêtage'!C220</f>
        <v>11140.896486486487</v>
      </c>
      <c r="D231" s="14">
        <f>'A) Base RI'!V222</f>
        <v>379</v>
      </c>
      <c r="E231" s="10">
        <f t="shared" si="9"/>
        <v>222954.5015020867</v>
      </c>
      <c r="F231" s="14">
        <f>'F) Population'!K223</f>
        <v>46803.068410462773</v>
      </c>
      <c r="G231" s="10">
        <f>'G) Solidarité'!I220</f>
        <v>130732.76364060215</v>
      </c>
      <c r="H231" s="14">
        <f t="shared" si="10"/>
        <v>177535.83205106494</v>
      </c>
      <c r="I231" s="58">
        <f t="shared" si="11"/>
        <v>45418.669451021764</v>
      </c>
    </row>
    <row r="232" spans="1:9" x14ac:dyDescent="0.25">
      <c r="A232" s="50">
        <f>'A) Base RI'!A223</f>
        <v>5754</v>
      </c>
      <c r="B232" s="33" t="str">
        <f>'A) Base RI'!B223</f>
        <v>Juriens</v>
      </c>
      <c r="C232" s="32">
        <f>'D) Ecrêtage'!C221</f>
        <v>8138.4883785546344</v>
      </c>
      <c r="D232" s="14">
        <f>'A) Base RI'!V223</f>
        <v>309</v>
      </c>
      <c r="E232" s="10">
        <f t="shared" si="9"/>
        <v>162869.5340291613</v>
      </c>
      <c r="F232" s="14">
        <f>'F) Population'!K224</f>
        <v>38158.702213279677</v>
      </c>
      <c r="G232" s="10">
        <f>'G) Solidarité'!I221</f>
        <v>144945.65869618711</v>
      </c>
      <c r="H232" s="14">
        <f t="shared" si="10"/>
        <v>183104.36090946678</v>
      </c>
      <c r="I232" s="58">
        <f t="shared" si="11"/>
        <v>-20234.826880305482</v>
      </c>
    </row>
    <row r="233" spans="1:9" x14ac:dyDescent="0.25">
      <c r="A233" s="50">
        <f>'A) Base RI'!A224</f>
        <v>5755</v>
      </c>
      <c r="B233" s="33" t="str">
        <f>'A) Base RI'!B224</f>
        <v>Lignerolle</v>
      </c>
      <c r="C233" s="32">
        <f>'D) Ecrêtage'!C222</f>
        <v>9320.3381401087972</v>
      </c>
      <c r="D233" s="14">
        <f>'A) Base RI'!V224</f>
        <v>417</v>
      </c>
      <c r="E233" s="10">
        <f t="shared" si="9"/>
        <v>186521.01708147069</v>
      </c>
      <c r="F233" s="14">
        <f>'F) Population'!K225</f>
        <v>51495.724346076451</v>
      </c>
      <c r="G233" s="10">
        <f>'G) Solidarité'!I222</f>
        <v>242945.56743671698</v>
      </c>
      <c r="H233" s="14">
        <f t="shared" si="10"/>
        <v>294441.29178279341</v>
      </c>
      <c r="I233" s="58">
        <f t="shared" si="11"/>
        <v>-107920.27470132272</v>
      </c>
    </row>
    <row r="234" spans="1:9" x14ac:dyDescent="0.25">
      <c r="A234" s="50">
        <f>'A) Base RI'!A225</f>
        <v>5756</v>
      </c>
      <c r="B234" s="33" t="str">
        <f>'A) Base RI'!B225</f>
        <v>Montcherand</v>
      </c>
      <c r="C234" s="32">
        <f>'D) Ecrêtage'!C223</f>
        <v>18436.632028742581</v>
      </c>
      <c r="D234" s="14">
        <f>'A) Base RI'!V225</f>
        <v>482</v>
      </c>
      <c r="E234" s="10">
        <f t="shared" si="9"/>
        <v>368958.64783697028</v>
      </c>
      <c r="F234" s="14">
        <f>'F) Population'!K226</f>
        <v>59522.635814889334</v>
      </c>
      <c r="G234" s="10">
        <f>'G) Solidarité'!I223</f>
        <v>69328.295201941408</v>
      </c>
      <c r="H234" s="14">
        <f t="shared" si="10"/>
        <v>128850.93101683074</v>
      </c>
      <c r="I234" s="58">
        <f t="shared" si="11"/>
        <v>240107.71682013955</v>
      </c>
    </row>
    <row r="235" spans="1:9" x14ac:dyDescent="0.25">
      <c r="A235" s="50">
        <f>'A) Base RI'!A226</f>
        <v>5757</v>
      </c>
      <c r="B235" s="33" t="str">
        <f>'A) Base RI'!B226</f>
        <v>Orbe</v>
      </c>
      <c r="C235" s="32">
        <f>'D) Ecrêtage'!C224</f>
        <v>195350.61852415255</v>
      </c>
      <c r="D235" s="14">
        <f>'A) Base RI'!V226</f>
        <v>6985</v>
      </c>
      <c r="E235" s="10">
        <f t="shared" si="9"/>
        <v>3909407.0952015901</v>
      </c>
      <c r="F235" s="14">
        <f>'F) Population'!K227</f>
        <v>2979589.53722334</v>
      </c>
      <c r="G235" s="10">
        <f>'G) Solidarité'!I224</f>
        <v>2844188.4227127624</v>
      </c>
      <c r="H235" s="14">
        <f t="shared" si="10"/>
        <v>5823777.9599361029</v>
      </c>
      <c r="I235" s="58">
        <f t="shared" si="11"/>
        <v>-1914370.8647345128</v>
      </c>
    </row>
    <row r="236" spans="1:9" x14ac:dyDescent="0.25">
      <c r="A236" s="50">
        <f>'A) Base RI'!A227</f>
        <v>5758</v>
      </c>
      <c r="B236" s="33" t="str">
        <f>'A) Base RI'!B227</f>
        <v>La Praz</v>
      </c>
      <c r="C236" s="32">
        <f>'D) Ecrêtage'!C225</f>
        <v>3217.0835405215335</v>
      </c>
      <c r="D236" s="14">
        <f>'A) Base RI'!V227</f>
        <v>160</v>
      </c>
      <c r="E236" s="10">
        <f t="shared" si="9"/>
        <v>64381.107744566296</v>
      </c>
      <c r="F236" s="14">
        <f>'F) Population'!K228</f>
        <v>19758.551307847079</v>
      </c>
      <c r="G236" s="10">
        <f>'G) Solidarité'!I225</f>
        <v>110184.79440754982</v>
      </c>
      <c r="H236" s="14">
        <f t="shared" si="10"/>
        <v>129943.34571539691</v>
      </c>
      <c r="I236" s="58">
        <f t="shared" si="11"/>
        <v>-65562.237970830611</v>
      </c>
    </row>
    <row r="237" spans="1:9" x14ac:dyDescent="0.25">
      <c r="A237" s="50">
        <f>'A) Base RI'!A228</f>
        <v>5759</v>
      </c>
      <c r="B237" s="33" t="str">
        <f>'A) Base RI'!B228</f>
        <v>Premier</v>
      </c>
      <c r="C237" s="32">
        <f>'D) Ecrêtage'!C226</f>
        <v>4730.0976887452725</v>
      </c>
      <c r="D237" s="14">
        <f>'A) Base RI'!V228</f>
        <v>210</v>
      </c>
      <c r="E237" s="10">
        <f t="shared" si="9"/>
        <v>94659.938141384133</v>
      </c>
      <c r="F237" s="14">
        <f>'F) Population'!K229</f>
        <v>25933.098591549293</v>
      </c>
      <c r="G237" s="10">
        <f>'G) Solidarité'!I226</f>
        <v>124473.81169032404</v>
      </c>
      <c r="H237" s="14">
        <f t="shared" si="10"/>
        <v>150406.91028187334</v>
      </c>
      <c r="I237" s="58">
        <f t="shared" si="11"/>
        <v>-55746.972140489204</v>
      </c>
    </row>
    <row r="238" spans="1:9" x14ac:dyDescent="0.25">
      <c r="A238" s="50">
        <f>'A) Base RI'!A229</f>
        <v>5760</v>
      </c>
      <c r="B238" s="33" t="str">
        <f>'A) Base RI'!B229</f>
        <v>Rances</v>
      </c>
      <c r="C238" s="32">
        <f>'D) Ecrêtage'!C227</f>
        <v>10427.733324716695</v>
      </c>
      <c r="D238" s="14">
        <f>'A) Base RI'!V229</f>
        <v>485</v>
      </c>
      <c r="E238" s="10">
        <f t="shared" si="9"/>
        <v>208682.49588612025</v>
      </c>
      <c r="F238" s="14">
        <f>'F) Population'!K230</f>
        <v>59893.108651911461</v>
      </c>
      <c r="G238" s="10">
        <f>'G) Solidarité'!I227</f>
        <v>278599.72285259841</v>
      </c>
      <c r="H238" s="14">
        <f t="shared" si="10"/>
        <v>338492.8315045099</v>
      </c>
      <c r="I238" s="58">
        <f t="shared" si="11"/>
        <v>-129810.33561838965</v>
      </c>
    </row>
    <row r="239" spans="1:9" x14ac:dyDescent="0.25">
      <c r="A239" s="50">
        <f>'A) Base RI'!A230</f>
        <v>5761</v>
      </c>
      <c r="B239" s="33" t="str">
        <f>'A) Base RI'!B230</f>
        <v>Romainmôtier-Envy</v>
      </c>
      <c r="C239" s="32">
        <f>'D) Ecrêtage'!C228</f>
        <v>12825.466828901401</v>
      </c>
      <c r="D239" s="14">
        <f>'A) Base RI'!V230</f>
        <v>551</v>
      </c>
      <c r="E239" s="10">
        <f t="shared" si="9"/>
        <v>256666.55882116195</v>
      </c>
      <c r="F239" s="14">
        <f>'F) Population'!K231</f>
        <v>68043.51106639838</v>
      </c>
      <c r="G239" s="10">
        <f>'G) Solidarité'!I228</f>
        <v>315768.32522967772</v>
      </c>
      <c r="H239" s="14">
        <f t="shared" si="10"/>
        <v>383811.83629607607</v>
      </c>
      <c r="I239" s="58">
        <f t="shared" si="11"/>
        <v>-127145.27747491412</v>
      </c>
    </row>
    <row r="240" spans="1:9" x14ac:dyDescent="0.25">
      <c r="A240" s="50">
        <f>'A) Base RI'!A231</f>
        <v>5762</v>
      </c>
      <c r="B240" s="33" t="str">
        <f>'A) Base RI'!B231</f>
        <v>Sergey</v>
      </c>
      <c r="C240" s="32">
        <f>'D) Ecrêtage'!C229</f>
        <v>3985.6390801086227</v>
      </c>
      <c r="D240" s="14">
        <f>'A) Base RI'!V231</f>
        <v>137</v>
      </c>
      <c r="E240" s="10">
        <f t="shared" si="9"/>
        <v>79761.639949775432</v>
      </c>
      <c r="F240" s="14">
        <f>'F) Population'!K232</f>
        <v>16918.259557344063</v>
      </c>
      <c r="G240" s="10">
        <f>'G) Solidarité'!I229</f>
        <v>53509.990696595538</v>
      </c>
      <c r="H240" s="14">
        <f t="shared" si="10"/>
        <v>70428.250253939594</v>
      </c>
      <c r="I240" s="58">
        <f t="shared" si="11"/>
        <v>9333.3896958358382</v>
      </c>
    </row>
    <row r="241" spans="1:9" x14ac:dyDescent="0.25">
      <c r="A241" s="50">
        <f>'A) Base RI'!A232</f>
        <v>5763</v>
      </c>
      <c r="B241" s="33" t="str">
        <f>'A) Base RI'!B232</f>
        <v>Valeyres-sous-Rances</v>
      </c>
      <c r="C241" s="32">
        <f>'D) Ecrêtage'!C230</f>
        <v>20114.818063776223</v>
      </c>
      <c r="D241" s="14">
        <f>'A) Base RI'!V232</f>
        <v>631</v>
      </c>
      <c r="E241" s="10">
        <f t="shared" si="9"/>
        <v>402542.94074576191</v>
      </c>
      <c r="F241" s="14">
        <f>'F) Population'!K233</f>
        <v>77922.786720321921</v>
      </c>
      <c r="G241" s="10">
        <f>'G) Solidarité'!I230</f>
        <v>141593.65048670155</v>
      </c>
      <c r="H241" s="14">
        <f t="shared" si="10"/>
        <v>219516.43720702347</v>
      </c>
      <c r="I241" s="58">
        <f t="shared" si="11"/>
        <v>183026.50353873844</v>
      </c>
    </row>
    <row r="242" spans="1:9" x14ac:dyDescent="0.25">
      <c r="A242" s="50">
        <f>'A) Base RI'!A233</f>
        <v>5764</v>
      </c>
      <c r="B242" s="33" t="str">
        <f>'A) Base RI'!B233</f>
        <v>Vallorbe</v>
      </c>
      <c r="C242" s="32">
        <f>'D) Ecrêtage'!C231</f>
        <v>81234.457849579077</v>
      </c>
      <c r="D242" s="14">
        <f>'A) Base RI'!V233</f>
        <v>3851</v>
      </c>
      <c r="E242" s="10">
        <f t="shared" si="9"/>
        <v>1625684.9775611768</v>
      </c>
      <c r="F242" s="14">
        <f>'F) Population'!K234</f>
        <v>1235403.4205231387</v>
      </c>
      <c r="G242" s="10">
        <f>'G) Solidarité'!I231</f>
        <v>1970794.3419516427</v>
      </c>
      <c r="H242" s="14">
        <f t="shared" si="10"/>
        <v>3206197.7624747814</v>
      </c>
      <c r="I242" s="58">
        <f t="shared" si="11"/>
        <v>-1580512.7849136046</v>
      </c>
    </row>
    <row r="243" spans="1:9" x14ac:dyDescent="0.25">
      <c r="A243" s="50">
        <f>'A) Base RI'!A234</f>
        <v>5765</v>
      </c>
      <c r="B243" s="33" t="str">
        <f>'A) Base RI'!B234</f>
        <v>Vaulion</v>
      </c>
      <c r="C243" s="32">
        <f>'D) Ecrêtage'!C232</f>
        <v>9570.1875488405149</v>
      </c>
      <c r="D243" s="14">
        <f>'A) Base RI'!V234</f>
        <v>482</v>
      </c>
      <c r="E243" s="10">
        <f t="shared" si="9"/>
        <v>191521.06805958896</v>
      </c>
      <c r="F243" s="14">
        <f>'F) Population'!K235</f>
        <v>59522.635814889334</v>
      </c>
      <c r="G243" s="10">
        <f>'G) Solidarité'!I232</f>
        <v>319294.91126888146</v>
      </c>
      <c r="H243" s="14">
        <f t="shared" si="10"/>
        <v>378817.5470837708</v>
      </c>
      <c r="I243" s="58">
        <f t="shared" si="11"/>
        <v>-187296.47902418184</v>
      </c>
    </row>
    <row r="244" spans="1:9" x14ac:dyDescent="0.25">
      <c r="A244" s="50">
        <f>'A) Base RI'!A235</f>
        <v>5766</v>
      </c>
      <c r="B244" s="33" t="str">
        <f>'A) Base RI'!B235</f>
        <v>Vuiteboeuf</v>
      </c>
      <c r="C244" s="32">
        <f>'D) Ecrêtage'!C233</f>
        <v>12893.801548266167</v>
      </c>
      <c r="D244" s="14">
        <f>'A) Base RI'!V235</f>
        <v>574</v>
      </c>
      <c r="E244" s="10">
        <f t="shared" si="9"/>
        <v>258034.09089631736</v>
      </c>
      <c r="F244" s="14">
        <f>'F) Population'!K236</f>
        <v>70883.8028169014</v>
      </c>
      <c r="G244" s="10">
        <f>'G) Solidarité'!I233</f>
        <v>308284.42363008339</v>
      </c>
      <c r="H244" s="14">
        <f t="shared" si="10"/>
        <v>379168.2264469848</v>
      </c>
      <c r="I244" s="58">
        <f t="shared" si="11"/>
        <v>-121134.13555066744</v>
      </c>
    </row>
    <row r="245" spans="1:9" x14ac:dyDescent="0.25">
      <c r="A245" s="50">
        <f>'A) Base RI'!A236</f>
        <v>5785</v>
      </c>
      <c r="B245" s="33" t="str">
        <f>'A) Base RI'!B236</f>
        <v>Corcelles-le-Jorat</v>
      </c>
      <c r="C245" s="32">
        <f>'D) Ecrêtage'!C234</f>
        <v>15470.207510777882</v>
      </c>
      <c r="D245" s="14">
        <f>'A) Base RI'!V236</f>
        <v>460</v>
      </c>
      <c r="E245" s="10">
        <f t="shared" si="9"/>
        <v>309593.7932717551</v>
      </c>
      <c r="F245" s="14">
        <f>'F) Population'!K237</f>
        <v>56805.835010060357</v>
      </c>
      <c r="G245" s="10">
        <f>'G) Solidarité'!I234</f>
        <v>125820.18878129832</v>
      </c>
      <c r="H245" s="14">
        <f t="shared" si="10"/>
        <v>182626.02379135869</v>
      </c>
      <c r="I245" s="58">
        <f t="shared" si="11"/>
        <v>126967.76948039641</v>
      </c>
    </row>
    <row r="246" spans="1:9" x14ac:dyDescent="0.25">
      <c r="A246" s="50">
        <f>'A) Base RI'!A237</f>
        <v>5788</v>
      </c>
      <c r="B246" s="33" t="str">
        <f>'A) Base RI'!B237</f>
        <v>Essertes</v>
      </c>
      <c r="C246" s="32">
        <f>'D) Ecrêtage'!C235</f>
        <v>11538.273586899442</v>
      </c>
      <c r="D246" s="14">
        <f>'A) Base RI'!V237</f>
        <v>346</v>
      </c>
      <c r="E246" s="10">
        <f t="shared" si="9"/>
        <v>230906.91479650876</v>
      </c>
      <c r="F246" s="14">
        <f>'F) Population'!K238</f>
        <v>42727.867203219314</v>
      </c>
      <c r="G246" s="10">
        <f>'G) Solidarité'!I235</f>
        <v>84769.419865530974</v>
      </c>
      <c r="H246" s="14">
        <f t="shared" si="10"/>
        <v>127497.28706875029</v>
      </c>
      <c r="I246" s="58">
        <f t="shared" si="11"/>
        <v>103409.62772775847</v>
      </c>
    </row>
    <row r="247" spans="1:9" x14ac:dyDescent="0.25">
      <c r="A247" s="50">
        <f>'A) Base RI'!A238</f>
        <v>5790</v>
      </c>
      <c r="B247" s="33" t="str">
        <f>'A) Base RI'!B238</f>
        <v>Maracon</v>
      </c>
      <c r="C247" s="32">
        <f>'D) Ecrêtage'!C236</f>
        <v>12104.202592846941</v>
      </c>
      <c r="D247" s="14">
        <f>'A) Base RI'!V238</f>
        <v>477</v>
      </c>
      <c r="E247" s="10">
        <f t="shared" si="9"/>
        <v>242232.43241168844</v>
      </c>
      <c r="F247" s="14">
        <f>'F) Population'!K239</f>
        <v>58905.181086519107</v>
      </c>
      <c r="G247" s="10">
        <f>'G) Solidarité'!I236</f>
        <v>217634.95968214897</v>
      </c>
      <c r="H247" s="14">
        <f t="shared" si="10"/>
        <v>276540.14076866809</v>
      </c>
      <c r="I247" s="58">
        <f t="shared" si="11"/>
        <v>-34307.708356979652</v>
      </c>
    </row>
    <row r="248" spans="1:9" x14ac:dyDescent="0.25">
      <c r="A248" s="50">
        <f>'A) Base RI'!A239</f>
        <v>5792</v>
      </c>
      <c r="B248" s="33" t="str">
        <f>'A) Base RI'!B239</f>
        <v>Montpreveyres</v>
      </c>
      <c r="C248" s="32">
        <f>'D) Ecrêtage'!C237</f>
        <v>17389.927760878301</v>
      </c>
      <c r="D248" s="14">
        <f>'A) Base RI'!V239</f>
        <v>648</v>
      </c>
      <c r="E248" s="10">
        <f t="shared" si="9"/>
        <v>348011.73135274899</v>
      </c>
      <c r="F248" s="14">
        <f>'F) Population'!K240</f>
        <v>80022.132796780672</v>
      </c>
      <c r="G248" s="10">
        <f>'G) Solidarité'!I237</f>
        <v>281149.77833685814</v>
      </c>
      <c r="H248" s="14">
        <f t="shared" si="10"/>
        <v>361171.91113363882</v>
      </c>
      <c r="I248" s="58">
        <f t="shared" si="11"/>
        <v>-13160.179780889826</v>
      </c>
    </row>
    <row r="249" spans="1:9" x14ac:dyDescent="0.25">
      <c r="A249" s="50">
        <f>'A) Base RI'!A240</f>
        <v>5798</v>
      </c>
      <c r="B249" s="33" t="str">
        <f>'A) Base RI'!B240</f>
        <v>Ropraz</v>
      </c>
      <c r="C249" s="32">
        <f>'D) Ecrêtage'!C238</f>
        <v>13992.205782654681</v>
      </c>
      <c r="D249" s="14">
        <f>'A) Base RI'!V240</f>
        <v>450</v>
      </c>
      <c r="E249" s="10">
        <f t="shared" si="9"/>
        <v>280015.64048013411</v>
      </c>
      <c r="F249" s="14">
        <f>'F) Population'!K241</f>
        <v>55570.925553319918</v>
      </c>
      <c r="G249" s="10">
        <f>'G) Solidarité'!I238</f>
        <v>151983.49101914812</v>
      </c>
      <c r="H249" s="14">
        <f t="shared" si="10"/>
        <v>207554.41657246804</v>
      </c>
      <c r="I249" s="58">
        <f t="shared" si="11"/>
        <v>72461.223907666077</v>
      </c>
    </row>
    <row r="250" spans="1:9" x14ac:dyDescent="0.25">
      <c r="A250" s="50">
        <f>'A) Base RI'!A241</f>
        <v>5799</v>
      </c>
      <c r="B250" s="33" t="str">
        <f>'A) Base RI'!B241</f>
        <v>Servion</v>
      </c>
      <c r="C250" s="32">
        <f>'D) Ecrêtage'!C239</f>
        <v>65260.062669214836</v>
      </c>
      <c r="D250" s="14">
        <f>'A) Base RI'!V241</f>
        <v>1904</v>
      </c>
      <c r="E250" s="10">
        <f t="shared" si="9"/>
        <v>1306001.2502636926</v>
      </c>
      <c r="F250" s="14">
        <f>'F) Population'!K242</f>
        <v>436071.22736418509</v>
      </c>
      <c r="G250" s="10">
        <f>'G) Solidarité'!I239</f>
        <v>394942.62838898902</v>
      </c>
      <c r="H250" s="14">
        <f t="shared" si="10"/>
        <v>831013.85575317405</v>
      </c>
      <c r="I250" s="58">
        <f t="shared" si="11"/>
        <v>474987.39451051853</v>
      </c>
    </row>
    <row r="251" spans="1:9" x14ac:dyDescent="0.25">
      <c r="A251" s="50">
        <f>'A) Base RI'!A242</f>
        <v>5803</v>
      </c>
      <c r="B251" s="33" t="str">
        <f>'A) Base RI'!B242</f>
        <v>Vulliens</v>
      </c>
      <c r="C251" s="32">
        <f>'D) Ecrêtage'!C240</f>
        <v>15516.870988563373</v>
      </c>
      <c r="D251" s="14">
        <f>'A) Base RI'!V242</f>
        <v>515</v>
      </c>
      <c r="E251" s="10">
        <f t="shared" si="9"/>
        <v>310527.63485628442</v>
      </c>
      <c r="F251" s="14">
        <f>'F) Population'!K243</f>
        <v>63597.837022132793</v>
      </c>
      <c r="G251" s="10">
        <f>'G) Solidarité'!I240</f>
        <v>188210.2236649839</v>
      </c>
      <c r="H251" s="14">
        <f t="shared" si="10"/>
        <v>251808.0606871167</v>
      </c>
      <c r="I251" s="58">
        <f t="shared" si="11"/>
        <v>58719.574169167725</v>
      </c>
    </row>
    <row r="252" spans="1:9" x14ac:dyDescent="0.25">
      <c r="A252" s="50">
        <f>'A) Base RI'!A243</f>
        <v>5804</v>
      </c>
      <c r="B252" s="33" t="str">
        <f>'A) Base RI'!B243</f>
        <v>Jorat-Menthue</v>
      </c>
      <c r="C252" s="32">
        <f>'D) Ecrêtage'!C241</f>
        <v>47010.590890855121</v>
      </c>
      <c r="D252" s="14">
        <f>'A) Base RI'!V243</f>
        <v>1532</v>
      </c>
      <c r="E252" s="10">
        <f t="shared" si="9"/>
        <v>940788.1017566669</v>
      </c>
      <c r="F252" s="14">
        <f>'F) Population'!K244</f>
        <v>307443.05835010053</v>
      </c>
      <c r="G252" s="10">
        <f>'G) Solidarité'!I241</f>
        <v>459483.63923747611</v>
      </c>
      <c r="H252" s="14">
        <f t="shared" si="10"/>
        <v>766926.69758757669</v>
      </c>
      <c r="I252" s="58">
        <f t="shared" si="11"/>
        <v>173861.40416909021</v>
      </c>
    </row>
    <row r="253" spans="1:9" x14ac:dyDescent="0.25">
      <c r="A253" s="50">
        <f>'A) Base RI'!A244</f>
        <v>5805</v>
      </c>
      <c r="B253" s="33" t="str">
        <f>'A) Base RI'!B244</f>
        <v>Oron</v>
      </c>
      <c r="C253" s="32">
        <f>'D) Ecrêtage'!C242</f>
        <v>145333.30890614819</v>
      </c>
      <c r="D253" s="14">
        <f>'A) Base RI'!V244</f>
        <v>5463</v>
      </c>
      <c r="E253" s="10">
        <f t="shared" si="9"/>
        <v>2908447.7607455011</v>
      </c>
      <c r="F253" s="14">
        <f>'F) Population'!K245</f>
        <v>2077414.0845070421</v>
      </c>
      <c r="G253" s="10">
        <f>'G) Solidarité'!I242</f>
        <v>1927447.6766288746</v>
      </c>
      <c r="H253" s="14">
        <f t="shared" si="10"/>
        <v>4004861.7611359167</v>
      </c>
      <c r="I253" s="58">
        <f t="shared" si="11"/>
        <v>-1096414.0003904155</v>
      </c>
    </row>
    <row r="254" spans="1:9" x14ac:dyDescent="0.25">
      <c r="A254" s="50">
        <f>'A) Base RI'!A245</f>
        <v>5806</v>
      </c>
      <c r="B254" s="33" t="str">
        <f>'A) Base RI'!B245</f>
        <v>Jorat-Mézières</v>
      </c>
      <c r="C254" s="32">
        <f>'D) Ecrêtage'!C243</f>
        <v>85087.623552631558</v>
      </c>
      <c r="D254" s="14">
        <f>'A) Base RI'!V245</f>
        <v>2850</v>
      </c>
      <c r="E254" s="10">
        <f t="shared" si="9"/>
        <v>1702795.5260319428</v>
      </c>
      <c r="F254" s="14">
        <f>'F) Population'!K246</f>
        <v>763174.0442655934</v>
      </c>
      <c r="G254" s="10">
        <f>'G) Solidarité'!I243</f>
        <v>1006812.5300266714</v>
      </c>
      <c r="H254" s="14">
        <f t="shared" si="10"/>
        <v>1769986.5742922649</v>
      </c>
      <c r="I254" s="58">
        <f t="shared" si="11"/>
        <v>-67191.048260322073</v>
      </c>
    </row>
    <row r="255" spans="1:9" x14ac:dyDescent="0.25">
      <c r="A255" s="50">
        <f>'A) Base RI'!A246</f>
        <v>5812</v>
      </c>
      <c r="B255" s="33" t="str">
        <f>'A) Base RI'!B246</f>
        <v>Champtauroz</v>
      </c>
      <c r="C255" s="32">
        <f>'D) Ecrêtage'!C244</f>
        <v>2414.7620603829159</v>
      </c>
      <c r="D255" s="14">
        <f>'A) Base RI'!V246</f>
        <v>128</v>
      </c>
      <c r="E255" s="10">
        <f t="shared" si="9"/>
        <v>48324.842805232343</v>
      </c>
      <c r="F255" s="14">
        <f>'F) Population'!K247</f>
        <v>15806.841046277665</v>
      </c>
      <c r="G255" s="10">
        <f>'G) Solidarité'!I244</f>
        <v>79614.333921256301</v>
      </c>
      <c r="H255" s="14">
        <f t="shared" si="10"/>
        <v>95421.174967533967</v>
      </c>
      <c r="I255" s="58">
        <f t="shared" si="11"/>
        <v>-47096.332162301624</v>
      </c>
    </row>
    <row r="256" spans="1:9" x14ac:dyDescent="0.25">
      <c r="A256" s="50">
        <f>'A) Base RI'!A247</f>
        <v>5813</v>
      </c>
      <c r="B256" s="33" t="str">
        <f>'A) Base RI'!B247</f>
        <v>Chevroux</v>
      </c>
      <c r="C256" s="32">
        <f>'D) Ecrêtage'!C245</f>
        <v>13113.471464382501</v>
      </c>
      <c r="D256" s="14">
        <f>'A) Base RI'!V247</f>
        <v>470</v>
      </c>
      <c r="E256" s="10">
        <f t="shared" si="9"/>
        <v>262430.1820638575</v>
      </c>
      <c r="F256" s="14">
        <f>'F) Population'!K248</f>
        <v>58040.744466800803</v>
      </c>
      <c r="G256" s="10">
        <f>'G) Solidarité'!I245</f>
        <v>158769.29527044939</v>
      </c>
      <c r="H256" s="14">
        <f t="shared" si="10"/>
        <v>216810.03973725019</v>
      </c>
      <c r="I256" s="58">
        <f t="shared" si="11"/>
        <v>45620.142326607311</v>
      </c>
    </row>
    <row r="257" spans="1:9" x14ac:dyDescent="0.25">
      <c r="A257" s="50">
        <f>'A) Base RI'!A248</f>
        <v>5816</v>
      </c>
      <c r="B257" s="33" t="str">
        <f>'A) Base RI'!B248</f>
        <v>Corcelles-près-Payerne</v>
      </c>
      <c r="C257" s="32">
        <f>'D) Ecrêtage'!C246</f>
        <v>56475.749877973358</v>
      </c>
      <c r="D257" s="14">
        <f>'A) Base RI'!V248</f>
        <v>2448</v>
      </c>
      <c r="E257" s="10">
        <f t="shared" si="9"/>
        <v>1130207.3110788844</v>
      </c>
      <c r="F257" s="14">
        <f>'F) Population'!K249</f>
        <v>624172.63581488933</v>
      </c>
      <c r="G257" s="10">
        <f>'G) Solidarité'!I246</f>
        <v>1118901.9265516517</v>
      </c>
      <c r="H257" s="14">
        <f t="shared" si="10"/>
        <v>1743074.562366541</v>
      </c>
      <c r="I257" s="58">
        <f t="shared" si="11"/>
        <v>-612867.2512876566</v>
      </c>
    </row>
    <row r="258" spans="1:9" x14ac:dyDescent="0.25">
      <c r="A258" s="50">
        <f>'A) Base RI'!A249</f>
        <v>5817</v>
      </c>
      <c r="B258" s="33" t="str">
        <f>'A) Base RI'!B249</f>
        <v>Grandcour</v>
      </c>
      <c r="C258" s="32">
        <f>'D) Ecrêtage'!C247</f>
        <v>22082.516537974258</v>
      </c>
      <c r="D258" s="14">
        <f>'A) Base RI'!V249</f>
        <v>890</v>
      </c>
      <c r="E258" s="10">
        <f t="shared" si="9"/>
        <v>441921.0314544742</v>
      </c>
      <c r="F258" s="14">
        <f>'F) Population'!K250</f>
        <v>109906.94164989938</v>
      </c>
      <c r="G258" s="10">
        <f>'G) Solidarité'!I247</f>
        <v>456956.75906923873</v>
      </c>
      <c r="H258" s="14">
        <f t="shared" si="10"/>
        <v>566863.70071913814</v>
      </c>
      <c r="I258" s="58">
        <f t="shared" si="11"/>
        <v>-124942.66926466394</v>
      </c>
    </row>
    <row r="259" spans="1:9" x14ac:dyDescent="0.25">
      <c r="A259" s="50">
        <f>'A) Base RI'!A250</f>
        <v>5819</v>
      </c>
      <c r="B259" s="33" t="str">
        <f>'A) Base RI'!B250</f>
        <v>Henniez</v>
      </c>
      <c r="C259" s="32">
        <f>'D) Ecrêtage'!C248</f>
        <v>13743.862603576948</v>
      </c>
      <c r="D259" s="14">
        <f>'A) Base RI'!V250</f>
        <v>359</v>
      </c>
      <c r="E259" s="10">
        <f t="shared" si="9"/>
        <v>275045.73255935946</v>
      </c>
      <c r="F259" s="14">
        <f>'F) Population'!K251</f>
        <v>44333.249496981887</v>
      </c>
      <c r="G259" s="10">
        <f>'G) Solidarité'!I248</f>
        <v>47195.549768072138</v>
      </c>
      <c r="H259" s="14">
        <f t="shared" si="10"/>
        <v>91528.799265054025</v>
      </c>
      <c r="I259" s="58">
        <f t="shared" si="11"/>
        <v>183516.93329430543</v>
      </c>
    </row>
    <row r="260" spans="1:9" x14ac:dyDescent="0.25">
      <c r="A260" s="50">
        <f>'A) Base RI'!A251</f>
        <v>5821</v>
      </c>
      <c r="B260" s="33" t="str">
        <f>'A) Base RI'!B251</f>
        <v>Missy</v>
      </c>
      <c r="C260" s="32">
        <f>'D) Ecrêtage'!C249</f>
        <v>7638.0636098287778</v>
      </c>
      <c r="D260" s="14">
        <f>'A) Base RI'!V251</f>
        <v>352</v>
      </c>
      <c r="E260" s="10">
        <f t="shared" si="9"/>
        <v>152854.90414853155</v>
      </c>
      <c r="F260" s="14">
        <f>'F) Population'!K252</f>
        <v>43468.812877263576</v>
      </c>
      <c r="G260" s="10">
        <f>'G) Solidarité'!I249</f>
        <v>170846.70837600375</v>
      </c>
      <c r="H260" s="14">
        <f t="shared" si="10"/>
        <v>214315.52125326733</v>
      </c>
      <c r="I260" s="58">
        <f t="shared" si="11"/>
        <v>-61460.617104735778</v>
      </c>
    </row>
    <row r="261" spans="1:9" x14ac:dyDescent="0.25">
      <c r="A261" s="50">
        <f>'A) Base RI'!A252</f>
        <v>5822</v>
      </c>
      <c r="B261" s="33" t="str">
        <f>'A) Base RI'!B252</f>
        <v>Payerne</v>
      </c>
      <c r="C261" s="32">
        <f>'D) Ecrêtage'!C250</f>
        <v>236156.50420606061</v>
      </c>
      <c r="D261" s="14">
        <f>'A) Base RI'!V252</f>
        <v>9716</v>
      </c>
      <c r="E261" s="10">
        <f t="shared" si="9"/>
        <v>4726025.0317919105</v>
      </c>
      <c r="F261" s="14">
        <f>'F) Population'!K253</f>
        <v>4775246.6800804827</v>
      </c>
      <c r="G261" s="10">
        <f>'G) Solidarité'!I250</f>
        <v>4549822.2859533187</v>
      </c>
      <c r="H261" s="14">
        <f t="shared" si="10"/>
        <v>9325068.9660338014</v>
      </c>
      <c r="I261" s="58">
        <f t="shared" si="11"/>
        <v>-4599043.9342418909</v>
      </c>
    </row>
    <row r="262" spans="1:9" x14ac:dyDescent="0.25">
      <c r="A262" s="50">
        <f>'A) Base RI'!A253</f>
        <v>5827</v>
      </c>
      <c r="B262" s="33" t="str">
        <f>'A) Base RI'!B253</f>
        <v>Trey</v>
      </c>
      <c r="C262" s="32">
        <f>'D) Ecrêtage'!C251</f>
        <v>6690.1986933784046</v>
      </c>
      <c r="D262" s="14">
        <f>'A) Base RI'!V253</f>
        <v>268</v>
      </c>
      <c r="E262" s="10">
        <f t="shared" si="9"/>
        <v>133885.98632447256</v>
      </c>
      <c r="F262" s="14">
        <f>'F) Population'!K254</f>
        <v>33095.573440643857</v>
      </c>
      <c r="G262" s="10">
        <f>'G) Solidarité'!I251</f>
        <v>138301.64611914178</v>
      </c>
      <c r="H262" s="14">
        <f t="shared" si="10"/>
        <v>171397.21955978562</v>
      </c>
      <c r="I262" s="58">
        <f t="shared" si="11"/>
        <v>-37511.233235313062</v>
      </c>
    </row>
    <row r="263" spans="1:9" x14ac:dyDescent="0.25">
      <c r="A263" s="50">
        <f>'A) Base RI'!A254</f>
        <v>5828</v>
      </c>
      <c r="B263" s="33" t="str">
        <f>'A) Base RI'!B254</f>
        <v>Treytorrens (Payerne)</v>
      </c>
      <c r="C263" s="32">
        <f>'D) Ecrêtage'!C252</f>
        <v>2279.6786771708244</v>
      </c>
      <c r="D263" s="14">
        <f>'A) Base RI'!V254</f>
        <v>122</v>
      </c>
      <c r="E263" s="10">
        <f t="shared" si="9"/>
        <v>45621.519208087477</v>
      </c>
      <c r="F263" s="14">
        <f>'F) Population'!K255</f>
        <v>15065.895372233399</v>
      </c>
      <c r="G263" s="10">
        <f>'G) Solidarité'!I252</f>
        <v>90921.17858769244</v>
      </c>
      <c r="H263" s="14">
        <f t="shared" si="10"/>
        <v>105987.07395992584</v>
      </c>
      <c r="I263" s="58">
        <f t="shared" si="11"/>
        <v>-60365.554751838361</v>
      </c>
    </row>
    <row r="264" spans="1:9" x14ac:dyDescent="0.25">
      <c r="A264" s="50">
        <f>'A) Base RI'!A255</f>
        <v>5830</v>
      </c>
      <c r="B264" s="33" t="str">
        <f>'A) Base RI'!B255</f>
        <v>Villarzel</v>
      </c>
      <c r="C264" s="32">
        <f>'D) Ecrêtage'!C253</f>
        <v>10447.04854538646</v>
      </c>
      <c r="D264" s="14">
        <f>'A) Base RI'!V255</f>
        <v>417</v>
      </c>
      <c r="E264" s="10">
        <f t="shared" si="9"/>
        <v>209069.03707704271</v>
      </c>
      <c r="F264" s="14">
        <f>'F) Population'!K256</f>
        <v>51495.724346076451</v>
      </c>
      <c r="G264" s="10">
        <f>'G) Solidarité'!I253</f>
        <v>208920.45223187294</v>
      </c>
      <c r="H264" s="14">
        <f t="shared" si="10"/>
        <v>260416.1765779494</v>
      </c>
      <c r="I264" s="58">
        <f t="shared" si="11"/>
        <v>-51347.139500906691</v>
      </c>
    </row>
    <row r="265" spans="1:9" x14ac:dyDescent="0.25">
      <c r="A265" s="50">
        <f>'A) Base RI'!A256</f>
        <v>5831</v>
      </c>
      <c r="B265" s="33" t="str">
        <f>'A) Base RI'!B256</f>
        <v>Valbroye</v>
      </c>
      <c r="C265" s="32">
        <f>'D) Ecrêtage'!C254</f>
        <v>80393.76686206559</v>
      </c>
      <c r="D265" s="14">
        <f>'A) Base RI'!V256</f>
        <v>3035</v>
      </c>
      <c r="E265" s="10">
        <f t="shared" si="9"/>
        <v>1608860.8521179757</v>
      </c>
      <c r="F265" s="14">
        <f>'F) Population'!K257</f>
        <v>832328.97384305822</v>
      </c>
      <c r="G265" s="10">
        <f>'G) Solidarité'!I254</f>
        <v>1205913.6524720725</v>
      </c>
      <c r="H265" s="14">
        <f t="shared" si="10"/>
        <v>2038242.6263151309</v>
      </c>
      <c r="I265" s="58">
        <f t="shared" si="11"/>
        <v>-429381.77419715514</v>
      </c>
    </row>
    <row r="266" spans="1:9" x14ac:dyDescent="0.25">
      <c r="A266" s="50">
        <f>'A) Base RI'!A257</f>
        <v>5841</v>
      </c>
      <c r="B266" s="33" t="str">
        <f>'A) Base RI'!B257</f>
        <v>Château-d'Oex</v>
      </c>
      <c r="C266" s="32">
        <f>'D) Ecrêtage'!C255</f>
        <v>112439.97706211945</v>
      </c>
      <c r="D266" s="14">
        <f>'A) Base RI'!V257</f>
        <v>3433</v>
      </c>
      <c r="E266" s="10">
        <f t="shared" si="9"/>
        <v>2250177.8977301074</v>
      </c>
      <c r="F266" s="14">
        <f>'F) Population'!K258</f>
        <v>1028926.5593561367</v>
      </c>
      <c r="G266" s="10">
        <f>'G) Solidarité'!I255</f>
        <v>1173711.342059847</v>
      </c>
      <c r="H266" s="14">
        <f t="shared" si="10"/>
        <v>2202637.9014159837</v>
      </c>
      <c r="I266" s="58">
        <f t="shared" si="11"/>
        <v>47539.996314123739</v>
      </c>
    </row>
    <row r="267" spans="1:9" x14ac:dyDescent="0.25">
      <c r="A267" s="50">
        <f>'A) Base RI'!A258</f>
        <v>5842</v>
      </c>
      <c r="B267" s="33" t="str">
        <f>'A) Base RI'!B258</f>
        <v>Rossinière</v>
      </c>
      <c r="C267" s="32">
        <f>'D) Ecrêtage'!C256</f>
        <v>12463.858686572428</v>
      </c>
      <c r="D267" s="14">
        <f>'A) Base RI'!V258</f>
        <v>545</v>
      </c>
      <c r="E267" s="10">
        <f t="shared" si="9"/>
        <v>249429.9631657007</v>
      </c>
      <c r="F267" s="14">
        <f>'F) Population'!K259</f>
        <v>67302.565392354125</v>
      </c>
      <c r="G267" s="10">
        <f>'G) Solidarité'!I256</f>
        <v>318126.10310922371</v>
      </c>
      <c r="H267" s="14">
        <f t="shared" si="10"/>
        <v>385428.66850157781</v>
      </c>
      <c r="I267" s="58">
        <f t="shared" si="11"/>
        <v>-135998.70533587711</v>
      </c>
    </row>
    <row r="268" spans="1:9" x14ac:dyDescent="0.25">
      <c r="A268" s="50">
        <f>'A) Base RI'!A259</f>
        <v>5843</v>
      </c>
      <c r="B268" s="33" t="str">
        <f>'A) Base RI'!B259</f>
        <v>Rougemont</v>
      </c>
      <c r="C268" s="32">
        <f>'D) Ecrêtage'!C257</f>
        <v>87105.84628297943</v>
      </c>
      <c r="D268" s="14">
        <f>'A) Base RI'!V259</f>
        <v>882</v>
      </c>
      <c r="E268" s="10">
        <f t="shared" si="9"/>
        <v>1743184.7212202016</v>
      </c>
      <c r="F268" s="14">
        <f>'F) Population'!K260</f>
        <v>108919.01408450703</v>
      </c>
      <c r="G268" s="10">
        <f>'G) Solidarité'!I257</f>
        <v>0</v>
      </c>
      <c r="H268" s="14">
        <f t="shared" si="10"/>
        <v>108919.01408450703</v>
      </c>
      <c r="I268" s="58">
        <f t="shared" si="11"/>
        <v>1634265.7071356946</v>
      </c>
    </row>
    <row r="269" spans="1:9" x14ac:dyDescent="0.25">
      <c r="A269" s="50">
        <f>'A) Base RI'!A260</f>
        <v>5851</v>
      </c>
      <c r="B269" s="33" t="str">
        <f>'A) Base RI'!B260</f>
        <v>Allaman</v>
      </c>
      <c r="C269" s="32">
        <f>'D) Ecrêtage'!C258</f>
        <v>27785.537982029753</v>
      </c>
      <c r="D269" s="14">
        <f>'A) Base RI'!V260</f>
        <v>442</v>
      </c>
      <c r="E269" s="10">
        <f t="shared" si="9"/>
        <v>556051.37138334848</v>
      </c>
      <c r="F269" s="14">
        <f>'F) Population'!K261</f>
        <v>54582.997987927563</v>
      </c>
      <c r="G269" s="10">
        <f>'G) Solidarité'!I258</f>
        <v>0</v>
      </c>
      <c r="H269" s="14">
        <f t="shared" si="10"/>
        <v>54582.997987927563</v>
      </c>
      <c r="I269" s="58">
        <f t="shared" si="11"/>
        <v>501468.3733954209</v>
      </c>
    </row>
    <row r="270" spans="1:9" x14ac:dyDescent="0.25">
      <c r="A270" s="50">
        <f>'A) Base RI'!A261</f>
        <v>5852</v>
      </c>
      <c r="B270" s="33" t="str">
        <f>'A) Base RI'!B261</f>
        <v>Bursinel</v>
      </c>
      <c r="C270" s="32">
        <f>'D) Ecrêtage'!C259</f>
        <v>38740.127027310053</v>
      </c>
      <c r="D270" s="14">
        <f>'A) Base RI'!V261</f>
        <v>488</v>
      </c>
      <c r="E270" s="10">
        <f t="shared" si="9"/>
        <v>775277.44019326905</v>
      </c>
      <c r="F270" s="14">
        <f>'F) Population'!K262</f>
        <v>60263.581488933596</v>
      </c>
      <c r="G270" s="10">
        <f>'G) Solidarité'!I259</f>
        <v>0</v>
      </c>
      <c r="H270" s="14">
        <f t="shared" si="10"/>
        <v>60263.581488933596</v>
      </c>
      <c r="I270" s="58">
        <f t="shared" si="11"/>
        <v>715013.85870433541</v>
      </c>
    </row>
    <row r="271" spans="1:9" x14ac:dyDescent="0.25">
      <c r="A271" s="50">
        <f>'A) Base RI'!A262</f>
        <v>5853</v>
      </c>
      <c r="B271" s="33" t="str">
        <f>'A) Base RI'!B262</f>
        <v>Bursins</v>
      </c>
      <c r="C271" s="32">
        <f>'D) Ecrêtage'!C260</f>
        <v>35932.419772150381</v>
      </c>
      <c r="D271" s="14">
        <f>'A) Base RI'!V262</f>
        <v>745</v>
      </c>
      <c r="E271" s="10">
        <f t="shared" si="9"/>
        <v>719088.87653528864</v>
      </c>
      <c r="F271" s="14">
        <f>'F) Population'!K263</f>
        <v>92000.754527162964</v>
      </c>
      <c r="G271" s="10">
        <f>'G) Solidarité'!I260</f>
        <v>0</v>
      </c>
      <c r="H271" s="14">
        <f t="shared" si="10"/>
        <v>92000.754527162964</v>
      </c>
      <c r="I271" s="58">
        <f t="shared" si="11"/>
        <v>627088.12200812565</v>
      </c>
    </row>
    <row r="272" spans="1:9" x14ac:dyDescent="0.25">
      <c r="A272" s="50">
        <f>'A) Base RI'!A263</f>
        <v>5854</v>
      </c>
      <c r="B272" s="33" t="str">
        <f>'A) Base RI'!B263</f>
        <v>Burtigny</v>
      </c>
      <c r="C272" s="32">
        <f>'D) Ecrêtage'!C261</f>
        <v>9853.2751063664073</v>
      </c>
      <c r="D272" s="14">
        <f>'A) Base RI'!V263</f>
        <v>361</v>
      </c>
      <c r="E272" s="10">
        <f t="shared" si="9"/>
        <v>197186.28946669796</v>
      </c>
      <c r="F272" s="14">
        <f>'F) Population'!K264</f>
        <v>44580.231388329979</v>
      </c>
      <c r="G272" s="10">
        <f>'G) Solidarité'!I261</f>
        <v>164858.06289102702</v>
      </c>
      <c r="H272" s="14">
        <f t="shared" si="10"/>
        <v>209438.29427935701</v>
      </c>
      <c r="I272" s="58">
        <f t="shared" si="11"/>
        <v>-12252.004812659055</v>
      </c>
    </row>
    <row r="273" spans="1:9" x14ac:dyDescent="0.25">
      <c r="A273" s="50">
        <f>'A) Base RI'!A264</f>
        <v>5855</v>
      </c>
      <c r="B273" s="33" t="str">
        <f>'A) Base RI'!B264</f>
        <v>Dully</v>
      </c>
      <c r="C273" s="32">
        <f>'D) Ecrêtage'!C262</f>
        <v>78259.066078216143</v>
      </c>
      <c r="D273" s="14">
        <f>'A) Base RI'!V264</f>
        <v>640</v>
      </c>
      <c r="E273" s="10">
        <f t="shared" ref="E273:E324" si="12">C273*E$15</f>
        <v>1566140.6680020415</v>
      </c>
      <c r="F273" s="14">
        <f>'F) Population'!K265</f>
        <v>79034.205231388318</v>
      </c>
      <c r="G273" s="10">
        <f>'G) Solidarité'!I262</f>
        <v>0</v>
      </c>
      <c r="H273" s="14">
        <f t="shared" ref="H273:H324" si="13">F273+G273</f>
        <v>79034.205231388318</v>
      </c>
      <c r="I273" s="58">
        <f t="shared" ref="I273:I324" si="14">E273-H273</f>
        <v>1487106.4627706532</v>
      </c>
    </row>
    <row r="274" spans="1:9" x14ac:dyDescent="0.25">
      <c r="A274" s="50">
        <f>'A) Base RI'!A265</f>
        <v>5856</v>
      </c>
      <c r="B274" s="33" t="str">
        <f>'A) Base RI'!B265</f>
        <v>Essertines-sur-Rolle</v>
      </c>
      <c r="C274" s="32">
        <f>'D) Ecrêtage'!C263</f>
        <v>34358.63256703021</v>
      </c>
      <c r="D274" s="14">
        <f>'A) Base RI'!V265</f>
        <v>696</v>
      </c>
      <c r="E274" s="10">
        <f t="shared" si="12"/>
        <v>687593.84000806313</v>
      </c>
      <c r="F274" s="14">
        <f>'F) Population'!K266</f>
        <v>85949.698189134797</v>
      </c>
      <c r="G274" s="10">
        <f>'G) Solidarité'!I263</f>
        <v>0</v>
      </c>
      <c r="H274" s="14">
        <f t="shared" si="13"/>
        <v>85949.698189134797</v>
      </c>
      <c r="I274" s="58">
        <f t="shared" si="14"/>
        <v>601644.1418189283</v>
      </c>
    </row>
    <row r="275" spans="1:9" x14ac:dyDescent="0.25">
      <c r="A275" s="50">
        <f>'A) Base RI'!A266</f>
        <v>5857</v>
      </c>
      <c r="B275" s="33" t="str">
        <f>'A) Base RI'!B266</f>
        <v>Gilly</v>
      </c>
      <c r="C275" s="32">
        <f>'D) Ecrêtage'!C264</f>
        <v>76506.459222154648</v>
      </c>
      <c r="D275" s="14">
        <f>'A) Base RI'!V266</f>
        <v>1294</v>
      </c>
      <c r="E275" s="10">
        <f t="shared" si="12"/>
        <v>1531067.0463777585</v>
      </c>
      <c r="F275" s="14">
        <f>'F) Population'!K267</f>
        <v>225148.6921529175</v>
      </c>
      <c r="G275" s="10">
        <f>'G) Solidarité'!I264</f>
        <v>0</v>
      </c>
      <c r="H275" s="14">
        <f t="shared" si="13"/>
        <v>225148.6921529175</v>
      </c>
      <c r="I275" s="58">
        <f t="shared" si="14"/>
        <v>1305918.3542248411</v>
      </c>
    </row>
    <row r="276" spans="1:9" x14ac:dyDescent="0.25">
      <c r="A276" s="50">
        <f>'A) Base RI'!A267</f>
        <v>5858</v>
      </c>
      <c r="B276" s="33" t="str">
        <f>'A) Base RI'!B267</f>
        <v>Luins</v>
      </c>
      <c r="C276" s="32">
        <f>'D) Ecrêtage'!C265</f>
        <v>34277.61170447935</v>
      </c>
      <c r="D276" s="14">
        <f>'A) Base RI'!V267</f>
        <v>608</v>
      </c>
      <c r="E276" s="10">
        <f t="shared" si="12"/>
        <v>685972.42955485522</v>
      </c>
      <c r="F276" s="14">
        <f>'F) Population'!K268</f>
        <v>75082.494969818901</v>
      </c>
      <c r="G276" s="10">
        <f>'G) Solidarité'!I265</f>
        <v>0</v>
      </c>
      <c r="H276" s="14">
        <f t="shared" si="13"/>
        <v>75082.494969818901</v>
      </c>
      <c r="I276" s="58">
        <f t="shared" si="14"/>
        <v>610889.93458503636</v>
      </c>
    </row>
    <row r="277" spans="1:9" x14ac:dyDescent="0.25">
      <c r="A277" s="50">
        <f>'A) Base RI'!A268</f>
        <v>5859</v>
      </c>
      <c r="B277" s="33" t="str">
        <f>'A) Base RI'!B268</f>
        <v>Mont-sur-Rolle</v>
      </c>
      <c r="C277" s="32">
        <f>'D) Ecrêtage'!C266</f>
        <v>136265.21065164401</v>
      </c>
      <c r="D277" s="14">
        <f>'A) Base RI'!V268</f>
        <v>2701</v>
      </c>
      <c r="E277" s="10">
        <f t="shared" si="12"/>
        <v>2726974.6334835021</v>
      </c>
      <c r="F277" s="14">
        <f>'F) Population'!K269</f>
        <v>711653.62173038232</v>
      </c>
      <c r="G277" s="10">
        <f>'G) Solidarité'!I266</f>
        <v>0</v>
      </c>
      <c r="H277" s="14">
        <f t="shared" si="13"/>
        <v>711653.62173038232</v>
      </c>
      <c r="I277" s="58">
        <f t="shared" si="14"/>
        <v>2015321.0117531198</v>
      </c>
    </row>
    <row r="278" spans="1:9" x14ac:dyDescent="0.25">
      <c r="A278" s="50">
        <f>'A) Base RI'!A269</f>
        <v>5860</v>
      </c>
      <c r="B278" s="33" t="str">
        <f>'A) Base RI'!B269</f>
        <v>Perroy</v>
      </c>
      <c r="C278" s="32">
        <f>'D) Ecrêtage'!C267</f>
        <v>87566.238279299258</v>
      </c>
      <c r="D278" s="14">
        <f>'A) Base RI'!V269</f>
        <v>1514</v>
      </c>
      <c r="E278" s="10">
        <f t="shared" si="12"/>
        <v>1752398.2049070436</v>
      </c>
      <c r="F278" s="14">
        <f>'F) Population'!K270</f>
        <v>301219.11468812876</v>
      </c>
      <c r="G278" s="10">
        <f>'G) Solidarité'!I267</f>
        <v>0</v>
      </c>
      <c r="H278" s="14">
        <f t="shared" si="13"/>
        <v>301219.11468812876</v>
      </c>
      <c r="I278" s="58">
        <f t="shared" si="14"/>
        <v>1451179.0902189149</v>
      </c>
    </row>
    <row r="279" spans="1:9" x14ac:dyDescent="0.25">
      <c r="A279" s="50">
        <f>'A) Base RI'!A270</f>
        <v>5861</v>
      </c>
      <c r="B279" s="33" t="str">
        <f>'A) Base RI'!B270</f>
        <v>Rolle</v>
      </c>
      <c r="C279" s="32">
        <f>'D) Ecrêtage'!C268</f>
        <v>773954.77123318054</v>
      </c>
      <c r="D279" s="14">
        <f>'A) Base RI'!V270</f>
        <v>6225</v>
      </c>
      <c r="E279" s="10">
        <f t="shared" si="12"/>
        <v>15488583.025141692</v>
      </c>
      <c r="F279" s="14">
        <f>'F) Population'!K271</f>
        <v>2529094.5674044262</v>
      </c>
      <c r="G279" s="10">
        <f>'G) Solidarité'!I268</f>
        <v>0</v>
      </c>
      <c r="H279" s="14">
        <f t="shared" si="13"/>
        <v>2529094.5674044262</v>
      </c>
      <c r="I279" s="58">
        <f t="shared" si="14"/>
        <v>12959488.457737265</v>
      </c>
    </row>
    <row r="280" spans="1:9" x14ac:dyDescent="0.25">
      <c r="A280" s="50">
        <f>'A) Base RI'!A271</f>
        <v>5862</v>
      </c>
      <c r="B280" s="33" t="str">
        <f>'A) Base RI'!B271</f>
        <v>Tartegnin</v>
      </c>
      <c r="C280" s="32">
        <f>'D) Ecrêtage'!C269</f>
        <v>10589.245656408681</v>
      </c>
      <c r="D280" s="14">
        <f>'A) Base RI'!V271</f>
        <v>235</v>
      </c>
      <c r="E280" s="10">
        <f t="shared" si="12"/>
        <v>211914.72243472029</v>
      </c>
      <c r="F280" s="14">
        <f>'F) Population'!K272</f>
        <v>29020.372233400401</v>
      </c>
      <c r="G280" s="10">
        <f>'G) Solidarité'!I269</f>
        <v>983.56623439247016</v>
      </c>
      <c r="H280" s="14">
        <f t="shared" si="13"/>
        <v>30003.938467792872</v>
      </c>
      <c r="I280" s="58">
        <f t="shared" si="14"/>
        <v>181910.78396692741</v>
      </c>
    </row>
    <row r="281" spans="1:9" x14ac:dyDescent="0.25">
      <c r="A281" s="50">
        <f>'A) Base RI'!A272</f>
        <v>5863</v>
      </c>
      <c r="B281" s="33" t="str">
        <f>'A) Base RI'!B272</f>
        <v>Vinzel</v>
      </c>
      <c r="C281" s="32">
        <f>'D) Ecrêtage'!C270</f>
        <v>22777.907701128508</v>
      </c>
      <c r="D281" s="14">
        <f>'A) Base RI'!V272</f>
        <v>371</v>
      </c>
      <c r="E281" s="10">
        <f t="shared" si="12"/>
        <v>455837.37923834159</v>
      </c>
      <c r="F281" s="14">
        <f>'F) Population'!K273</f>
        <v>45815.140845070418</v>
      </c>
      <c r="G281" s="10">
        <f>'G) Solidarité'!I270</f>
        <v>0</v>
      </c>
      <c r="H281" s="14">
        <f t="shared" si="13"/>
        <v>45815.140845070418</v>
      </c>
      <c r="I281" s="58">
        <f t="shared" si="14"/>
        <v>410022.23839327117</v>
      </c>
    </row>
    <row r="282" spans="1:9" x14ac:dyDescent="0.25">
      <c r="A282" s="50">
        <f>'A) Base RI'!A273</f>
        <v>5871</v>
      </c>
      <c r="B282" s="33" t="str">
        <f>'A) Base RI'!B273</f>
        <v>L'Abbaye</v>
      </c>
      <c r="C282" s="32">
        <f>'D) Ecrêtage'!C271</f>
        <v>46463.831419219103</v>
      </c>
      <c r="D282" s="14">
        <f>'A) Base RI'!V273</f>
        <v>1492</v>
      </c>
      <c r="E282" s="10">
        <f t="shared" si="12"/>
        <v>929846.20981933339</v>
      </c>
      <c r="F282" s="14">
        <f>'F) Population'!K274</f>
        <v>293612.07243460766</v>
      </c>
      <c r="G282" s="10">
        <f>'G) Solidarité'!I271</f>
        <v>499602.26293639763</v>
      </c>
      <c r="H282" s="14">
        <f t="shared" si="13"/>
        <v>793214.33537100535</v>
      </c>
      <c r="I282" s="58">
        <f t="shared" si="14"/>
        <v>136631.87444832805</v>
      </c>
    </row>
    <row r="283" spans="1:9" x14ac:dyDescent="0.25">
      <c r="A283" s="50">
        <f>'A) Base RI'!A274</f>
        <v>5872</v>
      </c>
      <c r="B283" s="33" t="str">
        <f>'A) Base RI'!B274</f>
        <v>Le Chenit</v>
      </c>
      <c r="C283" s="32">
        <f>'D) Ecrêtage'!C272</f>
        <v>203474.88252883923</v>
      </c>
      <c r="D283" s="14">
        <f>'A) Base RI'!V274</f>
        <v>4612</v>
      </c>
      <c r="E283" s="10">
        <f t="shared" si="12"/>
        <v>4071991.9673825097</v>
      </c>
      <c r="F283" s="14">
        <f>'F) Population'!K275</f>
        <v>1611309.8591549294</v>
      </c>
      <c r="G283" s="10">
        <f>'G) Solidarité'!I272</f>
        <v>97912.567831114386</v>
      </c>
      <c r="H283" s="14">
        <f t="shared" si="13"/>
        <v>1709222.4269860438</v>
      </c>
      <c r="I283" s="58">
        <f t="shared" si="14"/>
        <v>2362769.5403964659</v>
      </c>
    </row>
    <row r="284" spans="1:9" x14ac:dyDescent="0.25">
      <c r="A284" s="50">
        <f>'A) Base RI'!A275</f>
        <v>5873</v>
      </c>
      <c r="B284" s="33" t="str">
        <f>'A) Base RI'!B275</f>
        <v>Le Lieu</v>
      </c>
      <c r="C284" s="32">
        <f>'D) Ecrêtage'!C273</f>
        <v>32044.127943123549</v>
      </c>
      <c r="D284" s="14">
        <f>'A) Base RI'!V275</f>
        <v>869</v>
      </c>
      <c r="E284" s="10">
        <f t="shared" si="12"/>
        <v>641275.37494797481</v>
      </c>
      <c r="F284" s="14">
        <f>'F) Population'!K276</f>
        <v>107313.63179074446</v>
      </c>
      <c r="G284" s="10">
        <f>'G) Solidarité'!I273</f>
        <v>121972.33041325517</v>
      </c>
      <c r="H284" s="14">
        <f t="shared" si="13"/>
        <v>229285.96220399963</v>
      </c>
      <c r="I284" s="58">
        <f t="shared" si="14"/>
        <v>411989.41274397518</v>
      </c>
    </row>
    <row r="285" spans="1:9" x14ac:dyDescent="0.25">
      <c r="A285" s="50">
        <f>'A) Base RI'!A276</f>
        <v>5881</v>
      </c>
      <c r="B285" s="33" t="str">
        <f>'A) Base RI'!B276</f>
        <v>Blonay</v>
      </c>
      <c r="C285" s="32">
        <f>'D) Ecrêtage'!C274</f>
        <v>337666.7615162601</v>
      </c>
      <c r="D285" s="14">
        <f>'A) Base RI'!V276</f>
        <v>6183</v>
      </c>
      <c r="E285" s="10">
        <f t="shared" si="12"/>
        <v>6757474.5514419768</v>
      </c>
      <c r="F285" s="14">
        <f>'F) Population'!K277</f>
        <v>2504198.7927565388</v>
      </c>
      <c r="G285" s="10">
        <f>'G) Solidarité'!I274</f>
        <v>0</v>
      </c>
      <c r="H285" s="14">
        <f t="shared" si="13"/>
        <v>2504198.7927565388</v>
      </c>
      <c r="I285" s="58">
        <f t="shared" si="14"/>
        <v>4253275.758685438</v>
      </c>
    </row>
    <row r="286" spans="1:9" x14ac:dyDescent="0.25">
      <c r="A286" s="50">
        <f>'A) Base RI'!A277</f>
        <v>5882</v>
      </c>
      <c r="B286" s="33" t="str">
        <f>'A) Base RI'!B277</f>
        <v>Chardonne</v>
      </c>
      <c r="C286" s="32">
        <f>'D) Ecrêtage'!C275</f>
        <v>156481.45987298383</v>
      </c>
      <c r="D286" s="14">
        <f>'A) Base RI'!V277</f>
        <v>2921</v>
      </c>
      <c r="E286" s="10">
        <f t="shared" si="12"/>
        <v>3131547.44078433</v>
      </c>
      <c r="F286" s="14">
        <f>'F) Population'!K278</f>
        <v>787724.0442655934</v>
      </c>
      <c r="G286" s="10">
        <f>'G) Solidarité'!I275</f>
        <v>0</v>
      </c>
      <c r="H286" s="14">
        <f t="shared" si="13"/>
        <v>787724.0442655934</v>
      </c>
      <c r="I286" s="58">
        <f t="shared" si="14"/>
        <v>2343823.3965187366</v>
      </c>
    </row>
    <row r="287" spans="1:9" x14ac:dyDescent="0.25">
      <c r="A287" s="50">
        <f>'A) Base RI'!A278</f>
        <v>5883</v>
      </c>
      <c r="B287" s="33" t="str">
        <f>'A) Base RI'!B278</f>
        <v>Corseaux</v>
      </c>
      <c r="C287" s="32">
        <f>'D) Ecrêtage'!C276</f>
        <v>150144.54939318728</v>
      </c>
      <c r="D287" s="14">
        <f>'A) Base RI'!V278</f>
        <v>2289</v>
      </c>
      <c r="E287" s="10">
        <f t="shared" si="12"/>
        <v>3004731.5495497137</v>
      </c>
      <c r="F287" s="14">
        <f>'F) Population'!K279</f>
        <v>569194.46680080472</v>
      </c>
      <c r="G287" s="10">
        <f>'G) Solidarité'!I276</f>
        <v>0</v>
      </c>
      <c r="H287" s="14">
        <f t="shared" si="13"/>
        <v>569194.46680080472</v>
      </c>
      <c r="I287" s="58">
        <f t="shared" si="14"/>
        <v>2435537.082748909</v>
      </c>
    </row>
    <row r="288" spans="1:9" x14ac:dyDescent="0.25">
      <c r="A288" s="50">
        <f>'A) Base RI'!A279</f>
        <v>5884</v>
      </c>
      <c r="B288" s="33" t="str">
        <f>'A) Base RI'!B279</f>
        <v>Corsier-sur-Vevey</v>
      </c>
      <c r="C288" s="32">
        <f>'D) Ecrêtage'!C277</f>
        <v>120582.14380721933</v>
      </c>
      <c r="D288" s="14">
        <f>'A) Base RI'!V279</f>
        <v>3396</v>
      </c>
      <c r="E288" s="10">
        <f t="shared" si="12"/>
        <v>2413121.0441817907</v>
      </c>
      <c r="F288" s="14">
        <f>'F) Population'!K280</f>
        <v>1010649.8993963781</v>
      </c>
      <c r="G288" s="10">
        <f>'G) Solidarité'!I277</f>
        <v>571967.37889616145</v>
      </c>
      <c r="H288" s="14">
        <f t="shared" si="13"/>
        <v>1582617.2782925395</v>
      </c>
      <c r="I288" s="58">
        <f t="shared" si="14"/>
        <v>830503.76588925114</v>
      </c>
    </row>
    <row r="289" spans="1:9" x14ac:dyDescent="0.25">
      <c r="A289" s="50">
        <f>'A) Base RI'!A280</f>
        <v>5885</v>
      </c>
      <c r="B289" s="33" t="str">
        <f>'A) Base RI'!B280</f>
        <v>Jongny</v>
      </c>
      <c r="C289" s="32">
        <f>'D) Ecrêtage'!C278</f>
        <v>92637.81830716609</v>
      </c>
      <c r="D289" s="14">
        <f>'A) Base RI'!V280</f>
        <v>1549</v>
      </c>
      <c r="E289" s="10">
        <f t="shared" si="12"/>
        <v>1853891.9759256081</v>
      </c>
      <c r="F289" s="14">
        <f>'F) Population'!K281</f>
        <v>313321.22736418509</v>
      </c>
      <c r="G289" s="10">
        <f>'G) Solidarité'!I278</f>
        <v>0</v>
      </c>
      <c r="H289" s="14">
        <f t="shared" si="13"/>
        <v>313321.22736418509</v>
      </c>
      <c r="I289" s="58">
        <f t="shared" si="14"/>
        <v>1540570.748561423</v>
      </c>
    </row>
    <row r="290" spans="1:9" x14ac:dyDescent="0.25">
      <c r="A290" s="50">
        <f>'A) Base RI'!A281</f>
        <v>5886</v>
      </c>
      <c r="B290" s="33" t="str">
        <f>'A) Base RI'!B281</f>
        <v>Montreux</v>
      </c>
      <c r="C290" s="32">
        <f>'D) Ecrêtage'!C279</f>
        <v>1120957.3291830304</v>
      </c>
      <c r="D290" s="14">
        <f>'A) Base RI'!V281</f>
        <v>26653</v>
      </c>
      <c r="E290" s="10">
        <f t="shared" si="12"/>
        <v>22432887.949031767</v>
      </c>
      <c r="F290" s="14">
        <f>'F) Population'!K282</f>
        <v>21744927.867203217</v>
      </c>
      <c r="G290" s="10">
        <f>'G) Solidarité'!I279</f>
        <v>1417942.9080972101</v>
      </c>
      <c r="H290" s="14">
        <f t="shared" si="13"/>
        <v>23162870.775300428</v>
      </c>
      <c r="I290" s="58">
        <f t="shared" si="14"/>
        <v>-729982.82626866177</v>
      </c>
    </row>
    <row r="291" spans="1:9" x14ac:dyDescent="0.25">
      <c r="A291" s="50">
        <f>'A) Base RI'!A282</f>
        <v>5888</v>
      </c>
      <c r="B291" s="33" t="str">
        <f>'A) Base RI'!B282</f>
        <v>Saint-Légier-La Chiésaz</v>
      </c>
      <c r="C291" s="32">
        <f>'D) Ecrêtage'!C280</f>
        <v>291113.86411428853</v>
      </c>
      <c r="D291" s="14">
        <f>'A) Base RI'!V282</f>
        <v>5167</v>
      </c>
      <c r="E291" s="10">
        <f t="shared" si="12"/>
        <v>5825845.9301435081</v>
      </c>
      <c r="F291" s="14">
        <f>'F) Population'!K283</f>
        <v>1901958.14889336</v>
      </c>
      <c r="G291" s="10">
        <f>'G) Solidarité'!I280</f>
        <v>0</v>
      </c>
      <c r="H291" s="14">
        <f t="shared" si="13"/>
        <v>1901958.14889336</v>
      </c>
      <c r="I291" s="58">
        <f t="shared" si="14"/>
        <v>3923887.7812501481</v>
      </c>
    </row>
    <row r="292" spans="1:9" x14ac:dyDescent="0.25">
      <c r="A292" s="50">
        <f>'A) Base RI'!A283</f>
        <v>5889</v>
      </c>
      <c r="B292" s="33" t="str">
        <f>'A) Base RI'!B283</f>
        <v>La Tour-de-Peilz</v>
      </c>
      <c r="C292" s="32">
        <f>'D) Ecrêtage'!C281</f>
        <v>674531.22490925156</v>
      </c>
      <c r="D292" s="14">
        <f>'A) Base RI'!V283</f>
        <v>11779</v>
      </c>
      <c r="E292" s="10">
        <f t="shared" si="12"/>
        <v>13498893.305368342</v>
      </c>
      <c r="F292" s="14">
        <f>'F) Population'!K284</f>
        <v>6507627.0623742454</v>
      </c>
      <c r="G292" s="10">
        <f>'G) Solidarité'!I281</f>
        <v>0</v>
      </c>
      <c r="H292" s="14">
        <f t="shared" si="13"/>
        <v>6507627.0623742454</v>
      </c>
      <c r="I292" s="58">
        <f t="shared" si="14"/>
        <v>6991266.2429940961</v>
      </c>
    </row>
    <row r="293" spans="1:9" x14ac:dyDescent="0.25">
      <c r="A293" s="50">
        <f>'A) Base RI'!A284</f>
        <v>5890</v>
      </c>
      <c r="B293" s="33" t="str">
        <f>'A) Base RI'!B284</f>
        <v>Vevey</v>
      </c>
      <c r="C293" s="32">
        <f>'D) Ecrêtage'!C282</f>
        <v>953247.91463963222</v>
      </c>
      <c r="D293" s="14">
        <f>'A) Base RI'!V284</f>
        <v>19829</v>
      </c>
      <c r="E293" s="10">
        <f t="shared" si="12"/>
        <v>19076643.775855504</v>
      </c>
      <c r="F293" s="14">
        <f>'F) Population'!K285</f>
        <v>14666229.275653923</v>
      </c>
      <c r="G293" s="10">
        <f>'G) Solidarité'!I282</f>
        <v>0</v>
      </c>
      <c r="H293" s="14">
        <f t="shared" si="13"/>
        <v>14666229.275653923</v>
      </c>
      <c r="I293" s="58">
        <f t="shared" si="14"/>
        <v>4410414.500201581</v>
      </c>
    </row>
    <row r="294" spans="1:9" x14ac:dyDescent="0.25">
      <c r="A294" s="50">
        <f>'A) Base RI'!A285</f>
        <v>5891</v>
      </c>
      <c r="B294" s="33" t="str">
        <f>'A) Base RI'!B285</f>
        <v>Veytaux</v>
      </c>
      <c r="C294" s="32">
        <f>'D) Ecrêtage'!C283</f>
        <v>35139.330604262883</v>
      </c>
      <c r="D294" s="14">
        <f>'A) Base RI'!V285</f>
        <v>870</v>
      </c>
      <c r="E294" s="10">
        <f t="shared" si="12"/>
        <v>703217.37101618235</v>
      </c>
      <c r="F294" s="14">
        <f>'F) Population'!K286</f>
        <v>107437.1227364185</v>
      </c>
      <c r="G294" s="10">
        <f>'G) Solidarité'!I283</f>
        <v>79646.848592690614</v>
      </c>
      <c r="H294" s="14">
        <f t="shared" si="13"/>
        <v>187083.9713291091</v>
      </c>
      <c r="I294" s="58">
        <f t="shared" si="14"/>
        <v>516133.39968707325</v>
      </c>
    </row>
    <row r="295" spans="1:9" x14ac:dyDescent="0.25">
      <c r="A295" s="50">
        <f>'A) Base RI'!A286</f>
        <v>5902</v>
      </c>
      <c r="B295" s="33" t="str">
        <f>'A) Base RI'!B286</f>
        <v>Belmont-sur-Yverdon</v>
      </c>
      <c r="C295" s="32">
        <f>'D) Ecrêtage'!C284</f>
        <v>9890.2176826722334</v>
      </c>
      <c r="D295" s="14">
        <f>'A) Base RI'!V286</f>
        <v>378</v>
      </c>
      <c r="E295" s="10">
        <f t="shared" si="12"/>
        <v>197925.59385700972</v>
      </c>
      <c r="F295" s="14">
        <f>'F) Population'!K287</f>
        <v>46679.57746478873</v>
      </c>
      <c r="G295" s="10">
        <f>'G) Solidarité'!I284</f>
        <v>165609.38533000802</v>
      </c>
      <c r="H295" s="14">
        <f t="shared" si="13"/>
        <v>212288.96279479674</v>
      </c>
      <c r="I295" s="58">
        <f t="shared" si="14"/>
        <v>-14363.368937787018</v>
      </c>
    </row>
    <row r="296" spans="1:9" x14ac:dyDescent="0.25">
      <c r="A296" s="50">
        <f>'A) Base RI'!A287</f>
        <v>5903</v>
      </c>
      <c r="B296" s="33" t="str">
        <f>'A) Base RI'!B287</f>
        <v>Bioley-Magnoux</v>
      </c>
      <c r="C296" s="32">
        <f>'D) Ecrêtage'!C285</f>
        <v>5925.8519470372794</v>
      </c>
      <c r="D296" s="14">
        <f>'A) Base RI'!V287</f>
        <v>225</v>
      </c>
      <c r="E296" s="10">
        <f t="shared" si="12"/>
        <v>118589.68157808752</v>
      </c>
      <c r="F296" s="14">
        <f>'F) Population'!K288</f>
        <v>27785.462776659959</v>
      </c>
      <c r="G296" s="10">
        <f>'G) Solidarité'!I285</f>
        <v>92610.921216579794</v>
      </c>
      <c r="H296" s="14">
        <f t="shared" si="13"/>
        <v>120396.38399323975</v>
      </c>
      <c r="I296" s="58">
        <f t="shared" si="14"/>
        <v>-1806.7024151522346</v>
      </c>
    </row>
    <row r="297" spans="1:9" x14ac:dyDescent="0.25">
      <c r="A297" s="50">
        <f>'A) Base RI'!A288</f>
        <v>5904</v>
      </c>
      <c r="B297" s="33" t="str">
        <f>'A) Base RI'!B288</f>
        <v>Chamblon</v>
      </c>
      <c r="C297" s="32">
        <f>'D) Ecrêtage'!C286</f>
        <v>21650.618671075306</v>
      </c>
      <c r="D297" s="14">
        <f>'A) Base RI'!V288</f>
        <v>534</v>
      </c>
      <c r="E297" s="10">
        <f t="shared" si="12"/>
        <v>433277.77965413022</v>
      </c>
      <c r="F297" s="14">
        <f>'F) Population'!K289</f>
        <v>65944.164989939629</v>
      </c>
      <c r="G297" s="10">
        <f>'G) Solidarité'!I286</f>
        <v>43300.420257672682</v>
      </c>
      <c r="H297" s="14">
        <f t="shared" si="13"/>
        <v>109244.58524761231</v>
      </c>
      <c r="I297" s="58">
        <f t="shared" si="14"/>
        <v>324033.1944065179</v>
      </c>
    </row>
    <row r="298" spans="1:9" x14ac:dyDescent="0.25">
      <c r="A298" s="50">
        <f>'A) Base RI'!A289</f>
        <v>5905</v>
      </c>
      <c r="B298" s="33" t="str">
        <f>'A) Base RI'!B289</f>
        <v>Champvent</v>
      </c>
      <c r="C298" s="32">
        <f>'D) Ecrêtage'!C287</f>
        <v>22161.114023042239</v>
      </c>
      <c r="D298" s="14">
        <f>'A) Base RI'!V289</f>
        <v>669</v>
      </c>
      <c r="E298" s="10">
        <f t="shared" si="12"/>
        <v>443493.94465081394</v>
      </c>
      <c r="F298" s="14">
        <f>'F) Population'!K290</f>
        <v>82615.442655935607</v>
      </c>
      <c r="G298" s="10">
        <f>'G) Solidarité'!I287</f>
        <v>162361.05587965451</v>
      </c>
      <c r="H298" s="14">
        <f t="shared" si="13"/>
        <v>244976.49853559013</v>
      </c>
      <c r="I298" s="58">
        <f t="shared" si="14"/>
        <v>198517.44611522381</v>
      </c>
    </row>
    <row r="299" spans="1:9" x14ac:dyDescent="0.25">
      <c r="A299" s="50">
        <f>'A) Base RI'!A290</f>
        <v>5907</v>
      </c>
      <c r="B299" s="33" t="str">
        <f>'A) Base RI'!B290</f>
        <v>Chavannes-le-Chêne</v>
      </c>
      <c r="C299" s="32">
        <f>'D) Ecrêtage'!C288</f>
        <v>8634.8729280902389</v>
      </c>
      <c r="D299" s="14">
        <f>'A) Base RI'!V290</f>
        <v>298</v>
      </c>
      <c r="E299" s="10">
        <f t="shared" si="12"/>
        <v>172803.30999856276</v>
      </c>
      <c r="F299" s="14">
        <f>'F) Population'!K291</f>
        <v>36800.301810865189</v>
      </c>
      <c r="G299" s="10">
        <f>'G) Solidarité'!I288</f>
        <v>117232.36512431418</v>
      </c>
      <c r="H299" s="14">
        <f t="shared" si="13"/>
        <v>154032.66693517938</v>
      </c>
      <c r="I299" s="58">
        <f t="shared" si="14"/>
        <v>18770.643063383381</v>
      </c>
    </row>
    <row r="300" spans="1:9" x14ac:dyDescent="0.25">
      <c r="A300" s="50">
        <f>'A) Base RI'!A291</f>
        <v>5908</v>
      </c>
      <c r="B300" s="33" t="str">
        <f>'A) Base RI'!B291</f>
        <v>Chêne-Pâquier</v>
      </c>
      <c r="C300" s="32">
        <f>'D) Ecrêtage'!C289</f>
        <v>2752.8487805406176</v>
      </c>
      <c r="D300" s="14">
        <f>'A) Base RI'!V291</f>
        <v>139</v>
      </c>
      <c r="E300" s="10">
        <f t="shared" si="12"/>
        <v>55090.721677607347</v>
      </c>
      <c r="F300" s="14">
        <f>'F) Population'!K292</f>
        <v>17165.241448692152</v>
      </c>
      <c r="G300" s="10">
        <f>'G) Solidarité'!I289</f>
        <v>87762.211407937895</v>
      </c>
      <c r="H300" s="14">
        <f t="shared" si="13"/>
        <v>104927.45285663004</v>
      </c>
      <c r="I300" s="58">
        <f t="shared" si="14"/>
        <v>-49836.731179022696</v>
      </c>
    </row>
    <row r="301" spans="1:9" x14ac:dyDescent="0.25">
      <c r="A301" s="50">
        <f>'A) Base RI'!A292</f>
        <v>5909</v>
      </c>
      <c r="B301" s="33" t="str">
        <f>'A) Base RI'!B292</f>
        <v>Cheseaux-Noréaz</v>
      </c>
      <c r="C301" s="32">
        <f>'D) Ecrêtage'!C290</f>
        <v>27860.638922764225</v>
      </c>
      <c r="D301" s="14">
        <f>'A) Base RI'!V292</f>
        <v>705</v>
      </c>
      <c r="E301" s="10">
        <f t="shared" si="12"/>
        <v>557554.31083028635</v>
      </c>
      <c r="F301" s="14">
        <f>'F) Population'!K293</f>
        <v>87061.116700201193</v>
      </c>
      <c r="G301" s="10">
        <f>'G) Solidarité'!I290</f>
        <v>78407.742102938166</v>
      </c>
      <c r="H301" s="14">
        <f t="shared" si="13"/>
        <v>165468.85880313936</v>
      </c>
      <c r="I301" s="58">
        <f t="shared" si="14"/>
        <v>392085.452027147</v>
      </c>
    </row>
    <row r="302" spans="1:9" x14ac:dyDescent="0.25">
      <c r="A302" s="50">
        <f>'A) Base RI'!A293</f>
        <v>5910</v>
      </c>
      <c r="B302" s="33" t="str">
        <f>'A) Base RI'!B293</f>
        <v>Cronay</v>
      </c>
      <c r="C302" s="32">
        <f>'D) Ecrêtage'!C291</f>
        <v>10082.92355515589</v>
      </c>
      <c r="D302" s="14">
        <f>'A) Base RI'!V293</f>
        <v>380</v>
      </c>
      <c r="E302" s="10">
        <f t="shared" si="12"/>
        <v>201782.07361052264</v>
      </c>
      <c r="F302" s="14">
        <f>'F) Population'!K294</f>
        <v>46926.559356136815</v>
      </c>
      <c r="G302" s="10">
        <f>'G) Solidarité'!I291</f>
        <v>176401.44105569643</v>
      </c>
      <c r="H302" s="14">
        <f t="shared" si="13"/>
        <v>223328.00041183323</v>
      </c>
      <c r="I302" s="58">
        <f t="shared" si="14"/>
        <v>-21545.92680131059</v>
      </c>
    </row>
    <row r="303" spans="1:9" x14ac:dyDescent="0.25">
      <c r="A303" s="50">
        <f>'A) Base RI'!A294</f>
        <v>5911</v>
      </c>
      <c r="B303" s="33" t="str">
        <f>'A) Base RI'!B294</f>
        <v>Cuarny</v>
      </c>
      <c r="C303" s="32">
        <f>'D) Ecrêtage'!C292</f>
        <v>7082.7432735873799</v>
      </c>
      <c r="D303" s="14">
        <f>'A) Base RI'!V294</f>
        <v>241</v>
      </c>
      <c r="E303" s="10">
        <f t="shared" si="12"/>
        <v>141741.68997489207</v>
      </c>
      <c r="F303" s="14">
        <f>'F) Population'!K295</f>
        <v>29761.317907444667</v>
      </c>
      <c r="G303" s="10">
        <f>'G) Solidarité'!I292</f>
        <v>94783.372145806788</v>
      </c>
      <c r="H303" s="14">
        <f t="shared" si="13"/>
        <v>124544.69005325146</v>
      </c>
      <c r="I303" s="58">
        <f t="shared" si="14"/>
        <v>17196.999921640614</v>
      </c>
    </row>
    <row r="304" spans="1:9" x14ac:dyDescent="0.25">
      <c r="A304" s="50">
        <f>'A) Base RI'!A295</f>
        <v>5912</v>
      </c>
      <c r="B304" s="33" t="str">
        <f>'A) Base RI'!B295</f>
        <v>Démoret</v>
      </c>
      <c r="C304" s="32">
        <f>'D) Ecrêtage'!C293</f>
        <v>3186.2414803898018</v>
      </c>
      <c r="D304" s="14">
        <f>'A) Base RI'!V295</f>
        <v>146</v>
      </c>
      <c r="E304" s="10">
        <f t="shared" si="12"/>
        <v>63763.888461512339</v>
      </c>
      <c r="F304" s="14">
        <f>'F) Population'!K296</f>
        <v>18029.67806841046</v>
      </c>
      <c r="G304" s="10">
        <f>'G) Solidarité'!I293</f>
        <v>89210.616043187794</v>
      </c>
      <c r="H304" s="14">
        <f t="shared" si="13"/>
        <v>107240.29411159825</v>
      </c>
      <c r="I304" s="58">
        <f t="shared" si="14"/>
        <v>-43476.405650085915</v>
      </c>
    </row>
    <row r="305" spans="1:9" x14ac:dyDescent="0.25">
      <c r="A305" s="50">
        <f>'A) Base RI'!A296</f>
        <v>5913</v>
      </c>
      <c r="B305" s="33" t="str">
        <f>'A) Base RI'!B296</f>
        <v>Donneloye</v>
      </c>
      <c r="C305" s="32">
        <f>'D) Ecrêtage'!C294</f>
        <v>20035.3963318641</v>
      </c>
      <c r="D305" s="14">
        <f>'A) Base RI'!V296</f>
        <v>813</v>
      </c>
      <c r="E305" s="10">
        <f t="shared" si="12"/>
        <v>400953.53250842856</v>
      </c>
      <c r="F305" s="14">
        <f>'F) Population'!K297</f>
        <v>100398.13883299798</v>
      </c>
      <c r="G305" s="10">
        <f>'G) Solidarité'!I294</f>
        <v>354852.69793031563</v>
      </c>
      <c r="H305" s="14">
        <f t="shared" si="13"/>
        <v>455250.83676331362</v>
      </c>
      <c r="I305" s="58">
        <f t="shared" si="14"/>
        <v>-54297.304254885064</v>
      </c>
    </row>
    <row r="306" spans="1:9" x14ac:dyDescent="0.25">
      <c r="A306" s="50">
        <f>'A) Base RI'!A297</f>
        <v>5914</v>
      </c>
      <c r="B306" s="33" t="str">
        <f>'A) Base RI'!B297</f>
        <v>Ependes</v>
      </c>
      <c r="C306" s="32">
        <f>'D) Ecrêtage'!C295</f>
        <v>10170.223624242424</v>
      </c>
      <c r="D306" s="14">
        <f>'A) Base RI'!V297</f>
        <v>361</v>
      </c>
      <c r="E306" s="10">
        <f t="shared" si="12"/>
        <v>203529.14516871321</v>
      </c>
      <c r="F306" s="14">
        <f>'F) Population'!K298</f>
        <v>44580.231388329979</v>
      </c>
      <c r="G306" s="10">
        <f>'G) Solidarité'!I295</f>
        <v>137798.36829904187</v>
      </c>
      <c r="H306" s="14">
        <f t="shared" si="13"/>
        <v>182378.59968737187</v>
      </c>
      <c r="I306" s="58">
        <f t="shared" si="14"/>
        <v>21150.545481341338</v>
      </c>
    </row>
    <row r="307" spans="1:9" x14ac:dyDescent="0.25">
      <c r="A307" s="50">
        <f>'A) Base RI'!A298</f>
        <v>5919</v>
      </c>
      <c r="B307" s="33" t="str">
        <f>'A) Base RI'!B298</f>
        <v>Mathod</v>
      </c>
      <c r="C307" s="32">
        <f>'D) Ecrêtage'!C296</f>
        <v>15960.347228765168</v>
      </c>
      <c r="D307" s="14">
        <f>'A) Base RI'!V298</f>
        <v>617</v>
      </c>
      <c r="E307" s="10">
        <f t="shared" si="12"/>
        <v>319402.59605731012</v>
      </c>
      <c r="F307" s="14">
        <f>'F) Population'!K299</f>
        <v>76193.913480885312</v>
      </c>
      <c r="G307" s="10">
        <f>'G) Solidarité'!I296</f>
        <v>246394.56292615976</v>
      </c>
      <c r="H307" s="14">
        <f t="shared" si="13"/>
        <v>322588.47640704509</v>
      </c>
      <c r="I307" s="58">
        <f t="shared" si="14"/>
        <v>-3185.8803497349727</v>
      </c>
    </row>
    <row r="308" spans="1:9" x14ac:dyDescent="0.25">
      <c r="A308" s="50">
        <f>'A) Base RI'!A299</f>
        <v>5921</v>
      </c>
      <c r="B308" s="33" t="str">
        <f>'A) Base RI'!B299</f>
        <v>Molondin</v>
      </c>
      <c r="C308" s="32">
        <f>'D) Ecrêtage'!C297</f>
        <v>5323.6574375620139</v>
      </c>
      <c r="D308" s="14">
        <f>'A) Base RI'!V299</f>
        <v>232</v>
      </c>
      <c r="E308" s="10">
        <f t="shared" si="12"/>
        <v>106538.40932812034</v>
      </c>
      <c r="F308" s="14">
        <f>'F) Population'!K300</f>
        <v>28649.899396378267</v>
      </c>
      <c r="G308" s="10">
        <f>'G) Solidarité'!I297</f>
        <v>134953.93878486258</v>
      </c>
      <c r="H308" s="14">
        <f t="shared" si="13"/>
        <v>163603.83818124083</v>
      </c>
      <c r="I308" s="58">
        <f t="shared" si="14"/>
        <v>-57065.428853120495</v>
      </c>
    </row>
    <row r="309" spans="1:9" x14ac:dyDescent="0.25">
      <c r="A309" s="50">
        <f>'A) Base RI'!A300</f>
        <v>5922</v>
      </c>
      <c r="B309" s="33" t="str">
        <f>'A) Base RI'!B300</f>
        <v>Montagny-près-Yverdon</v>
      </c>
      <c r="C309" s="32">
        <f>'D) Ecrêtage'!C298</f>
        <v>42538.107931378596</v>
      </c>
      <c r="D309" s="14">
        <f>'A) Base RI'!V300</f>
        <v>717</v>
      </c>
      <c r="E309" s="10">
        <f t="shared" si="12"/>
        <v>851283.61619608512</v>
      </c>
      <c r="F309" s="14">
        <f>'F) Population'!K301</f>
        <v>88543.008048289732</v>
      </c>
      <c r="G309" s="10">
        <f>'G) Solidarité'!I298</f>
        <v>0</v>
      </c>
      <c r="H309" s="14">
        <f t="shared" si="13"/>
        <v>88543.008048289732</v>
      </c>
      <c r="I309" s="58">
        <f t="shared" si="14"/>
        <v>762740.60814779543</v>
      </c>
    </row>
    <row r="310" spans="1:9" x14ac:dyDescent="0.25">
      <c r="A310" s="50">
        <f>'A) Base RI'!A301</f>
        <v>5923</v>
      </c>
      <c r="B310" s="33" t="str">
        <f>'A) Base RI'!B301</f>
        <v>Oppens</v>
      </c>
      <c r="C310" s="32">
        <f>'D) Ecrêtage'!C299</f>
        <v>4631.0916713851466</v>
      </c>
      <c r="D310" s="14">
        <f>'A) Base RI'!V301</f>
        <v>187</v>
      </c>
      <c r="E310" s="10">
        <f t="shared" si="12"/>
        <v>92678.604119206604</v>
      </c>
      <c r="F310" s="14">
        <f>'F) Population'!K302</f>
        <v>23092.806841046277</v>
      </c>
      <c r="G310" s="10">
        <f>'G) Solidarité'!I299</f>
        <v>99897.221501807275</v>
      </c>
      <c r="H310" s="14">
        <f t="shared" si="13"/>
        <v>122990.02834285355</v>
      </c>
      <c r="I310" s="58">
        <f t="shared" si="14"/>
        <v>-30311.424223646944</v>
      </c>
    </row>
    <row r="311" spans="1:9" x14ac:dyDescent="0.25">
      <c r="A311" s="50">
        <f>'A) Base RI'!A302</f>
        <v>5924</v>
      </c>
      <c r="B311" s="33" t="str">
        <f>'A) Base RI'!B302</f>
        <v>Orges</v>
      </c>
      <c r="C311" s="32">
        <f>'D) Ecrêtage'!C300</f>
        <v>10396.618626656635</v>
      </c>
      <c r="D311" s="14">
        <f>'A) Base RI'!V302</f>
        <v>336</v>
      </c>
      <c r="E311" s="10">
        <f t="shared" si="12"/>
        <v>208059.82050234094</v>
      </c>
      <c r="F311" s="14">
        <f>'F) Population'!K303</f>
        <v>41492.957746478867</v>
      </c>
      <c r="G311" s="10">
        <f>'G) Solidarité'!I300</f>
        <v>104571.90303888678</v>
      </c>
      <c r="H311" s="14">
        <f t="shared" si="13"/>
        <v>146064.86078536566</v>
      </c>
      <c r="I311" s="58">
        <f t="shared" si="14"/>
        <v>61994.959716975281</v>
      </c>
    </row>
    <row r="312" spans="1:9" x14ac:dyDescent="0.25">
      <c r="A312" s="50">
        <f>'A) Base RI'!A303</f>
        <v>5925</v>
      </c>
      <c r="B312" s="33" t="str">
        <f>'A) Base RI'!B303</f>
        <v>Orzens</v>
      </c>
      <c r="C312" s="32">
        <f>'D) Ecrêtage'!C301</f>
        <v>4755.0256411268865</v>
      </c>
      <c r="D312" s="14">
        <f>'A) Base RI'!V303</f>
        <v>195</v>
      </c>
      <c r="E312" s="10">
        <f t="shared" si="12"/>
        <v>95158.802770765789</v>
      </c>
      <c r="F312" s="14">
        <f>'F) Population'!K304</f>
        <v>24080.734406438631</v>
      </c>
      <c r="G312" s="10">
        <f>'G) Solidarité'!I301</f>
        <v>100933.11498442582</v>
      </c>
      <c r="H312" s="14">
        <f t="shared" si="13"/>
        <v>125013.84939086445</v>
      </c>
      <c r="I312" s="58">
        <f t="shared" si="14"/>
        <v>-29855.046620098656</v>
      </c>
    </row>
    <row r="313" spans="1:9" x14ac:dyDescent="0.25">
      <c r="A313" s="50">
        <f>'A) Base RI'!A304</f>
        <v>5926</v>
      </c>
      <c r="B313" s="33" t="str">
        <f>'A) Base RI'!B304</f>
        <v>Pomy</v>
      </c>
      <c r="C313" s="32">
        <f>'D) Ecrêtage'!C302</f>
        <v>23259.861194280857</v>
      </c>
      <c r="D313" s="14">
        <f>'A) Base RI'!V304</f>
        <v>785</v>
      </c>
      <c r="E313" s="10">
        <f t="shared" si="12"/>
        <v>465482.35717555776</v>
      </c>
      <c r="F313" s="14">
        <f>'F) Population'!K305</f>
        <v>96940.392354124735</v>
      </c>
      <c r="G313" s="10">
        <f>'G) Solidarité'!I302</f>
        <v>245569.10730796176</v>
      </c>
      <c r="H313" s="14">
        <f t="shared" si="13"/>
        <v>342509.49966208648</v>
      </c>
      <c r="I313" s="58">
        <f t="shared" si="14"/>
        <v>122972.85751347127</v>
      </c>
    </row>
    <row r="314" spans="1:9" x14ac:dyDescent="0.25">
      <c r="A314" s="50">
        <f>'A) Base RI'!A305</f>
        <v>5928</v>
      </c>
      <c r="B314" s="33" t="str">
        <f>'A) Base RI'!B305</f>
        <v>Rovray</v>
      </c>
      <c r="C314" s="32">
        <f>'D) Ecrêtage'!C303</f>
        <v>4486.3585880513701</v>
      </c>
      <c r="D314" s="14">
        <f>'A) Base RI'!V305</f>
        <v>187</v>
      </c>
      <c r="E314" s="10">
        <f t="shared" si="12"/>
        <v>89782.16822783259</v>
      </c>
      <c r="F314" s="14">
        <f>'F) Population'!K306</f>
        <v>23092.806841046277</v>
      </c>
      <c r="G314" s="10">
        <f>'G) Solidarité'!I303</f>
        <v>84208.915455049049</v>
      </c>
      <c r="H314" s="14">
        <f t="shared" si="13"/>
        <v>107301.72229609532</v>
      </c>
      <c r="I314" s="58">
        <f t="shared" si="14"/>
        <v>-17519.554068262732</v>
      </c>
    </row>
    <row r="315" spans="1:9" x14ac:dyDescent="0.25">
      <c r="A315" s="50">
        <f>'A) Base RI'!A306</f>
        <v>5929</v>
      </c>
      <c r="B315" s="33" t="str">
        <f>'A) Base RI'!B306</f>
        <v>Suchy</v>
      </c>
      <c r="C315" s="32">
        <f>'D) Ecrêtage'!C304</f>
        <v>17021.216382984901</v>
      </c>
      <c r="D315" s="14">
        <f>'A) Base RI'!V306</f>
        <v>605</v>
      </c>
      <c r="E315" s="10">
        <f t="shared" si="12"/>
        <v>340632.9839102893</v>
      </c>
      <c r="F315" s="14">
        <f>'F) Population'!K307</f>
        <v>74712.022132796774</v>
      </c>
      <c r="G315" s="10">
        <f>'G) Solidarité'!I304</f>
        <v>201621.04178393955</v>
      </c>
      <c r="H315" s="14">
        <f t="shared" si="13"/>
        <v>276333.06391673634</v>
      </c>
      <c r="I315" s="58">
        <f t="shared" si="14"/>
        <v>64299.919993552961</v>
      </c>
    </row>
    <row r="316" spans="1:9" x14ac:dyDescent="0.25">
      <c r="A316" s="50">
        <f>'A) Base RI'!A307</f>
        <v>5930</v>
      </c>
      <c r="B316" s="33" t="str">
        <f>'A) Base RI'!B307</f>
        <v>Suscévaz</v>
      </c>
      <c r="C316" s="32">
        <f>'D) Ecrêtage'!C305</f>
        <v>5363.6524098848004</v>
      </c>
      <c r="D316" s="14">
        <f>'A) Base RI'!V307</f>
        <v>200</v>
      </c>
      <c r="E316" s="10">
        <f t="shared" si="12"/>
        <v>107338.79905686727</v>
      </c>
      <c r="F316" s="14">
        <f>'F) Population'!K308</f>
        <v>24698.18913480885</v>
      </c>
      <c r="G316" s="10">
        <f>'G) Solidarité'!I305</f>
        <v>75945.556765293615</v>
      </c>
      <c r="H316" s="14">
        <f t="shared" si="13"/>
        <v>100643.74590010247</v>
      </c>
      <c r="I316" s="58">
        <f t="shared" si="14"/>
        <v>6695.0531567647995</v>
      </c>
    </row>
    <row r="317" spans="1:9" x14ac:dyDescent="0.25">
      <c r="A317" s="50">
        <f>'A) Base RI'!A308</f>
        <v>5931</v>
      </c>
      <c r="B317" s="33" t="str">
        <f>'A) Base RI'!B308</f>
        <v>Treycovagnes</v>
      </c>
      <c r="C317" s="32">
        <f>'D) Ecrêtage'!C306</f>
        <v>13443.123228865978</v>
      </c>
      <c r="D317" s="14">
        <f>'A) Base RI'!V308</f>
        <v>456</v>
      </c>
      <c r="E317" s="10">
        <f t="shared" si="12"/>
        <v>269027.25842201652</v>
      </c>
      <c r="F317" s="14">
        <f>'F) Population'!K309</f>
        <v>56311.87122736418</v>
      </c>
      <c r="G317" s="10">
        <f>'G) Solidarité'!I306</f>
        <v>160705.02282808025</v>
      </c>
      <c r="H317" s="14">
        <f t="shared" si="13"/>
        <v>217016.89405544443</v>
      </c>
      <c r="I317" s="58">
        <f t="shared" si="14"/>
        <v>52010.364366572088</v>
      </c>
    </row>
    <row r="318" spans="1:9" x14ac:dyDescent="0.25">
      <c r="A318" s="50">
        <f>'A) Base RI'!A309</f>
        <v>5932</v>
      </c>
      <c r="B318" s="33" t="str">
        <f>'A) Base RI'!B309</f>
        <v>Ursins</v>
      </c>
      <c r="C318" s="32">
        <f>'D) Ecrêtage'!C307</f>
        <v>6855.3003269100209</v>
      </c>
      <c r="D318" s="14">
        <f>'A) Base RI'!V309</f>
        <v>218</v>
      </c>
      <c r="E318" s="10">
        <f t="shared" si="12"/>
        <v>137190.04290967385</v>
      </c>
      <c r="F318" s="14">
        <f>'F) Population'!K310</f>
        <v>26921.026156941647</v>
      </c>
      <c r="G318" s="10">
        <f>'G) Solidarité'!I307</f>
        <v>72719.497789885281</v>
      </c>
      <c r="H318" s="14">
        <f t="shared" si="13"/>
        <v>99640.523946826928</v>
      </c>
      <c r="I318" s="58">
        <f t="shared" si="14"/>
        <v>37549.518962846923</v>
      </c>
    </row>
    <row r="319" spans="1:9" x14ac:dyDescent="0.25">
      <c r="A319" s="50">
        <f>'A) Base RI'!A310</f>
        <v>5933</v>
      </c>
      <c r="B319" s="33" t="str">
        <f>'A) Base RI'!B310</f>
        <v>Valeyres-sous-Montagny</v>
      </c>
      <c r="C319" s="32">
        <f>'D) Ecrêtage'!C308</f>
        <v>20669.421262090575</v>
      </c>
      <c r="D319" s="14">
        <f>'A) Base RI'!V310</f>
        <v>705</v>
      </c>
      <c r="E319" s="10">
        <f t="shared" si="12"/>
        <v>413641.80336975481</v>
      </c>
      <c r="F319" s="14">
        <f>'F) Population'!K311</f>
        <v>87061.116700201193</v>
      </c>
      <c r="G319" s="10">
        <f>'G) Solidarité'!I308</f>
        <v>231338.92978651592</v>
      </c>
      <c r="H319" s="14">
        <f t="shared" si="13"/>
        <v>318400.04648671712</v>
      </c>
      <c r="I319" s="58">
        <f t="shared" si="14"/>
        <v>95241.756883037684</v>
      </c>
    </row>
    <row r="320" spans="1:9" x14ac:dyDescent="0.25">
      <c r="A320" s="50">
        <f>'A) Base RI'!A311</f>
        <v>5934</v>
      </c>
      <c r="B320" s="33" t="str">
        <f>'A) Base RI'!B311</f>
        <v>Valeyres-sous-Ursins</v>
      </c>
      <c r="C320" s="32">
        <f>'D) Ecrêtage'!C309</f>
        <v>6791.6761133712571</v>
      </c>
      <c r="D320" s="14">
        <f>'A) Base RI'!V311</f>
        <v>238</v>
      </c>
      <c r="E320" s="10">
        <f t="shared" si="12"/>
        <v>135916.77869523619</v>
      </c>
      <c r="F320" s="14">
        <f>'F) Population'!K312</f>
        <v>29390.845070422532</v>
      </c>
      <c r="G320" s="10">
        <f>'G) Solidarité'!I309</f>
        <v>98643.889017675436</v>
      </c>
      <c r="H320" s="14">
        <f t="shared" si="13"/>
        <v>128034.73408809796</v>
      </c>
      <c r="I320" s="58">
        <f t="shared" si="14"/>
        <v>7882.0446071382321</v>
      </c>
    </row>
    <row r="321" spans="1:9" x14ac:dyDescent="0.25">
      <c r="A321" s="50">
        <f>'A) Base RI'!A312</f>
        <v>5935</v>
      </c>
      <c r="B321" s="33" t="str">
        <f>'A) Base RI'!B312</f>
        <v>Villars-Epeney</v>
      </c>
      <c r="C321" s="32">
        <f>'D) Ecrêtage'!C310</f>
        <v>5529.6840523560213</v>
      </c>
      <c r="D321" s="14">
        <f>'A) Base RI'!V312</f>
        <v>106</v>
      </c>
      <c r="E321" s="10">
        <f t="shared" si="12"/>
        <v>110661.46722146648</v>
      </c>
      <c r="F321" s="14">
        <f>'F) Population'!K313</f>
        <v>13090.040241448691</v>
      </c>
      <c r="G321" s="10">
        <f>'G) Solidarité'!I310</f>
        <v>0</v>
      </c>
      <c r="H321" s="14">
        <f t="shared" si="13"/>
        <v>13090.040241448691</v>
      </c>
      <c r="I321" s="58">
        <f t="shared" si="14"/>
        <v>97571.426980017786</v>
      </c>
    </row>
    <row r="322" spans="1:9" x14ac:dyDescent="0.25">
      <c r="A322" s="50">
        <f>'A) Base RI'!A313</f>
        <v>5937</v>
      </c>
      <c r="B322" s="33" t="str">
        <f>'A) Base RI'!B313</f>
        <v>Vugelles-La Mothe</v>
      </c>
      <c r="C322" s="32">
        <f>'D) Ecrêtage'!C311</f>
        <v>2865.8382395608655</v>
      </c>
      <c r="D322" s="14">
        <f>'A) Base RI'!V313</f>
        <v>122</v>
      </c>
      <c r="E322" s="10">
        <f t="shared" si="12"/>
        <v>57351.895950378508</v>
      </c>
      <c r="F322" s="14">
        <f>'F) Population'!K314</f>
        <v>15065.895372233399</v>
      </c>
      <c r="G322" s="10">
        <f>'G) Solidarité'!I311</f>
        <v>51707.249786672786</v>
      </c>
      <c r="H322" s="14">
        <f t="shared" si="13"/>
        <v>66773.145158906191</v>
      </c>
      <c r="I322" s="58">
        <f t="shared" si="14"/>
        <v>-9421.2492085276826</v>
      </c>
    </row>
    <row r="323" spans="1:9" x14ac:dyDescent="0.25">
      <c r="A323" s="50">
        <f>'A) Base RI'!A314</f>
        <v>5938</v>
      </c>
      <c r="B323" s="33" t="str">
        <f>'A) Base RI'!B314</f>
        <v>Yverdon-les-Bains</v>
      </c>
      <c r="C323" s="32">
        <f>'D) Ecrêtage'!C312</f>
        <v>774260.97307948919</v>
      </c>
      <c r="D323" s="14">
        <f>'A) Base RI'!V314</f>
        <v>30208</v>
      </c>
      <c r="E323" s="10">
        <f t="shared" si="12"/>
        <v>15494710.815673232</v>
      </c>
      <c r="F323" s="14">
        <f>'F) Population'!K315</f>
        <v>25432614.486921526</v>
      </c>
      <c r="G323" s="10">
        <f>'G) Solidarité'!I312</f>
        <v>13784930.651167866</v>
      </c>
      <c r="H323" s="14">
        <f t="shared" si="13"/>
        <v>39217545.138089389</v>
      </c>
      <c r="I323" s="58">
        <f t="shared" si="14"/>
        <v>-23722834.322416157</v>
      </c>
    </row>
    <row r="324" spans="1:9" x14ac:dyDescent="0.25">
      <c r="A324" s="50">
        <f>'A) Base RI'!A315</f>
        <v>5939</v>
      </c>
      <c r="B324" s="33" t="str">
        <f>'A) Base RI'!B315</f>
        <v>Yvonand</v>
      </c>
      <c r="C324" s="32">
        <f>'D) Ecrêtage'!C313</f>
        <v>92761.457314991218</v>
      </c>
      <c r="D324" s="14">
        <f>'A) Base RI'!V315</f>
        <v>3351</v>
      </c>
      <c r="E324" s="10">
        <f t="shared" si="12"/>
        <v>1856366.2717230152</v>
      </c>
      <c r="F324" s="14">
        <f>'F) Population'!K316</f>
        <v>988421.52917505021</v>
      </c>
      <c r="G324" s="10">
        <f>'G) Solidarité'!I313</f>
        <v>1246684.6570970677</v>
      </c>
      <c r="H324" s="14">
        <f t="shared" si="13"/>
        <v>2235106.1862721178</v>
      </c>
      <c r="I324" s="58">
        <f t="shared" si="14"/>
        <v>-378739.91454910254</v>
      </c>
    </row>
    <row r="325" spans="1:9" x14ac:dyDescent="0.25">
      <c r="A325" s="31"/>
      <c r="B325" s="124">
        <f>COUNTA(B16:B324)</f>
        <v>309</v>
      </c>
      <c r="C325" s="125">
        <f>SUM(C16:C324)</f>
        <v>35922747.174706832</v>
      </c>
      <c r="D325" s="11">
        <f>SUM(D16:D324)</f>
        <v>794384</v>
      </c>
      <c r="E325" s="11">
        <f>SUM(E16:E324)</f>
        <v>718895306.01393294</v>
      </c>
      <c r="F325" s="11">
        <f>SUM(F16:F324)</f>
        <v>416293016.29778695</v>
      </c>
      <c r="G325" s="11">
        <f>SUM(G16:G324)</f>
        <v>129505030.29143624</v>
      </c>
      <c r="H325" s="11">
        <f>F325+G325</f>
        <v>545798046.58922315</v>
      </c>
      <c r="I325" s="38">
        <f>E325-H325</f>
        <v>173097259.4247098</v>
      </c>
    </row>
    <row r="326" spans="1:9" x14ac:dyDescent="0.25">
      <c r="C326" s="75"/>
      <c r="D326" s="75"/>
      <c r="E326" s="37"/>
      <c r="H326" s="37"/>
    </row>
    <row r="327" spans="1:9" x14ac:dyDescent="0.25">
      <c r="C327" s="5"/>
      <c r="D327" s="5"/>
      <c r="E327" s="6"/>
      <c r="F327" s="6"/>
      <c r="G327" s="6"/>
      <c r="H327" s="6"/>
      <c r="I327" s="6"/>
    </row>
    <row r="328" spans="1:9" x14ac:dyDescent="0.25">
      <c r="G328" s="12"/>
    </row>
    <row r="330" spans="1:9" x14ac:dyDescent="0.25">
      <c r="F330" s="12"/>
    </row>
    <row r="331" spans="1:9" x14ac:dyDescent="0.25">
      <c r="F331" s="12"/>
    </row>
    <row r="333" spans="1:9" x14ac:dyDescent="0.25">
      <c r="F333" s="112"/>
      <c r="G333" s="112"/>
      <c r="H333" s="112"/>
      <c r="I333" s="112"/>
    </row>
    <row r="334" spans="1:9" x14ac:dyDescent="0.25">
      <c r="E334" s="112"/>
      <c r="F334" s="112"/>
      <c r="G334" s="112"/>
      <c r="H334" s="112"/>
      <c r="I334" s="112"/>
    </row>
    <row r="335" spans="1:9" x14ac:dyDescent="0.25">
      <c r="E335" s="121"/>
      <c r="F335" s="121"/>
      <c r="G335" s="121"/>
      <c r="H335" s="121"/>
      <c r="I335" s="121"/>
    </row>
    <row r="342" spans="3:3" x14ac:dyDescent="0.25">
      <c r="C342" s="49"/>
    </row>
    <row r="343" spans="3:3" x14ac:dyDescent="0.25">
      <c r="C343" s="49"/>
    </row>
    <row r="344" spans="3:3" x14ac:dyDescent="0.25">
      <c r="C344" s="49"/>
    </row>
  </sheetData>
  <mergeCells count="4">
    <mergeCell ref="D14:D15"/>
    <mergeCell ref="C14:C15"/>
    <mergeCell ref="B14:B15"/>
    <mergeCell ref="A14:A15"/>
  </mergeCells>
  <phoneticPr fontId="9" type="noConversion"/>
  <pageMargins left="0.25" right="0.25" top="0.75" bottom="0.75" header="0.3" footer="0.3"/>
  <pageSetup paperSize="9" orientation="landscape" horizontalDpi="4294967292" vertic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rgb="FF00B050"/>
  </sheetPr>
  <dimension ref="A1:Q314"/>
  <sheetViews>
    <sheetView workbookViewId="0">
      <pane ySplit="4" topLeftCell="A5" activePane="bottomLeft" state="frozen"/>
      <selection pane="bottomLeft" activeCell="A5" sqref="A5"/>
    </sheetView>
  </sheetViews>
  <sheetFormatPr baseColWidth="10" defaultColWidth="10.75" defaultRowHeight="15" x14ac:dyDescent="0.25"/>
  <cols>
    <col min="1" max="1" width="7.25" style="13" customWidth="1"/>
    <col min="2" max="2" width="18" style="13" customWidth="1"/>
    <col min="3" max="3" width="14.25" style="6" bestFit="1" customWidth="1"/>
    <col min="4" max="5" width="13.125" style="6" bestFit="1" customWidth="1"/>
    <col min="6" max="6" width="12.25" style="6" bestFit="1" customWidth="1"/>
    <col min="7" max="7" width="13.125" style="6" bestFit="1" customWidth="1"/>
    <col min="8" max="8" width="16.875" style="6" bestFit="1" customWidth="1"/>
    <col min="9" max="9" width="13.25" style="6" bestFit="1" customWidth="1"/>
    <col min="10" max="10" width="12.125" style="6" customWidth="1"/>
    <col min="11" max="11" width="10" style="6" customWidth="1"/>
    <col min="12" max="12" width="11.375" style="6" customWidth="1"/>
    <col min="13" max="13" width="11.875" style="6" customWidth="1"/>
    <col min="14" max="14" width="12.5" style="6" customWidth="1"/>
    <col min="15" max="15" width="12.875" style="6" customWidth="1"/>
    <col min="16" max="16" width="10" style="15" customWidth="1"/>
    <col min="17" max="17" width="2.5" style="13" customWidth="1"/>
    <col min="18" max="16384" width="10.75" style="13"/>
  </cols>
  <sheetData>
    <row r="1" spans="1:17" s="44" customFormat="1" ht="20.25" customHeight="1" x14ac:dyDescent="0.25">
      <c r="A1" s="52" t="s">
        <v>139</v>
      </c>
      <c r="B1" s="43"/>
      <c r="C1" s="45"/>
      <c r="D1" s="45"/>
      <c r="E1" s="45"/>
      <c r="F1" s="45"/>
      <c r="G1" s="45"/>
      <c r="H1" s="45"/>
      <c r="I1" s="45"/>
      <c r="J1" s="45"/>
      <c r="K1" s="303"/>
      <c r="L1" s="45"/>
      <c r="M1" s="303"/>
      <c r="N1" s="45"/>
      <c r="O1" s="45"/>
      <c r="P1" s="140"/>
      <c r="Q1" s="13"/>
    </row>
    <row r="3" spans="1:17" ht="60" customHeight="1" x14ac:dyDescent="0.25">
      <c r="A3" s="485" t="s">
        <v>46</v>
      </c>
      <c r="B3" s="485" t="s">
        <v>96</v>
      </c>
      <c r="C3" s="482" t="s">
        <v>556</v>
      </c>
      <c r="D3" s="482" t="s">
        <v>329</v>
      </c>
      <c r="E3" s="482" t="s">
        <v>330</v>
      </c>
      <c r="F3" s="482" t="s">
        <v>331</v>
      </c>
      <c r="G3" s="482" t="s">
        <v>302</v>
      </c>
      <c r="H3" s="482" t="s">
        <v>44</v>
      </c>
      <c r="I3" s="298" t="s">
        <v>303</v>
      </c>
      <c r="J3" s="298" t="s">
        <v>213</v>
      </c>
      <c r="K3" s="509" t="s">
        <v>214</v>
      </c>
      <c r="L3" s="482" t="s">
        <v>45</v>
      </c>
      <c r="M3" s="298" t="s">
        <v>215</v>
      </c>
      <c r="N3" s="298" t="s">
        <v>213</v>
      </c>
      <c r="O3" s="304" t="s">
        <v>368</v>
      </c>
      <c r="P3" s="343" t="s">
        <v>534</v>
      </c>
    </row>
    <row r="4" spans="1:17" x14ac:dyDescent="0.25">
      <c r="A4" s="486"/>
      <c r="B4" s="487"/>
      <c r="C4" s="483"/>
      <c r="D4" s="484"/>
      <c r="E4" s="483"/>
      <c r="F4" s="484"/>
      <c r="G4" s="483"/>
      <c r="H4" s="484"/>
      <c r="I4" s="301">
        <f>Paramètres!B41</f>
        <v>8</v>
      </c>
      <c r="J4" s="342">
        <f>+Paramètres!C41</f>
        <v>0.75</v>
      </c>
      <c r="K4" s="510"/>
      <c r="L4" s="483"/>
      <c r="M4" s="299">
        <f>Paramètres!B42</f>
        <v>1</v>
      </c>
      <c r="N4" s="346">
        <f>+Paramètres!C42</f>
        <v>0.75</v>
      </c>
      <c r="O4" s="305" t="s">
        <v>455</v>
      </c>
      <c r="P4" s="345" t="s">
        <v>456</v>
      </c>
    </row>
    <row r="5" spans="1:17" x14ac:dyDescent="0.25">
      <c r="A5" s="47">
        <f>+'A) Base RI'!A7</f>
        <v>5401</v>
      </c>
      <c r="B5" s="308" t="str">
        <f>+'A) Base RI'!B7</f>
        <v>Aigle</v>
      </c>
      <c r="C5" s="321">
        <f>+'D) Ecrêtage'!C5</f>
        <v>263862.68069135805</v>
      </c>
      <c r="D5" s="300">
        <v>4018897</v>
      </c>
      <c r="E5" s="321">
        <v>1203508</v>
      </c>
      <c r="F5" s="300">
        <v>13638</v>
      </c>
      <c r="G5" s="321">
        <f>SUM(D5:F5)</f>
        <v>5236043</v>
      </c>
      <c r="H5" s="300">
        <f>+C5*$I$4</f>
        <v>2110901.4455308644</v>
      </c>
      <c r="I5" s="55">
        <f>IF(G5&gt;H5,G5-H5,0)</f>
        <v>3125141.5544691356</v>
      </c>
      <c r="J5" s="319">
        <f>-I5*J$4</f>
        <v>-2343856.1658518519</v>
      </c>
      <c r="K5" s="73">
        <v>380744</v>
      </c>
      <c r="L5" s="55">
        <f>C5*M$4</f>
        <v>263862.68069135805</v>
      </c>
      <c r="M5" s="73">
        <f>IF(K5&gt;L5,K5-L5,0)</f>
        <v>116881.31930864195</v>
      </c>
      <c r="N5" s="134">
        <f>-M5*N$4</f>
        <v>-87660.989481481462</v>
      </c>
      <c r="O5" s="135">
        <f>N5+J5</f>
        <v>-2431517.1553333332</v>
      </c>
      <c r="P5" s="34">
        <f>O5/'D) Ecrêtage'!C5</f>
        <v>-9.215085471588516</v>
      </c>
      <c r="Q5" s="130"/>
    </row>
    <row r="6" spans="1:17" x14ac:dyDescent="0.25">
      <c r="A6" s="50">
        <f>+'A) Base RI'!A8</f>
        <v>5402</v>
      </c>
      <c r="B6" s="308" t="str">
        <f>+'A) Base RI'!B8</f>
        <v>Bex</v>
      </c>
      <c r="C6" s="322">
        <f>+'D) Ecrêtage'!C6</f>
        <v>173630.8553521127</v>
      </c>
      <c r="D6" s="300">
        <v>2784734</v>
      </c>
      <c r="E6" s="322">
        <v>656421</v>
      </c>
      <c r="F6" s="300">
        <v>248701</v>
      </c>
      <c r="G6" s="322">
        <f t="shared" ref="G6:G69" si="0">SUM(D6:F6)</f>
        <v>3689856</v>
      </c>
      <c r="H6" s="300">
        <f t="shared" ref="H6:H69" si="1">+C6*$I$4</f>
        <v>1389046.8428169016</v>
      </c>
      <c r="I6" s="10">
        <f t="shared" ref="I6:I69" si="2">IF(G6&gt;H6,G6-H6,0)</f>
        <v>2300809.1571830986</v>
      </c>
      <c r="J6" s="319">
        <f t="shared" ref="J6:J69" si="3">-I6*J$4</f>
        <v>-1725606.867887324</v>
      </c>
      <c r="K6" s="14">
        <v>389475</v>
      </c>
      <c r="L6" s="10">
        <f t="shared" ref="L6:L69" si="4">C6*M$4</f>
        <v>173630.8553521127</v>
      </c>
      <c r="M6" s="14">
        <f t="shared" ref="M6:M69" si="5">IF(K6&gt;L6,K6-L6,0)</f>
        <v>215844.1446478873</v>
      </c>
      <c r="N6" s="2">
        <f t="shared" ref="N6:N69" si="6">-M6*N$4</f>
        <v>-161883.10848591547</v>
      </c>
      <c r="O6" s="136">
        <f t="shared" ref="O6:O69" si="7">N6+J6</f>
        <v>-1887489.9763732394</v>
      </c>
      <c r="P6" s="34">
        <f>O6/'D) Ecrêtage'!C6</f>
        <v>-10.870705972999589</v>
      </c>
      <c r="Q6" s="130"/>
    </row>
    <row r="7" spans="1:17" x14ac:dyDescent="0.25">
      <c r="A7" s="50">
        <f>+'A) Base RI'!A9</f>
        <v>5403</v>
      </c>
      <c r="B7" s="308" t="str">
        <f>+'A) Base RI'!B9</f>
        <v>Chessel</v>
      </c>
      <c r="C7" s="322">
        <f>+'D) Ecrêtage'!C7</f>
        <v>9734.1508108108119</v>
      </c>
      <c r="D7" s="300">
        <v>67506</v>
      </c>
      <c r="E7" s="322">
        <v>16358</v>
      </c>
      <c r="F7" s="300">
        <v>0</v>
      </c>
      <c r="G7" s="322">
        <f t="shared" si="0"/>
        <v>83864</v>
      </c>
      <c r="H7" s="300">
        <f t="shared" si="1"/>
        <v>77873.206486486495</v>
      </c>
      <c r="I7" s="10">
        <f t="shared" si="2"/>
        <v>5990.7935135135049</v>
      </c>
      <c r="J7" s="319">
        <f t="shared" si="3"/>
        <v>-4493.0951351351287</v>
      </c>
      <c r="K7" s="14">
        <v>49839</v>
      </c>
      <c r="L7" s="10">
        <f t="shared" si="4"/>
        <v>9734.1508108108119</v>
      </c>
      <c r="M7" s="14">
        <f t="shared" si="5"/>
        <v>40104.84918918919</v>
      </c>
      <c r="N7" s="2">
        <f t="shared" si="6"/>
        <v>-30078.636891891892</v>
      </c>
      <c r="O7" s="136">
        <f t="shared" si="7"/>
        <v>-34571.732027027021</v>
      </c>
      <c r="P7" s="34">
        <f>O7/'D) Ecrêtage'!C7</f>
        <v>-3.5515919877295747</v>
      </c>
      <c r="Q7" s="132"/>
    </row>
    <row r="8" spans="1:17" x14ac:dyDescent="0.25">
      <c r="A8" s="50">
        <f>+'A) Base RI'!A10</f>
        <v>5404</v>
      </c>
      <c r="B8" s="308" t="str">
        <f>+'A) Base RI'!B10</f>
        <v>Corbeyrier</v>
      </c>
      <c r="C8" s="322">
        <f>+'D) Ecrêtage'!C8</f>
        <v>10864.664095238095</v>
      </c>
      <c r="D8" s="300">
        <v>309439</v>
      </c>
      <c r="E8" s="322">
        <v>18211</v>
      </c>
      <c r="F8" s="300">
        <v>29438</v>
      </c>
      <c r="G8" s="322">
        <f t="shared" si="0"/>
        <v>357088</v>
      </c>
      <c r="H8" s="300">
        <f t="shared" si="1"/>
        <v>86917.312761904759</v>
      </c>
      <c r="I8" s="10">
        <f t="shared" si="2"/>
        <v>270170.68723809521</v>
      </c>
      <c r="J8" s="319">
        <f t="shared" si="3"/>
        <v>-202628.01542857141</v>
      </c>
      <c r="K8" s="14">
        <v>37564</v>
      </c>
      <c r="L8" s="10">
        <f t="shared" si="4"/>
        <v>10864.664095238095</v>
      </c>
      <c r="M8" s="14">
        <f t="shared" si="5"/>
        <v>26699.335904761905</v>
      </c>
      <c r="N8" s="2">
        <f t="shared" si="6"/>
        <v>-20024.50192857143</v>
      </c>
      <c r="O8" s="136">
        <f t="shared" si="7"/>
        <v>-222652.51735714285</v>
      </c>
      <c r="P8" s="34">
        <f>O8/'D) Ecrêtage'!C8</f>
        <v>-20.493272079596998</v>
      </c>
      <c r="Q8" s="132"/>
    </row>
    <row r="9" spans="1:17" x14ac:dyDescent="0.25">
      <c r="A9" s="50">
        <f>+'A) Base RI'!A11</f>
        <v>5405</v>
      </c>
      <c r="B9" s="308" t="str">
        <f>+'A) Base RI'!B11</f>
        <v>Gryon</v>
      </c>
      <c r="C9" s="322">
        <f>+'D) Ecrêtage'!C9</f>
        <v>69822.459644444432</v>
      </c>
      <c r="D9" s="300">
        <v>1473764</v>
      </c>
      <c r="E9" s="322">
        <v>146272</v>
      </c>
      <c r="F9" s="300">
        <v>38544</v>
      </c>
      <c r="G9" s="322">
        <f t="shared" si="0"/>
        <v>1658580</v>
      </c>
      <c r="H9" s="300">
        <f t="shared" si="1"/>
        <v>558579.67715555546</v>
      </c>
      <c r="I9" s="10">
        <f t="shared" si="2"/>
        <v>1100000.3228444445</v>
      </c>
      <c r="J9" s="319">
        <f t="shared" si="3"/>
        <v>-825000.24213333335</v>
      </c>
      <c r="K9" s="14">
        <v>44195</v>
      </c>
      <c r="L9" s="10">
        <f t="shared" si="4"/>
        <v>69822.459644444432</v>
      </c>
      <c r="M9" s="14">
        <f t="shared" si="5"/>
        <v>0</v>
      </c>
      <c r="N9" s="2">
        <f t="shared" si="6"/>
        <v>0</v>
      </c>
      <c r="O9" s="136">
        <f t="shared" si="7"/>
        <v>-825000.24213333335</v>
      </c>
      <c r="P9" s="34">
        <f>O9/'D) Ecrêtage'!C9</f>
        <v>-11.815685759775095</v>
      </c>
      <c r="Q9" s="132"/>
    </row>
    <row r="10" spans="1:17" x14ac:dyDescent="0.25">
      <c r="A10" s="50">
        <f>+'A) Base RI'!A12</f>
        <v>5406</v>
      </c>
      <c r="B10" s="308" t="str">
        <f>+'A) Base RI'!B12</f>
        <v>Lavey-Morcles</v>
      </c>
      <c r="C10" s="322">
        <f>+'D) Ecrêtage'!C10</f>
        <v>21528.925666305528</v>
      </c>
      <c r="D10" s="300">
        <v>315392</v>
      </c>
      <c r="E10" s="322">
        <v>38160</v>
      </c>
      <c r="F10" s="300">
        <v>25253</v>
      </c>
      <c r="G10" s="322">
        <f t="shared" si="0"/>
        <v>378805</v>
      </c>
      <c r="H10" s="300">
        <f t="shared" si="1"/>
        <v>172231.40533044422</v>
      </c>
      <c r="I10" s="10">
        <f t="shared" si="2"/>
        <v>206573.59466955578</v>
      </c>
      <c r="J10" s="319">
        <f t="shared" si="3"/>
        <v>-154930.19600216683</v>
      </c>
      <c r="K10" s="14">
        <v>28858</v>
      </c>
      <c r="L10" s="10">
        <f t="shared" si="4"/>
        <v>21528.925666305528</v>
      </c>
      <c r="M10" s="14">
        <f t="shared" si="5"/>
        <v>7329.0743336944724</v>
      </c>
      <c r="N10" s="2">
        <f t="shared" si="6"/>
        <v>-5496.8057502708543</v>
      </c>
      <c r="O10" s="136">
        <f t="shared" si="7"/>
        <v>-160427.00175243767</v>
      </c>
      <c r="P10" s="34">
        <f>O10/'D) Ecrêtage'!C10</f>
        <v>-7.4516956507271805</v>
      </c>
      <c r="Q10" s="132"/>
    </row>
    <row r="11" spans="1:17" x14ac:dyDescent="0.25">
      <c r="A11" s="50">
        <f>+'A) Base RI'!A13</f>
        <v>5407</v>
      </c>
      <c r="B11" s="308" t="str">
        <f>+'A) Base RI'!B13</f>
        <v>Leysin</v>
      </c>
      <c r="C11" s="322">
        <f>+'D) Ecrêtage'!C11</f>
        <v>90534.062564102569</v>
      </c>
      <c r="D11" s="300">
        <v>2337788</v>
      </c>
      <c r="E11" s="322">
        <v>786939</v>
      </c>
      <c r="F11" s="300">
        <v>184470</v>
      </c>
      <c r="G11" s="322">
        <f t="shared" si="0"/>
        <v>3309197</v>
      </c>
      <c r="H11" s="300">
        <f t="shared" si="1"/>
        <v>724272.50051282055</v>
      </c>
      <c r="I11" s="10">
        <f t="shared" si="2"/>
        <v>2584924.4994871793</v>
      </c>
      <c r="J11" s="319">
        <f t="shared" si="3"/>
        <v>-1938693.3746153845</v>
      </c>
      <c r="K11" s="14">
        <v>131471</v>
      </c>
      <c r="L11" s="10">
        <f t="shared" si="4"/>
        <v>90534.062564102569</v>
      </c>
      <c r="M11" s="14">
        <f t="shared" si="5"/>
        <v>40936.937435897431</v>
      </c>
      <c r="N11" s="2">
        <f t="shared" si="6"/>
        <v>-30702.703076923073</v>
      </c>
      <c r="O11" s="136">
        <f t="shared" si="7"/>
        <v>-1969396.0776923075</v>
      </c>
      <c r="P11" s="34">
        <f>O11/'D) Ecrêtage'!C11</f>
        <v>-21.753095154631751</v>
      </c>
      <c r="Q11" s="132"/>
    </row>
    <row r="12" spans="1:17" x14ac:dyDescent="0.25">
      <c r="A12" s="50">
        <f>+'A) Base RI'!A14</f>
        <v>5408</v>
      </c>
      <c r="B12" s="308" t="str">
        <f>+'A) Base RI'!B14</f>
        <v>Noville</v>
      </c>
      <c r="C12" s="322">
        <f>+'D) Ecrêtage'!C12</f>
        <v>31735.72989384289</v>
      </c>
      <c r="D12" s="300">
        <v>358596</v>
      </c>
      <c r="E12" s="322">
        <v>43706</v>
      </c>
      <c r="F12" s="300">
        <v>45882</v>
      </c>
      <c r="G12" s="322">
        <f t="shared" si="0"/>
        <v>448184</v>
      </c>
      <c r="H12" s="300">
        <f t="shared" si="1"/>
        <v>253885.83915074312</v>
      </c>
      <c r="I12" s="10">
        <f t="shared" si="2"/>
        <v>194298.16084925688</v>
      </c>
      <c r="J12" s="319">
        <f t="shared" si="3"/>
        <v>-145723.62063694265</v>
      </c>
      <c r="K12" s="14">
        <v>99954</v>
      </c>
      <c r="L12" s="10">
        <f t="shared" si="4"/>
        <v>31735.72989384289</v>
      </c>
      <c r="M12" s="14">
        <f t="shared" si="5"/>
        <v>68218.270106157113</v>
      </c>
      <c r="N12" s="2">
        <f t="shared" si="6"/>
        <v>-51163.702579617835</v>
      </c>
      <c r="O12" s="136">
        <f t="shared" si="7"/>
        <v>-196887.32321656047</v>
      </c>
      <c r="P12" s="34">
        <f>O12/'D) Ecrêtage'!C12</f>
        <v>-6.2039639193790519</v>
      </c>
      <c r="Q12" s="132"/>
    </row>
    <row r="13" spans="1:17" x14ac:dyDescent="0.25">
      <c r="A13" s="50">
        <f>+'A) Base RI'!A15</f>
        <v>5409</v>
      </c>
      <c r="B13" s="308" t="str">
        <f>+'A) Base RI'!B15</f>
        <v>Ollon</v>
      </c>
      <c r="C13" s="322">
        <f>+'D) Ecrêtage'!C13</f>
        <v>367365.91906108597</v>
      </c>
      <c r="D13" s="300">
        <v>4183226</v>
      </c>
      <c r="E13" s="322">
        <v>776905</v>
      </c>
      <c r="F13" s="300">
        <v>595941</v>
      </c>
      <c r="G13" s="322">
        <f t="shared" si="0"/>
        <v>5556072</v>
      </c>
      <c r="H13" s="300">
        <f t="shared" si="1"/>
        <v>2938927.3524886877</v>
      </c>
      <c r="I13" s="10">
        <f t="shared" si="2"/>
        <v>2617144.6475113123</v>
      </c>
      <c r="J13" s="319">
        <f t="shared" si="3"/>
        <v>-1962858.4856334841</v>
      </c>
      <c r="K13" s="14">
        <v>492509</v>
      </c>
      <c r="L13" s="10">
        <f t="shared" si="4"/>
        <v>367365.91906108597</v>
      </c>
      <c r="M13" s="14">
        <f t="shared" si="5"/>
        <v>125143.08093891403</v>
      </c>
      <c r="N13" s="2">
        <f t="shared" si="6"/>
        <v>-93857.310704185526</v>
      </c>
      <c r="O13" s="136">
        <f t="shared" si="7"/>
        <v>-2056715.7963376697</v>
      </c>
      <c r="P13" s="34">
        <f>O13/'D) Ecrêtage'!C13</f>
        <v>-5.5985481766904917</v>
      </c>
      <c r="Q13" s="132"/>
    </row>
    <row r="14" spans="1:17" x14ac:dyDescent="0.25">
      <c r="A14" s="50">
        <f>+'A) Base RI'!A16</f>
        <v>5410</v>
      </c>
      <c r="B14" s="308" t="str">
        <f>+'A) Base RI'!B16</f>
        <v>Ormont-Dessous</v>
      </c>
      <c r="C14" s="322">
        <f>+'D) Ecrêtage'!C14</f>
        <v>37585.850743099792</v>
      </c>
      <c r="D14" s="300">
        <v>1346262</v>
      </c>
      <c r="E14" s="322">
        <v>91468</v>
      </c>
      <c r="F14" s="300">
        <v>56963</v>
      </c>
      <c r="G14" s="322">
        <f t="shared" si="0"/>
        <v>1494693</v>
      </c>
      <c r="H14" s="300">
        <f t="shared" si="1"/>
        <v>300686.80594479834</v>
      </c>
      <c r="I14" s="10">
        <f t="shared" si="2"/>
        <v>1194006.1940552017</v>
      </c>
      <c r="J14" s="319">
        <f t="shared" si="3"/>
        <v>-895504.64554140135</v>
      </c>
      <c r="K14" s="14">
        <v>59464</v>
      </c>
      <c r="L14" s="10">
        <f t="shared" si="4"/>
        <v>37585.850743099792</v>
      </c>
      <c r="M14" s="14">
        <f t="shared" si="5"/>
        <v>21878.149256900208</v>
      </c>
      <c r="N14" s="2">
        <f t="shared" si="6"/>
        <v>-16408.611942675154</v>
      </c>
      <c r="O14" s="136">
        <f t="shared" si="7"/>
        <v>-911913.25748407654</v>
      </c>
      <c r="P14" s="34">
        <f>O14/'D) Ecrêtage'!C14</f>
        <v>-24.262142254462347</v>
      </c>
      <c r="Q14" s="132"/>
    </row>
    <row r="15" spans="1:17" x14ac:dyDescent="0.25">
      <c r="A15" s="50">
        <f>+'A) Base RI'!A17</f>
        <v>5411</v>
      </c>
      <c r="B15" s="308" t="str">
        <f>+'A) Base RI'!B17</f>
        <v>Ormont-Dessus</v>
      </c>
      <c r="C15" s="322">
        <f>+'D) Ecrêtage'!C15</f>
        <v>78533.565482456135</v>
      </c>
      <c r="D15" s="300">
        <v>1545747</v>
      </c>
      <c r="E15" s="322">
        <v>195773</v>
      </c>
      <c r="F15" s="300">
        <v>64411</v>
      </c>
      <c r="G15" s="322">
        <f t="shared" si="0"/>
        <v>1805931</v>
      </c>
      <c r="H15" s="300">
        <f t="shared" si="1"/>
        <v>628268.52385964908</v>
      </c>
      <c r="I15" s="10">
        <f t="shared" si="2"/>
        <v>1177662.476140351</v>
      </c>
      <c r="J15" s="319">
        <f t="shared" si="3"/>
        <v>-883246.85710526328</v>
      </c>
      <c r="K15" s="14">
        <v>132181</v>
      </c>
      <c r="L15" s="10">
        <f t="shared" si="4"/>
        <v>78533.565482456135</v>
      </c>
      <c r="M15" s="14">
        <f t="shared" si="5"/>
        <v>53647.434517543865</v>
      </c>
      <c r="N15" s="2">
        <f t="shared" si="6"/>
        <v>-40235.575888157895</v>
      </c>
      <c r="O15" s="136">
        <f t="shared" si="7"/>
        <v>-923482.43299342121</v>
      </c>
      <c r="P15" s="34">
        <f>O15/'D) Ecrêtage'!C15</f>
        <v>-11.759079411716266</v>
      </c>
      <c r="Q15" s="132"/>
    </row>
    <row r="16" spans="1:17" x14ac:dyDescent="0.25">
      <c r="A16" s="50">
        <f>+'A) Base RI'!A18</f>
        <v>5412</v>
      </c>
      <c r="B16" s="308" t="str">
        <f>+'A) Base RI'!B18</f>
        <v>Rennaz</v>
      </c>
      <c r="C16" s="322">
        <f>+'D) Ecrêtage'!C16</f>
        <v>30683.439407407404</v>
      </c>
      <c r="D16" s="300">
        <v>166443</v>
      </c>
      <c r="E16" s="322">
        <v>34891</v>
      </c>
      <c r="F16" s="300">
        <v>34576</v>
      </c>
      <c r="G16" s="322">
        <f t="shared" si="0"/>
        <v>235910</v>
      </c>
      <c r="H16" s="300">
        <f t="shared" si="1"/>
        <v>245467.51525925923</v>
      </c>
      <c r="I16" s="10">
        <f t="shared" si="2"/>
        <v>0</v>
      </c>
      <c r="J16" s="319">
        <f t="shared" si="3"/>
        <v>0</v>
      </c>
      <c r="K16" s="14">
        <v>18782</v>
      </c>
      <c r="L16" s="10">
        <f t="shared" si="4"/>
        <v>30683.439407407404</v>
      </c>
      <c r="M16" s="14">
        <f t="shared" si="5"/>
        <v>0</v>
      </c>
      <c r="N16" s="2">
        <f t="shared" si="6"/>
        <v>0</v>
      </c>
      <c r="O16" s="136">
        <f t="shared" si="7"/>
        <v>0</v>
      </c>
      <c r="P16" s="34">
        <f>O16/'D) Ecrêtage'!C16</f>
        <v>0</v>
      </c>
      <c r="Q16" s="132"/>
    </row>
    <row r="17" spans="1:17" x14ac:dyDescent="0.25">
      <c r="A17" s="50">
        <f>+'A) Base RI'!A19</f>
        <v>5413</v>
      </c>
      <c r="B17" s="308" t="str">
        <f>+'A) Base RI'!B19</f>
        <v>Roche</v>
      </c>
      <c r="C17" s="322">
        <f>+'D) Ecrêtage'!C17</f>
        <v>36754.028088235296</v>
      </c>
      <c r="D17" s="300">
        <v>177189</v>
      </c>
      <c r="E17" s="322">
        <v>102468</v>
      </c>
      <c r="F17" s="300">
        <v>69399</v>
      </c>
      <c r="G17" s="322">
        <f t="shared" si="0"/>
        <v>349056</v>
      </c>
      <c r="H17" s="300">
        <f t="shared" si="1"/>
        <v>294032.22470588237</v>
      </c>
      <c r="I17" s="10">
        <f t="shared" si="2"/>
        <v>55023.77529411763</v>
      </c>
      <c r="J17" s="319">
        <f t="shared" si="3"/>
        <v>-41267.831470588222</v>
      </c>
      <c r="K17" s="14">
        <v>27069</v>
      </c>
      <c r="L17" s="10">
        <f t="shared" si="4"/>
        <v>36754.028088235296</v>
      </c>
      <c r="M17" s="14">
        <f t="shared" si="5"/>
        <v>0</v>
      </c>
      <c r="N17" s="2">
        <f t="shared" si="6"/>
        <v>0</v>
      </c>
      <c r="O17" s="136">
        <f t="shared" si="7"/>
        <v>-41267.831470588222</v>
      </c>
      <c r="P17" s="34">
        <f>O17/'D) Ecrêtage'!C17</f>
        <v>-1.1228111207706717</v>
      </c>
      <c r="Q17" s="132"/>
    </row>
    <row r="18" spans="1:17" x14ac:dyDescent="0.25">
      <c r="A18" s="50">
        <f>+'A) Base RI'!A20</f>
        <v>5414</v>
      </c>
      <c r="B18" s="308" t="str">
        <f>+'A) Base RI'!B20</f>
        <v>Villeneuve</v>
      </c>
      <c r="C18" s="322">
        <f>+'D) Ecrêtage'!C18</f>
        <v>161374.0856521739</v>
      </c>
      <c r="D18" s="300">
        <v>2011324</v>
      </c>
      <c r="E18" s="322">
        <v>1038078</v>
      </c>
      <c r="F18" s="300">
        <v>218600</v>
      </c>
      <c r="G18" s="322">
        <f t="shared" si="0"/>
        <v>3268002</v>
      </c>
      <c r="H18" s="300">
        <f t="shared" si="1"/>
        <v>1290992.6852173912</v>
      </c>
      <c r="I18" s="10">
        <f t="shared" si="2"/>
        <v>1977009.3147826088</v>
      </c>
      <c r="J18" s="319">
        <f t="shared" si="3"/>
        <v>-1482756.9860869567</v>
      </c>
      <c r="K18" s="14">
        <v>358488</v>
      </c>
      <c r="L18" s="10">
        <f t="shared" si="4"/>
        <v>161374.0856521739</v>
      </c>
      <c r="M18" s="14">
        <f t="shared" si="5"/>
        <v>197113.9143478261</v>
      </c>
      <c r="N18" s="2">
        <f t="shared" si="6"/>
        <v>-147835.43576086959</v>
      </c>
      <c r="O18" s="136">
        <f t="shared" si="7"/>
        <v>-1630592.4218478263</v>
      </c>
      <c r="P18" s="34">
        <f>O18/'D) Ecrêtage'!C18</f>
        <v>-10.104425473631554</v>
      </c>
      <c r="Q18" s="132"/>
    </row>
    <row r="19" spans="1:17" x14ac:dyDescent="0.25">
      <c r="A19" s="50">
        <f>+'A) Base RI'!A21</f>
        <v>5415</v>
      </c>
      <c r="B19" s="308" t="str">
        <f>+'A) Base RI'!B21</f>
        <v>Yvorne</v>
      </c>
      <c r="C19" s="322">
        <f>+'D) Ecrêtage'!C19</f>
        <v>34416.914731934739</v>
      </c>
      <c r="D19" s="300">
        <v>188346</v>
      </c>
      <c r="E19" s="322">
        <v>43913</v>
      </c>
      <c r="F19" s="300">
        <v>171820</v>
      </c>
      <c r="G19" s="322">
        <f t="shared" si="0"/>
        <v>404079</v>
      </c>
      <c r="H19" s="300">
        <f t="shared" si="1"/>
        <v>275335.31785547792</v>
      </c>
      <c r="I19" s="10">
        <f t="shared" si="2"/>
        <v>128743.68214452208</v>
      </c>
      <c r="J19" s="319">
        <f t="shared" si="3"/>
        <v>-96557.761608391564</v>
      </c>
      <c r="K19" s="14">
        <v>46508</v>
      </c>
      <c r="L19" s="10">
        <f t="shared" si="4"/>
        <v>34416.914731934739</v>
      </c>
      <c r="M19" s="14">
        <f t="shared" si="5"/>
        <v>12091.085268065261</v>
      </c>
      <c r="N19" s="2">
        <f t="shared" si="6"/>
        <v>-9068.3139510489455</v>
      </c>
      <c r="O19" s="136">
        <f t="shared" si="7"/>
        <v>-105626.07555944051</v>
      </c>
      <c r="P19" s="34">
        <f>O19/'D) Ecrêtage'!C19</f>
        <v>-3.0690163944716482</v>
      </c>
      <c r="Q19" s="132"/>
    </row>
    <row r="20" spans="1:17" x14ac:dyDescent="0.25">
      <c r="A20" s="50">
        <f>+'A) Base RI'!A22</f>
        <v>5421</v>
      </c>
      <c r="B20" s="308" t="str">
        <f>+'A) Base RI'!B22</f>
        <v>Apples</v>
      </c>
      <c r="C20" s="322">
        <f>+'D) Ecrêtage'!C20</f>
        <v>58623.163421052632</v>
      </c>
      <c r="D20" s="300">
        <v>401743</v>
      </c>
      <c r="E20" s="322">
        <v>122659</v>
      </c>
      <c r="F20" s="300">
        <v>177946</v>
      </c>
      <c r="G20" s="322">
        <f t="shared" si="0"/>
        <v>702348</v>
      </c>
      <c r="H20" s="300">
        <f t="shared" si="1"/>
        <v>468985.30736842105</v>
      </c>
      <c r="I20" s="10">
        <f t="shared" si="2"/>
        <v>233362.69263157895</v>
      </c>
      <c r="J20" s="319">
        <f t="shared" si="3"/>
        <v>-175022.01947368419</v>
      </c>
      <c r="K20" s="14">
        <v>63445</v>
      </c>
      <c r="L20" s="10">
        <f t="shared" si="4"/>
        <v>58623.163421052632</v>
      </c>
      <c r="M20" s="14">
        <f t="shared" si="5"/>
        <v>4821.8365789473683</v>
      </c>
      <c r="N20" s="2">
        <f t="shared" si="6"/>
        <v>-3616.3774342105262</v>
      </c>
      <c r="O20" s="136">
        <f t="shared" si="7"/>
        <v>-178638.39690789473</v>
      </c>
      <c r="P20" s="34">
        <f>O20/'D) Ecrêtage'!C20</f>
        <v>-3.0472322966409977</v>
      </c>
      <c r="Q20" s="132"/>
    </row>
    <row r="21" spans="1:17" x14ac:dyDescent="0.25">
      <c r="A21" s="50">
        <f>+'A) Base RI'!A23</f>
        <v>5422</v>
      </c>
      <c r="B21" s="308" t="str">
        <f>+'A) Base RI'!B23</f>
        <v>Aubonne</v>
      </c>
      <c r="C21" s="322">
        <f>+'D) Ecrêtage'!C21</f>
        <v>244308.18220588236</v>
      </c>
      <c r="D21" s="300">
        <v>1488017</v>
      </c>
      <c r="E21" s="322">
        <v>117517</v>
      </c>
      <c r="F21" s="300">
        <v>375511</v>
      </c>
      <c r="G21" s="322">
        <f t="shared" si="0"/>
        <v>1981045</v>
      </c>
      <c r="H21" s="300">
        <f t="shared" si="1"/>
        <v>1954465.4576470589</v>
      </c>
      <c r="I21" s="10">
        <f t="shared" si="2"/>
        <v>26579.54235294112</v>
      </c>
      <c r="J21" s="319">
        <f t="shared" si="3"/>
        <v>-19934.65676470584</v>
      </c>
      <c r="K21" s="14">
        <v>170201</v>
      </c>
      <c r="L21" s="10">
        <f t="shared" si="4"/>
        <v>244308.18220588236</v>
      </c>
      <c r="M21" s="14">
        <f t="shared" si="5"/>
        <v>0</v>
      </c>
      <c r="N21" s="2">
        <f t="shared" si="6"/>
        <v>0</v>
      </c>
      <c r="O21" s="136">
        <f t="shared" si="7"/>
        <v>-19934.65676470584</v>
      </c>
      <c r="P21" s="34">
        <f>O21/'D) Ecrêtage'!C21</f>
        <v>-8.1596353362846402E-2</v>
      </c>
      <c r="Q21" s="132"/>
    </row>
    <row r="22" spans="1:17" x14ac:dyDescent="0.25">
      <c r="A22" s="50">
        <f>+'A) Base RI'!A24</f>
        <v>5423</v>
      </c>
      <c r="B22" s="308" t="str">
        <f>+'A) Base RI'!B24</f>
        <v>Ballens</v>
      </c>
      <c r="C22" s="322">
        <f>+'D) Ecrêtage'!C22</f>
        <v>16828.247681159421</v>
      </c>
      <c r="D22" s="300">
        <v>96126</v>
      </c>
      <c r="E22" s="322">
        <v>44129</v>
      </c>
      <c r="F22" s="300">
        <v>68516</v>
      </c>
      <c r="G22" s="322">
        <f t="shared" si="0"/>
        <v>208771</v>
      </c>
      <c r="H22" s="300">
        <f t="shared" si="1"/>
        <v>134625.98144927536</v>
      </c>
      <c r="I22" s="10">
        <f t="shared" si="2"/>
        <v>74145.018550724635</v>
      </c>
      <c r="J22" s="319">
        <f t="shared" si="3"/>
        <v>-55608.763913043476</v>
      </c>
      <c r="K22" s="14">
        <v>6584</v>
      </c>
      <c r="L22" s="10">
        <f t="shared" si="4"/>
        <v>16828.247681159421</v>
      </c>
      <c r="M22" s="14">
        <f t="shared" si="5"/>
        <v>0</v>
      </c>
      <c r="N22" s="2">
        <f t="shared" si="6"/>
        <v>0</v>
      </c>
      <c r="O22" s="136">
        <f t="shared" si="7"/>
        <v>-55608.763913043476</v>
      </c>
      <c r="P22" s="34">
        <f>O22/'D) Ecrêtage'!C22</f>
        <v>-3.3044892710547615</v>
      </c>
      <c r="Q22" s="132"/>
    </row>
    <row r="23" spans="1:17" x14ac:dyDescent="0.25">
      <c r="A23" s="50">
        <f>+'A) Base RI'!A25</f>
        <v>5424</v>
      </c>
      <c r="B23" s="308" t="str">
        <f>+'A) Base RI'!B25</f>
        <v>Berolle</v>
      </c>
      <c r="C23" s="322">
        <f>+'D) Ecrêtage'!C23</f>
        <v>11334.098571428574</v>
      </c>
      <c r="D23" s="300">
        <v>59102</v>
      </c>
      <c r="E23" s="322">
        <v>10524</v>
      </c>
      <c r="F23" s="300">
        <v>36957</v>
      </c>
      <c r="G23" s="322">
        <f t="shared" si="0"/>
        <v>106583</v>
      </c>
      <c r="H23" s="300">
        <f t="shared" si="1"/>
        <v>90672.788571428595</v>
      </c>
      <c r="I23" s="10">
        <f t="shared" si="2"/>
        <v>15910.211428571405</v>
      </c>
      <c r="J23" s="319">
        <f t="shared" si="3"/>
        <v>-11932.658571428554</v>
      </c>
      <c r="K23" s="14">
        <v>-873</v>
      </c>
      <c r="L23" s="10">
        <f t="shared" si="4"/>
        <v>11334.098571428574</v>
      </c>
      <c r="M23" s="14">
        <f t="shared" si="5"/>
        <v>0</v>
      </c>
      <c r="N23" s="2">
        <f t="shared" si="6"/>
        <v>0</v>
      </c>
      <c r="O23" s="136">
        <f t="shared" si="7"/>
        <v>-11932.658571428554</v>
      </c>
      <c r="P23" s="34">
        <f>O23/'D) Ecrêtage'!C23</f>
        <v>-1.0528105518253434</v>
      </c>
      <c r="Q23" s="132"/>
    </row>
    <row r="24" spans="1:17" x14ac:dyDescent="0.25">
      <c r="A24" s="50">
        <f>+'A) Base RI'!A26</f>
        <v>5425</v>
      </c>
      <c r="B24" s="308" t="str">
        <f>+'A) Base RI'!B26</f>
        <v>Bière</v>
      </c>
      <c r="C24" s="322">
        <f>+'D) Ecrêtage'!C24</f>
        <v>40579.487849898578</v>
      </c>
      <c r="D24" s="300">
        <v>526376</v>
      </c>
      <c r="E24" s="322">
        <v>136890</v>
      </c>
      <c r="F24" s="300">
        <v>193884</v>
      </c>
      <c r="G24" s="322">
        <f t="shared" si="0"/>
        <v>857150</v>
      </c>
      <c r="H24" s="300">
        <f t="shared" si="1"/>
        <v>324635.90279918863</v>
      </c>
      <c r="I24" s="10">
        <f t="shared" si="2"/>
        <v>532514.09720081137</v>
      </c>
      <c r="J24" s="319">
        <f t="shared" si="3"/>
        <v>-399385.57290060853</v>
      </c>
      <c r="K24" s="14">
        <v>266178</v>
      </c>
      <c r="L24" s="10">
        <f t="shared" si="4"/>
        <v>40579.487849898578</v>
      </c>
      <c r="M24" s="14">
        <f t="shared" si="5"/>
        <v>225598.51215010142</v>
      </c>
      <c r="N24" s="2">
        <f t="shared" si="6"/>
        <v>-169198.88411257608</v>
      </c>
      <c r="O24" s="136">
        <f t="shared" si="7"/>
        <v>-568584.45701318467</v>
      </c>
      <c r="P24" s="34">
        <f>O24/'D) Ecrêtage'!C24</f>
        <v>-14.011622303276697</v>
      </c>
      <c r="Q24" s="132"/>
    </row>
    <row r="25" spans="1:17" x14ac:dyDescent="0.25">
      <c r="A25" s="50">
        <f>+'A) Base RI'!A27</f>
        <v>5426</v>
      </c>
      <c r="B25" s="308" t="str">
        <f>+'A) Base RI'!B27</f>
        <v>Bougy-Villars</v>
      </c>
      <c r="C25" s="322">
        <f>+'D) Ecrêtage'!C25</f>
        <v>47833.150252525251</v>
      </c>
      <c r="D25" s="300">
        <v>57450</v>
      </c>
      <c r="E25" s="322">
        <v>13127</v>
      </c>
      <c r="F25" s="300">
        <v>49045</v>
      </c>
      <c r="G25" s="322">
        <f t="shared" si="0"/>
        <v>119622</v>
      </c>
      <c r="H25" s="300">
        <f t="shared" si="1"/>
        <v>382665.20202020201</v>
      </c>
      <c r="I25" s="10">
        <f t="shared" si="2"/>
        <v>0</v>
      </c>
      <c r="J25" s="319">
        <f t="shared" si="3"/>
        <v>0</v>
      </c>
      <c r="K25" s="14">
        <v>4233</v>
      </c>
      <c r="L25" s="10">
        <f t="shared" si="4"/>
        <v>47833.150252525251</v>
      </c>
      <c r="M25" s="14">
        <f t="shared" si="5"/>
        <v>0</v>
      </c>
      <c r="N25" s="2">
        <f t="shared" si="6"/>
        <v>0</v>
      </c>
      <c r="O25" s="136">
        <f t="shared" si="7"/>
        <v>0</v>
      </c>
      <c r="P25" s="34">
        <f>O25/'D) Ecrêtage'!C25</f>
        <v>0</v>
      </c>
      <c r="Q25" s="132"/>
    </row>
    <row r="26" spans="1:17" x14ac:dyDescent="0.25">
      <c r="A26" s="50">
        <f>+'A) Base RI'!A28</f>
        <v>5427</v>
      </c>
      <c r="B26" s="308" t="str">
        <f>+'A) Base RI'!B28</f>
        <v>Féchy</v>
      </c>
      <c r="C26" s="322">
        <f>+'D) Ecrêtage'!C26</f>
        <v>79308.783786057698</v>
      </c>
      <c r="D26" s="300">
        <v>171727</v>
      </c>
      <c r="E26" s="322">
        <v>37707</v>
      </c>
      <c r="F26" s="300">
        <v>104956</v>
      </c>
      <c r="G26" s="322">
        <f t="shared" si="0"/>
        <v>314390</v>
      </c>
      <c r="H26" s="300">
        <f t="shared" si="1"/>
        <v>634470.27028846159</v>
      </c>
      <c r="I26" s="10">
        <f t="shared" si="2"/>
        <v>0</v>
      </c>
      <c r="J26" s="319">
        <f t="shared" si="3"/>
        <v>0</v>
      </c>
      <c r="K26" s="14">
        <v>-804</v>
      </c>
      <c r="L26" s="10">
        <f t="shared" si="4"/>
        <v>79308.783786057698</v>
      </c>
      <c r="M26" s="14">
        <f t="shared" si="5"/>
        <v>0</v>
      </c>
      <c r="N26" s="2">
        <f t="shared" si="6"/>
        <v>0</v>
      </c>
      <c r="O26" s="136">
        <f t="shared" si="7"/>
        <v>0</v>
      </c>
      <c r="P26" s="34">
        <f>O26/'D) Ecrêtage'!C26</f>
        <v>0</v>
      </c>
      <c r="Q26" s="132"/>
    </row>
    <row r="27" spans="1:17" x14ac:dyDescent="0.25">
      <c r="A27" s="50">
        <f>+'A) Base RI'!A29</f>
        <v>5428</v>
      </c>
      <c r="B27" s="308" t="str">
        <f>+'A) Base RI'!B29</f>
        <v>Gimel</v>
      </c>
      <c r="C27" s="322">
        <f>+'D) Ecrêtage'!C27</f>
        <v>61728.526853146868</v>
      </c>
      <c r="D27" s="300">
        <v>586116</v>
      </c>
      <c r="E27" s="322">
        <v>98799</v>
      </c>
      <c r="F27" s="300">
        <v>252430</v>
      </c>
      <c r="G27" s="322">
        <f t="shared" si="0"/>
        <v>937345</v>
      </c>
      <c r="H27" s="300">
        <f t="shared" si="1"/>
        <v>493828.21482517495</v>
      </c>
      <c r="I27" s="10">
        <f t="shared" si="2"/>
        <v>443516.78517482505</v>
      </c>
      <c r="J27" s="319">
        <f t="shared" si="3"/>
        <v>-332637.58888111881</v>
      </c>
      <c r="K27" s="14">
        <v>351142</v>
      </c>
      <c r="L27" s="10">
        <f t="shared" si="4"/>
        <v>61728.526853146868</v>
      </c>
      <c r="M27" s="14">
        <f t="shared" si="5"/>
        <v>289413.47314685315</v>
      </c>
      <c r="N27" s="2">
        <f t="shared" si="6"/>
        <v>-217060.10486013987</v>
      </c>
      <c r="O27" s="136">
        <f t="shared" si="7"/>
        <v>-549697.6937412587</v>
      </c>
      <c r="P27" s="34">
        <f>O27/'D) Ecrêtage'!C27</f>
        <v>-8.9050836260680271</v>
      </c>
      <c r="Q27" s="132"/>
    </row>
    <row r="28" spans="1:17" x14ac:dyDescent="0.25">
      <c r="A28" s="50">
        <f>+'A) Base RI'!A30</f>
        <v>5429</v>
      </c>
      <c r="B28" s="308" t="str">
        <f>+'A) Base RI'!B30</f>
        <v>Longirod</v>
      </c>
      <c r="C28" s="322">
        <f>+'D) Ecrêtage'!C28</f>
        <v>14939.782716049382</v>
      </c>
      <c r="D28" s="300">
        <v>177280</v>
      </c>
      <c r="E28" s="322">
        <v>16521</v>
      </c>
      <c r="F28" s="300">
        <v>45585</v>
      </c>
      <c r="G28" s="322">
        <f t="shared" si="0"/>
        <v>239386</v>
      </c>
      <c r="H28" s="300">
        <f t="shared" si="1"/>
        <v>119518.26172839505</v>
      </c>
      <c r="I28" s="10">
        <f t="shared" si="2"/>
        <v>119867.73827160495</v>
      </c>
      <c r="J28" s="319">
        <f t="shared" si="3"/>
        <v>-89900.803703703714</v>
      </c>
      <c r="K28" s="14">
        <v>27083</v>
      </c>
      <c r="L28" s="10">
        <f t="shared" si="4"/>
        <v>14939.782716049382</v>
      </c>
      <c r="M28" s="14">
        <f t="shared" si="5"/>
        <v>12143.217283950618</v>
      </c>
      <c r="N28" s="2">
        <f t="shared" si="6"/>
        <v>-9107.4129629629642</v>
      </c>
      <c r="O28" s="136">
        <f t="shared" si="7"/>
        <v>-99008.216666666674</v>
      </c>
      <c r="P28" s="34">
        <f>O28/'D) Ecrêtage'!C28</f>
        <v>-6.6271523855768653</v>
      </c>
      <c r="Q28" s="132"/>
    </row>
    <row r="29" spans="1:17" x14ac:dyDescent="0.25">
      <c r="A29" s="50">
        <f>+'A) Base RI'!A31</f>
        <v>5430</v>
      </c>
      <c r="B29" s="308" t="str">
        <f>+'A) Base RI'!B31</f>
        <v>Marchissy</v>
      </c>
      <c r="C29" s="322">
        <f>+'D) Ecrêtage'!C29</f>
        <v>13613.731392405061</v>
      </c>
      <c r="D29" s="300">
        <v>151062</v>
      </c>
      <c r="E29" s="322">
        <v>15444</v>
      </c>
      <c r="F29" s="300">
        <v>45277</v>
      </c>
      <c r="G29" s="322">
        <f t="shared" si="0"/>
        <v>211783</v>
      </c>
      <c r="H29" s="300">
        <f t="shared" si="1"/>
        <v>108909.85113924049</v>
      </c>
      <c r="I29" s="10">
        <f t="shared" si="2"/>
        <v>102873.14886075951</v>
      </c>
      <c r="J29" s="319">
        <f t="shared" si="3"/>
        <v>-77154.861645569632</v>
      </c>
      <c r="K29" s="14">
        <v>190871</v>
      </c>
      <c r="L29" s="10">
        <f t="shared" si="4"/>
        <v>13613.731392405061</v>
      </c>
      <c r="M29" s="14">
        <f t="shared" si="5"/>
        <v>177257.26860759495</v>
      </c>
      <c r="N29" s="2">
        <f t="shared" si="6"/>
        <v>-132942.95145569619</v>
      </c>
      <c r="O29" s="136">
        <f t="shared" si="7"/>
        <v>-210097.81310126581</v>
      </c>
      <c r="P29" s="34">
        <f>O29/'D) Ecrêtage'!C29</f>
        <v>-15.43278672432724</v>
      </c>
      <c r="Q29" s="132"/>
    </row>
    <row r="30" spans="1:17" x14ac:dyDescent="0.25">
      <c r="A30" s="50">
        <f>+'A) Base RI'!A32</f>
        <v>5431</v>
      </c>
      <c r="B30" s="308" t="str">
        <f>+'A) Base RI'!B32</f>
        <v>Mollens</v>
      </c>
      <c r="C30" s="322">
        <f>+'D) Ecrêtage'!C30</f>
        <v>8973.9812162162179</v>
      </c>
      <c r="D30" s="300">
        <v>16448</v>
      </c>
      <c r="E30" s="322">
        <v>10251</v>
      </c>
      <c r="F30" s="300">
        <v>30560</v>
      </c>
      <c r="G30" s="322">
        <f t="shared" si="0"/>
        <v>57259</v>
      </c>
      <c r="H30" s="300">
        <f t="shared" si="1"/>
        <v>71791.849729729744</v>
      </c>
      <c r="I30" s="10">
        <f t="shared" si="2"/>
        <v>0</v>
      </c>
      <c r="J30" s="319">
        <f t="shared" si="3"/>
        <v>0</v>
      </c>
      <c r="K30" s="14">
        <v>38633</v>
      </c>
      <c r="L30" s="10">
        <f t="shared" si="4"/>
        <v>8973.9812162162179</v>
      </c>
      <c r="M30" s="14">
        <f t="shared" si="5"/>
        <v>29659.01878378378</v>
      </c>
      <c r="N30" s="2">
        <f t="shared" si="6"/>
        <v>-22244.264087837837</v>
      </c>
      <c r="O30" s="136">
        <f t="shared" si="7"/>
        <v>-22244.264087837837</v>
      </c>
      <c r="P30" s="34">
        <f>O30/'D) Ecrêtage'!C30</f>
        <v>-2.4787509079740295</v>
      </c>
      <c r="Q30" s="132"/>
    </row>
    <row r="31" spans="1:17" x14ac:dyDescent="0.25">
      <c r="A31" s="50">
        <f>+'A) Base RI'!A33</f>
        <v>5432</v>
      </c>
      <c r="B31" s="308" t="str">
        <f>+'A) Base RI'!B33</f>
        <v>Montherod</v>
      </c>
      <c r="C31" s="322">
        <f>+'D) Ecrêtage'!C31</f>
        <v>17887.262179487177</v>
      </c>
      <c r="D31" s="300">
        <v>53563</v>
      </c>
      <c r="E31" s="322">
        <v>18748</v>
      </c>
      <c r="F31" s="300">
        <v>62066</v>
      </c>
      <c r="G31" s="322">
        <f t="shared" si="0"/>
        <v>134377</v>
      </c>
      <c r="H31" s="300">
        <f t="shared" si="1"/>
        <v>143098.09743589742</v>
      </c>
      <c r="I31" s="10">
        <f t="shared" si="2"/>
        <v>0</v>
      </c>
      <c r="J31" s="319">
        <f t="shared" si="3"/>
        <v>0</v>
      </c>
      <c r="K31" s="14">
        <v>5333</v>
      </c>
      <c r="L31" s="10">
        <f t="shared" si="4"/>
        <v>17887.262179487177</v>
      </c>
      <c r="M31" s="14">
        <f t="shared" si="5"/>
        <v>0</v>
      </c>
      <c r="N31" s="2">
        <f t="shared" si="6"/>
        <v>0</v>
      </c>
      <c r="O31" s="136">
        <f t="shared" si="7"/>
        <v>0</v>
      </c>
      <c r="P31" s="34">
        <f>O31/'D) Ecrêtage'!C31</f>
        <v>0</v>
      </c>
      <c r="Q31" s="132"/>
    </row>
    <row r="32" spans="1:17" x14ac:dyDescent="0.25">
      <c r="A32" s="50">
        <f>+'A) Base RI'!A34</f>
        <v>5434</v>
      </c>
      <c r="B32" s="308" t="str">
        <f>+'A) Base RI'!B34</f>
        <v>Saint-George</v>
      </c>
      <c r="C32" s="322">
        <f>+'D) Ecrêtage'!C32</f>
        <v>37133.404507042258</v>
      </c>
      <c r="D32" s="300">
        <v>205739</v>
      </c>
      <c r="E32" s="322">
        <v>52074</v>
      </c>
      <c r="F32" s="300">
        <v>105444</v>
      </c>
      <c r="G32" s="322">
        <f t="shared" si="0"/>
        <v>363257</v>
      </c>
      <c r="H32" s="300">
        <f t="shared" si="1"/>
        <v>297067.23605633806</v>
      </c>
      <c r="I32" s="10">
        <f t="shared" si="2"/>
        <v>66189.763943661936</v>
      </c>
      <c r="J32" s="319">
        <f t="shared" si="3"/>
        <v>-49642.322957746452</v>
      </c>
      <c r="K32" s="14">
        <v>59333</v>
      </c>
      <c r="L32" s="10">
        <f t="shared" si="4"/>
        <v>37133.404507042258</v>
      </c>
      <c r="M32" s="14">
        <f t="shared" si="5"/>
        <v>22199.595492957742</v>
      </c>
      <c r="N32" s="2">
        <f t="shared" si="6"/>
        <v>-16649.696619718306</v>
      </c>
      <c r="O32" s="136">
        <f t="shared" si="7"/>
        <v>-66292.019577464758</v>
      </c>
      <c r="P32" s="34">
        <f>O32/'D) Ecrêtage'!C32</f>
        <v>-1.7852394752787248</v>
      </c>
      <c r="Q32" s="132"/>
    </row>
    <row r="33" spans="1:17" x14ac:dyDescent="0.25">
      <c r="A33" s="50">
        <f>+'A) Base RI'!A35</f>
        <v>5435</v>
      </c>
      <c r="B33" s="308" t="str">
        <f>+'A) Base RI'!B35</f>
        <v>Saint-Livres</v>
      </c>
      <c r="C33" s="322">
        <f>+'D) Ecrêtage'!C33</f>
        <v>25639.681014492751</v>
      </c>
      <c r="D33" s="300">
        <v>129742</v>
      </c>
      <c r="E33" s="322">
        <v>44936</v>
      </c>
      <c r="F33" s="300">
        <v>83303</v>
      </c>
      <c r="G33" s="322">
        <f t="shared" si="0"/>
        <v>257981</v>
      </c>
      <c r="H33" s="300">
        <f t="shared" si="1"/>
        <v>205117.44811594201</v>
      </c>
      <c r="I33" s="10">
        <f t="shared" si="2"/>
        <v>52863.55188405799</v>
      </c>
      <c r="J33" s="319">
        <f t="shared" si="3"/>
        <v>-39647.663913043492</v>
      </c>
      <c r="K33" s="14">
        <v>-46931</v>
      </c>
      <c r="L33" s="10">
        <f t="shared" si="4"/>
        <v>25639.681014492751</v>
      </c>
      <c r="M33" s="14">
        <f t="shared" si="5"/>
        <v>0</v>
      </c>
      <c r="N33" s="2">
        <f t="shared" si="6"/>
        <v>0</v>
      </c>
      <c r="O33" s="136">
        <f t="shared" si="7"/>
        <v>-39647.663913043492</v>
      </c>
      <c r="P33" s="34">
        <f>O33/'D) Ecrêtage'!C33</f>
        <v>-1.5463399833497449</v>
      </c>
      <c r="Q33" s="132"/>
    </row>
    <row r="34" spans="1:17" x14ac:dyDescent="0.25">
      <c r="A34" s="50">
        <f>+'A) Base RI'!A36</f>
        <v>5436</v>
      </c>
      <c r="B34" s="308" t="str">
        <f>+'A) Base RI'!B36</f>
        <v>Saint-Oyens</v>
      </c>
      <c r="C34" s="322">
        <f>+'D) Ecrêtage'!C34</f>
        <v>11326.600185185187</v>
      </c>
      <c r="D34" s="300">
        <v>169809</v>
      </c>
      <c r="E34" s="322">
        <v>10054</v>
      </c>
      <c r="F34" s="300">
        <v>32345</v>
      </c>
      <c r="G34" s="322">
        <f t="shared" si="0"/>
        <v>212208</v>
      </c>
      <c r="H34" s="300">
        <f t="shared" si="1"/>
        <v>90612.801481481496</v>
      </c>
      <c r="I34" s="10">
        <f t="shared" si="2"/>
        <v>121595.1985185185</v>
      </c>
      <c r="J34" s="319">
        <f t="shared" si="3"/>
        <v>-91196.398888888885</v>
      </c>
      <c r="K34" s="14">
        <v>62256</v>
      </c>
      <c r="L34" s="10">
        <f t="shared" si="4"/>
        <v>11326.600185185187</v>
      </c>
      <c r="M34" s="14">
        <f t="shared" si="5"/>
        <v>50929.399814814809</v>
      </c>
      <c r="N34" s="2">
        <f t="shared" si="6"/>
        <v>-38197.049861111111</v>
      </c>
      <c r="O34" s="136">
        <f t="shared" si="7"/>
        <v>-129393.44875</v>
      </c>
      <c r="P34" s="34">
        <f>O34/'D) Ecrêtage'!C34</f>
        <v>-11.423855935097125</v>
      </c>
      <c r="Q34" s="132"/>
    </row>
    <row r="35" spans="1:17" x14ac:dyDescent="0.25">
      <c r="A35" s="50">
        <f>+'A) Base RI'!A37</f>
        <v>5437</v>
      </c>
      <c r="B35" s="308" t="str">
        <f>+'A) Base RI'!B37</f>
        <v>Saubraz</v>
      </c>
      <c r="C35" s="322">
        <f>+'D) Ecrêtage'!C35</f>
        <v>9913.9082500000004</v>
      </c>
      <c r="D35" s="300">
        <v>87142</v>
      </c>
      <c r="E35" s="322">
        <v>10057</v>
      </c>
      <c r="F35" s="300">
        <v>60643</v>
      </c>
      <c r="G35" s="322">
        <f t="shared" si="0"/>
        <v>157842</v>
      </c>
      <c r="H35" s="300">
        <f t="shared" si="1"/>
        <v>79311.266000000003</v>
      </c>
      <c r="I35" s="10">
        <f t="shared" si="2"/>
        <v>78530.733999999997</v>
      </c>
      <c r="J35" s="319">
        <f t="shared" si="3"/>
        <v>-58898.050499999998</v>
      </c>
      <c r="K35" s="14">
        <v>23231</v>
      </c>
      <c r="L35" s="10">
        <f t="shared" si="4"/>
        <v>9913.9082500000004</v>
      </c>
      <c r="M35" s="14">
        <f t="shared" si="5"/>
        <v>13317.09175</v>
      </c>
      <c r="N35" s="2">
        <f t="shared" si="6"/>
        <v>-9987.8188124999997</v>
      </c>
      <c r="O35" s="136">
        <f t="shared" si="7"/>
        <v>-68885.869312499999</v>
      </c>
      <c r="P35" s="34">
        <f>O35/'D) Ecrêtage'!C35</f>
        <v>-6.9484069829373292</v>
      </c>
      <c r="Q35" s="132"/>
    </row>
    <row r="36" spans="1:17" x14ac:dyDescent="0.25">
      <c r="A36" s="50">
        <f>+'A) Base RI'!A38</f>
        <v>5451</v>
      </c>
      <c r="B36" s="308" t="str">
        <f>+'A) Base RI'!B38</f>
        <v>Avenches</v>
      </c>
      <c r="C36" s="322">
        <f>+'D) Ecrêtage'!C36</f>
        <v>95537.476225490187</v>
      </c>
      <c r="D36" s="300">
        <v>1743500</v>
      </c>
      <c r="E36" s="322">
        <v>541645</v>
      </c>
      <c r="F36" s="300">
        <v>547685</v>
      </c>
      <c r="G36" s="322">
        <f t="shared" si="0"/>
        <v>2832830</v>
      </c>
      <c r="H36" s="300">
        <f t="shared" si="1"/>
        <v>764299.8098039215</v>
      </c>
      <c r="I36" s="10">
        <f t="shared" si="2"/>
        <v>2068530.1901960785</v>
      </c>
      <c r="J36" s="319">
        <f t="shared" si="3"/>
        <v>-1551397.6426470589</v>
      </c>
      <c r="K36" s="14">
        <v>184305</v>
      </c>
      <c r="L36" s="10">
        <f t="shared" si="4"/>
        <v>95537.476225490187</v>
      </c>
      <c r="M36" s="14">
        <f t="shared" si="5"/>
        <v>88767.523774509813</v>
      </c>
      <c r="N36" s="2">
        <f t="shared" si="6"/>
        <v>-66575.642830882367</v>
      </c>
      <c r="O36" s="136">
        <f t="shared" si="7"/>
        <v>-1617973.2854779414</v>
      </c>
      <c r="P36" s="34">
        <f>O36/'D) Ecrêtage'!C36</f>
        <v>-16.935482801106826</v>
      </c>
      <c r="Q36" s="132"/>
    </row>
    <row r="37" spans="1:17" x14ac:dyDescent="0.25">
      <c r="A37" s="50">
        <f>+'A) Base RI'!A39</f>
        <v>5456</v>
      </c>
      <c r="B37" s="308" t="str">
        <f>+'A) Base RI'!B39</f>
        <v>Cudrefin</v>
      </c>
      <c r="C37" s="322">
        <f>+'D) Ecrêtage'!C37</f>
        <v>54725.941638418088</v>
      </c>
      <c r="D37" s="300">
        <v>555536</v>
      </c>
      <c r="E37" s="322">
        <v>70819</v>
      </c>
      <c r="F37" s="300">
        <v>225158</v>
      </c>
      <c r="G37" s="322">
        <f t="shared" si="0"/>
        <v>851513</v>
      </c>
      <c r="H37" s="300">
        <f t="shared" si="1"/>
        <v>437807.5331073447</v>
      </c>
      <c r="I37" s="10">
        <f t="shared" si="2"/>
        <v>413705.4668926553</v>
      </c>
      <c r="J37" s="319">
        <f t="shared" si="3"/>
        <v>-310279.10016949149</v>
      </c>
      <c r="K37" s="14">
        <v>23042</v>
      </c>
      <c r="L37" s="10">
        <f t="shared" si="4"/>
        <v>54725.941638418088</v>
      </c>
      <c r="M37" s="14">
        <f t="shared" si="5"/>
        <v>0</v>
      </c>
      <c r="N37" s="2">
        <f t="shared" si="6"/>
        <v>0</v>
      </c>
      <c r="O37" s="136">
        <f t="shared" si="7"/>
        <v>-310279.10016949149</v>
      </c>
      <c r="P37" s="34">
        <f>O37/'D) Ecrêtage'!C37</f>
        <v>-5.6696895636725388</v>
      </c>
      <c r="Q37" s="132"/>
    </row>
    <row r="38" spans="1:17" x14ac:dyDescent="0.25">
      <c r="A38" s="50">
        <f>+'A) Base RI'!A40</f>
        <v>5458</v>
      </c>
      <c r="B38" s="308" t="str">
        <f>+'A) Base RI'!B40</f>
        <v>Faoug</v>
      </c>
      <c r="C38" s="322">
        <f>+'D) Ecrêtage'!C38</f>
        <v>34607.593906250004</v>
      </c>
      <c r="D38" s="300">
        <v>231904</v>
      </c>
      <c r="E38" s="322">
        <v>52829</v>
      </c>
      <c r="F38" s="300">
        <v>110690</v>
      </c>
      <c r="G38" s="322">
        <f t="shared" si="0"/>
        <v>395423</v>
      </c>
      <c r="H38" s="300">
        <f t="shared" si="1"/>
        <v>276860.75125000003</v>
      </c>
      <c r="I38" s="10">
        <f t="shared" si="2"/>
        <v>118562.24874999997</v>
      </c>
      <c r="J38" s="319">
        <f t="shared" si="3"/>
        <v>-88921.686562499977</v>
      </c>
      <c r="K38" s="14">
        <v>27145</v>
      </c>
      <c r="L38" s="10">
        <f t="shared" si="4"/>
        <v>34607.593906250004</v>
      </c>
      <c r="M38" s="14">
        <f t="shared" si="5"/>
        <v>0</v>
      </c>
      <c r="N38" s="2">
        <f t="shared" si="6"/>
        <v>0</v>
      </c>
      <c r="O38" s="136">
        <f t="shared" si="7"/>
        <v>-88921.686562499977</v>
      </c>
      <c r="P38" s="34">
        <f>O38/'D) Ecrêtage'!C38</f>
        <v>-2.5694270108284254</v>
      </c>
      <c r="Q38" s="132"/>
    </row>
    <row r="39" spans="1:17" x14ac:dyDescent="0.25">
      <c r="A39" s="50">
        <f>+'A) Base RI'!A41</f>
        <v>5464</v>
      </c>
      <c r="B39" s="308" t="str">
        <f>+'A) Base RI'!B41</f>
        <v>Vully-les-Lacs</v>
      </c>
      <c r="C39" s="322">
        <f>+'D) Ecrêtage'!C39</f>
        <v>98727.295671641783</v>
      </c>
      <c r="D39" s="300">
        <v>927313</v>
      </c>
      <c r="E39" s="322">
        <v>133668</v>
      </c>
      <c r="F39" s="300">
        <v>371559</v>
      </c>
      <c r="G39" s="322">
        <f t="shared" si="0"/>
        <v>1432540</v>
      </c>
      <c r="H39" s="300">
        <f t="shared" si="1"/>
        <v>789818.36537313426</v>
      </c>
      <c r="I39" s="10">
        <f t="shared" si="2"/>
        <v>642721.63462686574</v>
      </c>
      <c r="J39" s="319">
        <f t="shared" si="3"/>
        <v>-482041.22597014927</v>
      </c>
      <c r="K39" s="14">
        <v>49883</v>
      </c>
      <c r="L39" s="10">
        <f t="shared" si="4"/>
        <v>98727.295671641783</v>
      </c>
      <c r="M39" s="14">
        <f t="shared" si="5"/>
        <v>0</v>
      </c>
      <c r="N39" s="2">
        <f t="shared" si="6"/>
        <v>0</v>
      </c>
      <c r="O39" s="136">
        <f t="shared" si="7"/>
        <v>-482041.22597014927</v>
      </c>
      <c r="P39" s="34">
        <f>O39/'D) Ecrêtage'!C39</f>
        <v>-4.8825527194969016</v>
      </c>
      <c r="Q39" s="132"/>
    </row>
    <row r="40" spans="1:17" x14ac:dyDescent="0.25">
      <c r="A40" s="50">
        <f>+'A) Base RI'!A42</f>
        <v>5471</v>
      </c>
      <c r="B40" s="308" t="str">
        <f>+'A) Base RI'!B42</f>
        <v>Bettens</v>
      </c>
      <c r="C40" s="322">
        <f>+'D) Ecrêtage'!C40</f>
        <v>19145.941571428568</v>
      </c>
      <c r="D40" s="300">
        <v>62345</v>
      </c>
      <c r="E40" s="322">
        <v>17209</v>
      </c>
      <c r="F40" s="300">
        <v>52817</v>
      </c>
      <c r="G40" s="322">
        <f t="shared" si="0"/>
        <v>132371</v>
      </c>
      <c r="H40" s="300">
        <f t="shared" si="1"/>
        <v>153167.53257142854</v>
      </c>
      <c r="I40" s="10">
        <f t="shared" si="2"/>
        <v>0</v>
      </c>
      <c r="J40" s="319">
        <f t="shared" si="3"/>
        <v>0</v>
      </c>
      <c r="K40" s="14">
        <v>473</v>
      </c>
      <c r="L40" s="10">
        <f t="shared" si="4"/>
        <v>19145.941571428568</v>
      </c>
      <c r="M40" s="14">
        <f t="shared" si="5"/>
        <v>0</v>
      </c>
      <c r="N40" s="2">
        <f t="shared" si="6"/>
        <v>0</v>
      </c>
      <c r="O40" s="136">
        <f t="shared" si="7"/>
        <v>0</v>
      </c>
      <c r="P40" s="34">
        <f>O40/'D) Ecrêtage'!C40</f>
        <v>0</v>
      </c>
      <c r="Q40" s="132"/>
    </row>
    <row r="41" spans="1:17" x14ac:dyDescent="0.25">
      <c r="A41" s="50">
        <f>+'A) Base RI'!A43</f>
        <v>5472</v>
      </c>
      <c r="B41" s="308" t="str">
        <f>+'A) Base RI'!B43</f>
        <v>Bournens</v>
      </c>
      <c r="C41" s="322">
        <f>+'D) Ecrêtage'!C41</f>
        <v>14770.012375000002</v>
      </c>
      <c r="D41" s="300">
        <v>50527</v>
      </c>
      <c r="E41" s="322">
        <v>10903</v>
      </c>
      <c r="F41" s="300">
        <v>22100</v>
      </c>
      <c r="G41" s="322">
        <f t="shared" si="0"/>
        <v>83530</v>
      </c>
      <c r="H41" s="300">
        <f t="shared" si="1"/>
        <v>118160.09900000002</v>
      </c>
      <c r="I41" s="10">
        <f t="shared" si="2"/>
        <v>0</v>
      </c>
      <c r="J41" s="319">
        <f t="shared" si="3"/>
        <v>0</v>
      </c>
      <c r="K41" s="14">
        <v>64148</v>
      </c>
      <c r="L41" s="10">
        <f t="shared" si="4"/>
        <v>14770.012375000002</v>
      </c>
      <c r="M41" s="14">
        <f t="shared" si="5"/>
        <v>49377.987624999994</v>
      </c>
      <c r="N41" s="2">
        <f t="shared" si="6"/>
        <v>-37033.490718749992</v>
      </c>
      <c r="O41" s="136">
        <f t="shared" si="7"/>
        <v>-37033.490718749992</v>
      </c>
      <c r="P41" s="34">
        <f>O41/'D) Ecrêtage'!C41</f>
        <v>-2.5073432424087585</v>
      </c>
      <c r="Q41" s="132"/>
    </row>
    <row r="42" spans="1:17" x14ac:dyDescent="0.25">
      <c r="A42" s="50">
        <f>+'A) Base RI'!A44</f>
        <v>5473</v>
      </c>
      <c r="B42" s="308" t="str">
        <f>+'A) Base RI'!B44</f>
        <v>Boussens</v>
      </c>
      <c r="C42" s="322">
        <f>+'D) Ecrêtage'!C42</f>
        <v>33002.569420289859</v>
      </c>
      <c r="D42" s="300">
        <v>48202</v>
      </c>
      <c r="E42" s="322">
        <v>43316</v>
      </c>
      <c r="F42" s="300">
        <v>47710</v>
      </c>
      <c r="G42" s="322">
        <f t="shared" si="0"/>
        <v>139228</v>
      </c>
      <c r="H42" s="300">
        <f t="shared" si="1"/>
        <v>264020.55536231888</v>
      </c>
      <c r="I42" s="10">
        <f t="shared" si="2"/>
        <v>0</v>
      </c>
      <c r="J42" s="319">
        <f t="shared" si="3"/>
        <v>0</v>
      </c>
      <c r="K42" s="14">
        <v>10209</v>
      </c>
      <c r="L42" s="10">
        <f t="shared" si="4"/>
        <v>33002.569420289859</v>
      </c>
      <c r="M42" s="14">
        <f t="shared" si="5"/>
        <v>0</v>
      </c>
      <c r="N42" s="2">
        <f t="shared" si="6"/>
        <v>0</v>
      </c>
      <c r="O42" s="136">
        <f t="shared" si="7"/>
        <v>0</v>
      </c>
      <c r="P42" s="34">
        <f>O42/'D) Ecrêtage'!C42</f>
        <v>0</v>
      </c>
      <c r="Q42" s="132"/>
    </row>
    <row r="43" spans="1:17" x14ac:dyDescent="0.25">
      <c r="A43" s="50">
        <f>+'A) Base RI'!A45</f>
        <v>5474</v>
      </c>
      <c r="B43" s="308" t="str">
        <f>+'A) Base RI'!B45</f>
        <v>La Chaux (Cossonay)</v>
      </c>
      <c r="C43" s="322">
        <f>+'D) Ecrêtage'!C43</f>
        <v>13388.045367965367</v>
      </c>
      <c r="D43" s="300">
        <v>167131</v>
      </c>
      <c r="E43" s="322">
        <v>14629</v>
      </c>
      <c r="F43" s="300">
        <v>43807</v>
      </c>
      <c r="G43" s="322">
        <f t="shared" si="0"/>
        <v>225567</v>
      </c>
      <c r="H43" s="300">
        <f t="shared" si="1"/>
        <v>107104.36294372294</v>
      </c>
      <c r="I43" s="10">
        <f t="shared" si="2"/>
        <v>118462.63705627706</v>
      </c>
      <c r="J43" s="319">
        <f t="shared" si="3"/>
        <v>-88846.977792207792</v>
      </c>
      <c r="K43" s="14">
        <v>33719</v>
      </c>
      <c r="L43" s="10">
        <f t="shared" si="4"/>
        <v>13388.045367965367</v>
      </c>
      <c r="M43" s="14">
        <f t="shared" si="5"/>
        <v>20330.954632034634</v>
      </c>
      <c r="N43" s="2">
        <f t="shared" si="6"/>
        <v>-15248.215974025976</v>
      </c>
      <c r="O43" s="136">
        <f t="shared" si="7"/>
        <v>-104095.19376623377</v>
      </c>
      <c r="P43" s="34">
        <f>O43/'D) Ecrêtage'!C43</f>
        <v>-7.7752346145547548</v>
      </c>
      <c r="Q43" s="132"/>
    </row>
    <row r="44" spans="1:17" x14ac:dyDescent="0.25">
      <c r="A44" s="50">
        <f>+'A) Base RI'!A46</f>
        <v>5475</v>
      </c>
      <c r="B44" s="308" t="str">
        <f>+'A) Base RI'!B46</f>
        <v>Chavannes-le-Veyron</v>
      </c>
      <c r="C44" s="322">
        <f>+'D) Ecrêtage'!C44</f>
        <v>3775.6794805194804</v>
      </c>
      <c r="D44" s="300">
        <v>26856</v>
      </c>
      <c r="E44" s="322">
        <v>4969</v>
      </c>
      <c r="F44" s="300">
        <v>27332</v>
      </c>
      <c r="G44" s="322">
        <f t="shared" si="0"/>
        <v>59157</v>
      </c>
      <c r="H44" s="300">
        <f t="shared" si="1"/>
        <v>30205.435844155843</v>
      </c>
      <c r="I44" s="10">
        <f t="shared" si="2"/>
        <v>28951.564155844157</v>
      </c>
      <c r="J44" s="319">
        <f t="shared" si="3"/>
        <v>-21713.673116883117</v>
      </c>
      <c r="K44" s="14">
        <v>31885</v>
      </c>
      <c r="L44" s="10">
        <f t="shared" si="4"/>
        <v>3775.6794805194804</v>
      </c>
      <c r="M44" s="14">
        <f t="shared" si="5"/>
        <v>28109.32051948052</v>
      </c>
      <c r="N44" s="2">
        <f t="shared" si="6"/>
        <v>-21081.99038961039</v>
      </c>
      <c r="O44" s="136">
        <f t="shared" si="7"/>
        <v>-42795.663506493511</v>
      </c>
      <c r="P44" s="34">
        <f>O44/'D) Ecrêtage'!C44</f>
        <v>-11.334559442160442</v>
      </c>
      <c r="Q44" s="132"/>
    </row>
    <row r="45" spans="1:17" x14ac:dyDescent="0.25">
      <c r="A45" s="50">
        <f>+'A) Base RI'!A47</f>
        <v>5476</v>
      </c>
      <c r="B45" s="308" t="str">
        <f>+'A) Base RI'!B47</f>
        <v>Chevilly</v>
      </c>
      <c r="C45" s="322">
        <f>+'D) Ecrêtage'!C45</f>
        <v>10077.570765765768</v>
      </c>
      <c r="D45" s="300">
        <v>27977</v>
      </c>
      <c r="E45" s="322">
        <v>32877</v>
      </c>
      <c r="F45" s="300">
        <v>64870</v>
      </c>
      <c r="G45" s="322">
        <f t="shared" si="0"/>
        <v>125724</v>
      </c>
      <c r="H45" s="300">
        <f t="shared" si="1"/>
        <v>80620.566126126141</v>
      </c>
      <c r="I45" s="10">
        <f t="shared" si="2"/>
        <v>45103.433873873859</v>
      </c>
      <c r="J45" s="319">
        <f t="shared" si="3"/>
        <v>-33827.575405405398</v>
      </c>
      <c r="K45" s="14">
        <v>1593</v>
      </c>
      <c r="L45" s="10">
        <f t="shared" si="4"/>
        <v>10077.570765765768</v>
      </c>
      <c r="M45" s="14">
        <f t="shared" si="5"/>
        <v>0</v>
      </c>
      <c r="N45" s="2">
        <f t="shared" si="6"/>
        <v>0</v>
      </c>
      <c r="O45" s="136">
        <f t="shared" si="7"/>
        <v>-33827.575405405398</v>
      </c>
      <c r="P45" s="34">
        <f>O45/'D) Ecrêtage'!C45</f>
        <v>-3.3567192125626248</v>
      </c>
      <c r="Q45" s="132"/>
    </row>
    <row r="46" spans="1:17" x14ac:dyDescent="0.25">
      <c r="A46" s="50">
        <f>+'A) Base RI'!A48</f>
        <v>5477</v>
      </c>
      <c r="B46" s="308" t="str">
        <f>+'A) Base RI'!B48</f>
        <v>Cossonay</v>
      </c>
      <c r="C46" s="322">
        <f>+'D) Ecrêtage'!C46</f>
        <v>123540.83633802818</v>
      </c>
      <c r="D46" s="300">
        <v>1049226</v>
      </c>
      <c r="E46" s="322">
        <v>315508</v>
      </c>
      <c r="F46" s="300">
        <v>383790</v>
      </c>
      <c r="G46" s="322">
        <f t="shared" si="0"/>
        <v>1748524</v>
      </c>
      <c r="H46" s="300">
        <f t="shared" si="1"/>
        <v>988326.69070422545</v>
      </c>
      <c r="I46" s="10">
        <f t="shared" si="2"/>
        <v>760197.30929577455</v>
      </c>
      <c r="J46" s="319">
        <f t="shared" si="3"/>
        <v>-570147.98197183094</v>
      </c>
      <c r="K46" s="14">
        <v>68487</v>
      </c>
      <c r="L46" s="10">
        <f t="shared" si="4"/>
        <v>123540.83633802818</v>
      </c>
      <c r="M46" s="14">
        <f t="shared" si="5"/>
        <v>0</v>
      </c>
      <c r="N46" s="2">
        <f t="shared" si="6"/>
        <v>0</v>
      </c>
      <c r="O46" s="136">
        <f t="shared" si="7"/>
        <v>-570147.98197183094</v>
      </c>
      <c r="P46" s="34">
        <f>O46/'D) Ecrêtage'!C46</f>
        <v>-4.6150568417054556</v>
      </c>
      <c r="Q46" s="132"/>
    </row>
    <row r="47" spans="1:17" x14ac:dyDescent="0.25">
      <c r="A47" s="50">
        <f>+'A) Base RI'!A49</f>
        <v>5478</v>
      </c>
      <c r="B47" s="308" t="str">
        <f>+'A) Base RI'!B49</f>
        <v>Cottens</v>
      </c>
      <c r="C47" s="322">
        <f>+'D) Ecrêtage'!C47</f>
        <v>16872.928378378379</v>
      </c>
      <c r="D47" s="300">
        <v>91235</v>
      </c>
      <c r="E47" s="322">
        <v>16783</v>
      </c>
      <c r="F47" s="300">
        <v>67449</v>
      </c>
      <c r="G47" s="322">
        <f t="shared" si="0"/>
        <v>175467</v>
      </c>
      <c r="H47" s="300">
        <f t="shared" si="1"/>
        <v>134983.42702702704</v>
      </c>
      <c r="I47" s="10">
        <f t="shared" si="2"/>
        <v>40483.572972972965</v>
      </c>
      <c r="J47" s="319">
        <f t="shared" si="3"/>
        <v>-30362.679729729723</v>
      </c>
      <c r="K47" s="14">
        <v>-216</v>
      </c>
      <c r="L47" s="10">
        <f t="shared" si="4"/>
        <v>16872.928378378379</v>
      </c>
      <c r="M47" s="14">
        <f t="shared" si="5"/>
        <v>0</v>
      </c>
      <c r="N47" s="2">
        <f t="shared" si="6"/>
        <v>0</v>
      </c>
      <c r="O47" s="136">
        <f t="shared" si="7"/>
        <v>-30362.679729729723</v>
      </c>
      <c r="P47" s="34">
        <f>O47/'D) Ecrêtage'!C47</f>
        <v>-1.7994908203745847</v>
      </c>
      <c r="Q47" s="132"/>
    </row>
    <row r="48" spans="1:17" x14ac:dyDescent="0.25">
      <c r="A48" s="50">
        <f>+'A) Base RI'!A50</f>
        <v>5479</v>
      </c>
      <c r="B48" s="308" t="str">
        <f>+'A) Base RI'!B50</f>
        <v>Cuarnens</v>
      </c>
      <c r="C48" s="322">
        <f>+'D) Ecrêtage'!C48</f>
        <v>15098.323116883119</v>
      </c>
      <c r="D48" s="300">
        <v>118664</v>
      </c>
      <c r="E48" s="322">
        <v>16714</v>
      </c>
      <c r="F48" s="300">
        <v>101456</v>
      </c>
      <c r="G48" s="322">
        <f t="shared" si="0"/>
        <v>236834</v>
      </c>
      <c r="H48" s="300">
        <f t="shared" si="1"/>
        <v>120786.58493506495</v>
      </c>
      <c r="I48" s="10">
        <f t="shared" si="2"/>
        <v>116047.41506493505</v>
      </c>
      <c r="J48" s="319">
        <f t="shared" si="3"/>
        <v>-87035.561298701286</v>
      </c>
      <c r="K48" s="14">
        <v>87165</v>
      </c>
      <c r="L48" s="10">
        <f t="shared" si="4"/>
        <v>15098.323116883119</v>
      </c>
      <c r="M48" s="14">
        <f t="shared" si="5"/>
        <v>72066.676883116888</v>
      </c>
      <c r="N48" s="2">
        <f t="shared" si="6"/>
        <v>-54050.007662337666</v>
      </c>
      <c r="O48" s="136">
        <f t="shared" si="7"/>
        <v>-141085.56896103895</v>
      </c>
      <c r="P48" s="34">
        <f>O48/'D) Ecrêtage'!C48</f>
        <v>-9.3444528818750374</v>
      </c>
      <c r="Q48" s="132"/>
    </row>
    <row r="49" spans="1:17" x14ac:dyDescent="0.25">
      <c r="A49" s="50">
        <f>+'A) Base RI'!A51</f>
        <v>5480</v>
      </c>
      <c r="B49" s="308" t="str">
        <f>+'A) Base RI'!B51</f>
        <v>Daillens</v>
      </c>
      <c r="C49" s="322">
        <f>+'D) Ecrêtage'!C49</f>
        <v>41105.758873239436</v>
      </c>
      <c r="D49" s="300">
        <v>326233</v>
      </c>
      <c r="E49" s="322">
        <v>74418</v>
      </c>
      <c r="F49" s="300">
        <v>104153</v>
      </c>
      <c r="G49" s="322">
        <f t="shared" si="0"/>
        <v>504804</v>
      </c>
      <c r="H49" s="300">
        <f t="shared" si="1"/>
        <v>328846.07098591549</v>
      </c>
      <c r="I49" s="10">
        <f t="shared" si="2"/>
        <v>175957.92901408451</v>
      </c>
      <c r="J49" s="319">
        <f t="shared" si="3"/>
        <v>-131968.44676056338</v>
      </c>
      <c r="K49" s="14">
        <v>8187</v>
      </c>
      <c r="L49" s="10">
        <f t="shared" si="4"/>
        <v>41105.758873239436</v>
      </c>
      <c r="M49" s="14">
        <f t="shared" si="5"/>
        <v>0</v>
      </c>
      <c r="N49" s="2">
        <f t="shared" si="6"/>
        <v>0</v>
      </c>
      <c r="O49" s="136">
        <f t="shared" si="7"/>
        <v>-131968.44676056338</v>
      </c>
      <c r="P49" s="34">
        <f>O49/'D) Ecrêtage'!C49</f>
        <v>-3.2104612681527973</v>
      </c>
      <c r="Q49" s="132"/>
    </row>
    <row r="50" spans="1:17" x14ac:dyDescent="0.25">
      <c r="A50" s="50">
        <f>+'A) Base RI'!A52</f>
        <v>5481</v>
      </c>
      <c r="B50" s="308" t="str">
        <f>+'A) Base RI'!B52</f>
        <v>Dizy</v>
      </c>
      <c r="C50" s="322">
        <f>+'D) Ecrêtage'!C50</f>
        <v>8417.6035443037963</v>
      </c>
      <c r="D50" s="300">
        <v>54748</v>
      </c>
      <c r="E50" s="322">
        <v>0</v>
      </c>
      <c r="F50" s="300">
        <v>22452</v>
      </c>
      <c r="G50" s="322">
        <f t="shared" si="0"/>
        <v>77200</v>
      </c>
      <c r="H50" s="300">
        <f t="shared" si="1"/>
        <v>67340.82835443037</v>
      </c>
      <c r="I50" s="10">
        <f t="shared" si="2"/>
        <v>9859.1716455696296</v>
      </c>
      <c r="J50" s="319">
        <f t="shared" si="3"/>
        <v>-7394.3787341772222</v>
      </c>
      <c r="K50" s="14">
        <v>7619</v>
      </c>
      <c r="L50" s="10">
        <f t="shared" si="4"/>
        <v>8417.6035443037963</v>
      </c>
      <c r="M50" s="14">
        <f t="shared" si="5"/>
        <v>0</v>
      </c>
      <c r="N50" s="2">
        <f t="shared" si="6"/>
        <v>0</v>
      </c>
      <c r="O50" s="136">
        <f t="shared" si="7"/>
        <v>-7394.3787341772222</v>
      </c>
      <c r="P50" s="34">
        <f>O50/'D) Ecrêtage'!C50</f>
        <v>-0.87844226628860522</v>
      </c>
      <c r="Q50" s="132"/>
    </row>
    <row r="51" spans="1:17" x14ac:dyDescent="0.25">
      <c r="A51" s="50">
        <f>+'A) Base RI'!A53</f>
        <v>5482</v>
      </c>
      <c r="B51" s="308" t="str">
        <f>+'A) Base RI'!B53</f>
        <v>Eclépens</v>
      </c>
      <c r="C51" s="322">
        <f>+'D) Ecrêtage'!C51</f>
        <v>48921.463913043473</v>
      </c>
      <c r="D51" s="300">
        <v>198832</v>
      </c>
      <c r="E51" s="322">
        <v>90604</v>
      </c>
      <c r="F51" s="300">
        <v>211313</v>
      </c>
      <c r="G51" s="322">
        <f t="shared" si="0"/>
        <v>500749</v>
      </c>
      <c r="H51" s="300">
        <f t="shared" si="1"/>
        <v>391371.71130434779</v>
      </c>
      <c r="I51" s="10">
        <f t="shared" si="2"/>
        <v>109377.28869565221</v>
      </c>
      <c r="J51" s="319">
        <f t="shared" si="3"/>
        <v>-82032.966521739159</v>
      </c>
      <c r="K51" s="14">
        <v>69902</v>
      </c>
      <c r="L51" s="10">
        <f t="shared" si="4"/>
        <v>48921.463913043473</v>
      </c>
      <c r="M51" s="14">
        <f t="shared" si="5"/>
        <v>20980.536086956527</v>
      </c>
      <c r="N51" s="2">
        <f t="shared" si="6"/>
        <v>-15735.402065217395</v>
      </c>
      <c r="O51" s="136">
        <f t="shared" si="7"/>
        <v>-97768.368586956552</v>
      </c>
      <c r="P51" s="34">
        <f>O51/'D) Ecrêtage'!C51</f>
        <v>-1.9984759401463759</v>
      </c>
      <c r="Q51" s="132"/>
    </row>
    <row r="52" spans="1:17" x14ac:dyDescent="0.25">
      <c r="A52" s="50">
        <f>+'A) Base RI'!A54</f>
        <v>5483</v>
      </c>
      <c r="B52" s="308" t="str">
        <f>+'A) Base RI'!B54</f>
        <v>Ferreyres</v>
      </c>
      <c r="C52" s="322">
        <f>+'D) Ecrêtage'!C52</f>
        <v>12338.918289473684</v>
      </c>
      <c r="D52" s="300">
        <v>26430</v>
      </c>
      <c r="E52" s="322">
        <v>10980</v>
      </c>
      <c r="F52" s="300">
        <v>70659</v>
      </c>
      <c r="G52" s="322">
        <f t="shared" si="0"/>
        <v>108069</v>
      </c>
      <c r="H52" s="300">
        <f t="shared" si="1"/>
        <v>98711.346315789473</v>
      </c>
      <c r="I52" s="10">
        <f t="shared" si="2"/>
        <v>9357.653684210527</v>
      </c>
      <c r="J52" s="319">
        <f t="shared" si="3"/>
        <v>-7018.2402631578952</v>
      </c>
      <c r="K52" s="14">
        <v>10871</v>
      </c>
      <c r="L52" s="10">
        <f t="shared" si="4"/>
        <v>12338.918289473684</v>
      </c>
      <c r="M52" s="14">
        <f t="shared" si="5"/>
        <v>0</v>
      </c>
      <c r="N52" s="2">
        <f t="shared" si="6"/>
        <v>0</v>
      </c>
      <c r="O52" s="136">
        <f t="shared" si="7"/>
        <v>-7018.2402631578952</v>
      </c>
      <c r="P52" s="34">
        <f>O52/'D) Ecrêtage'!C52</f>
        <v>-0.56878894069224428</v>
      </c>
      <c r="Q52" s="132"/>
    </row>
    <row r="53" spans="1:17" x14ac:dyDescent="0.25">
      <c r="A53" s="50">
        <f>+'A) Base RI'!A55</f>
        <v>5484</v>
      </c>
      <c r="B53" s="308" t="str">
        <f>+'A) Base RI'!B55</f>
        <v>Gollion</v>
      </c>
      <c r="C53" s="322">
        <f>+'D) Ecrêtage'!C53</f>
        <v>33965.841756756759</v>
      </c>
      <c r="D53" s="300">
        <v>246285</v>
      </c>
      <c r="E53" s="322">
        <v>64421</v>
      </c>
      <c r="F53" s="300">
        <v>81046</v>
      </c>
      <c r="G53" s="322">
        <f t="shared" si="0"/>
        <v>391752</v>
      </c>
      <c r="H53" s="300">
        <f t="shared" si="1"/>
        <v>271726.73405405408</v>
      </c>
      <c r="I53" s="10">
        <f t="shared" si="2"/>
        <v>120025.26594594592</v>
      </c>
      <c r="J53" s="319">
        <f t="shared" si="3"/>
        <v>-90018.949459459443</v>
      </c>
      <c r="K53" s="14">
        <v>98671</v>
      </c>
      <c r="L53" s="10">
        <f t="shared" si="4"/>
        <v>33965.841756756759</v>
      </c>
      <c r="M53" s="14">
        <f t="shared" si="5"/>
        <v>64705.158243243241</v>
      </c>
      <c r="N53" s="2">
        <f t="shared" si="6"/>
        <v>-48528.868682432432</v>
      </c>
      <c r="O53" s="136">
        <f t="shared" si="7"/>
        <v>-138547.81814189188</v>
      </c>
      <c r="P53" s="34">
        <f>O53/'D) Ecrêtage'!C53</f>
        <v>-4.0790338462414475</v>
      </c>
      <c r="Q53" s="132"/>
    </row>
    <row r="54" spans="1:17" x14ac:dyDescent="0.25">
      <c r="A54" s="50">
        <f>+'A) Base RI'!A56</f>
        <v>5485</v>
      </c>
      <c r="B54" s="308" t="str">
        <f>+'A) Base RI'!B56</f>
        <v>Grancy</v>
      </c>
      <c r="C54" s="322">
        <f>+'D) Ecrêtage'!C54</f>
        <v>17740.37528571429</v>
      </c>
      <c r="D54" s="300">
        <v>61788</v>
      </c>
      <c r="E54" s="322">
        <v>14177</v>
      </c>
      <c r="F54" s="300">
        <v>38244</v>
      </c>
      <c r="G54" s="322">
        <f t="shared" si="0"/>
        <v>114209</v>
      </c>
      <c r="H54" s="300">
        <f t="shared" si="1"/>
        <v>141923.00228571432</v>
      </c>
      <c r="I54" s="10">
        <f t="shared" si="2"/>
        <v>0</v>
      </c>
      <c r="J54" s="319">
        <f t="shared" si="3"/>
        <v>0</v>
      </c>
      <c r="K54" s="14">
        <v>64906</v>
      </c>
      <c r="L54" s="10">
        <f t="shared" si="4"/>
        <v>17740.37528571429</v>
      </c>
      <c r="M54" s="14">
        <f t="shared" si="5"/>
        <v>47165.62471428571</v>
      </c>
      <c r="N54" s="2">
        <f t="shared" si="6"/>
        <v>-35374.218535714281</v>
      </c>
      <c r="O54" s="136">
        <f t="shared" si="7"/>
        <v>-35374.218535714281</v>
      </c>
      <c r="P54" s="34">
        <f>O54/'D) Ecrêtage'!C54</f>
        <v>-1.9939949390022158</v>
      </c>
      <c r="Q54" s="132"/>
    </row>
    <row r="55" spans="1:17" x14ac:dyDescent="0.25">
      <c r="A55" s="50">
        <f>+'A) Base RI'!A57</f>
        <v>5486</v>
      </c>
      <c r="B55" s="308" t="str">
        <f>+'A) Base RI'!B57</f>
        <v>L'Isle</v>
      </c>
      <c r="C55" s="322">
        <f>+'D) Ecrêtage'!C55</f>
        <v>25696.695921052633</v>
      </c>
      <c r="D55" s="300">
        <v>302955</v>
      </c>
      <c r="E55" s="322">
        <v>73130</v>
      </c>
      <c r="F55" s="300">
        <v>183202</v>
      </c>
      <c r="G55" s="322">
        <f t="shared" si="0"/>
        <v>559287</v>
      </c>
      <c r="H55" s="300">
        <f t="shared" si="1"/>
        <v>205573.56736842106</v>
      </c>
      <c r="I55" s="10">
        <f t="shared" si="2"/>
        <v>353713.43263157894</v>
      </c>
      <c r="J55" s="319">
        <f t="shared" si="3"/>
        <v>-265285.07447368419</v>
      </c>
      <c r="K55" s="14">
        <v>114968</v>
      </c>
      <c r="L55" s="10">
        <f t="shared" si="4"/>
        <v>25696.695921052633</v>
      </c>
      <c r="M55" s="14">
        <f t="shared" si="5"/>
        <v>89271.304078947374</v>
      </c>
      <c r="N55" s="2">
        <f t="shared" si="6"/>
        <v>-66953.478059210523</v>
      </c>
      <c r="O55" s="136">
        <f t="shared" si="7"/>
        <v>-332238.55253289471</v>
      </c>
      <c r="P55" s="34">
        <f>O55/'D) Ecrêtage'!C55</f>
        <v>-12.929232363321089</v>
      </c>
      <c r="Q55" s="132"/>
    </row>
    <row r="56" spans="1:17" x14ac:dyDescent="0.25">
      <c r="A56" s="50">
        <f>+'A) Base RI'!A58</f>
        <v>5487</v>
      </c>
      <c r="B56" s="308" t="str">
        <f>+'A) Base RI'!B58</f>
        <v>Lussery-Villars</v>
      </c>
      <c r="C56" s="322">
        <f>+'D) Ecrêtage'!C56</f>
        <v>14347.116805555555</v>
      </c>
      <c r="D56" s="300">
        <v>56586</v>
      </c>
      <c r="E56" s="322">
        <v>34933</v>
      </c>
      <c r="F56" s="300">
        <v>40134</v>
      </c>
      <c r="G56" s="322">
        <f t="shared" si="0"/>
        <v>131653</v>
      </c>
      <c r="H56" s="300">
        <f t="shared" si="1"/>
        <v>114776.93444444444</v>
      </c>
      <c r="I56" s="10">
        <f t="shared" si="2"/>
        <v>16876.065555555557</v>
      </c>
      <c r="J56" s="319">
        <f t="shared" si="3"/>
        <v>-12657.049166666668</v>
      </c>
      <c r="K56" s="14">
        <v>2893</v>
      </c>
      <c r="L56" s="10">
        <f t="shared" si="4"/>
        <v>14347.116805555555</v>
      </c>
      <c r="M56" s="14">
        <f t="shared" si="5"/>
        <v>0</v>
      </c>
      <c r="N56" s="2">
        <f t="shared" si="6"/>
        <v>0</v>
      </c>
      <c r="O56" s="136">
        <f t="shared" si="7"/>
        <v>-12657.049166666668</v>
      </c>
      <c r="P56" s="34">
        <f>O56/'D) Ecrêtage'!C56</f>
        <v>-0.88220158364958368</v>
      </c>
      <c r="Q56" s="132"/>
    </row>
    <row r="57" spans="1:17" x14ac:dyDescent="0.25">
      <c r="A57" s="50">
        <f>+'A) Base RI'!A59</f>
        <v>5488</v>
      </c>
      <c r="B57" s="308" t="str">
        <f>+'A) Base RI'!B59</f>
        <v>Mauraz</v>
      </c>
      <c r="C57" s="322">
        <f>+'D) Ecrêtage'!C57</f>
        <v>1636.236081081081</v>
      </c>
      <c r="D57" s="300">
        <v>4292</v>
      </c>
      <c r="E57" s="322">
        <v>0</v>
      </c>
      <c r="F57" s="300">
        <v>11392</v>
      </c>
      <c r="G57" s="322">
        <f t="shared" si="0"/>
        <v>15684</v>
      </c>
      <c r="H57" s="300">
        <f t="shared" si="1"/>
        <v>13089.888648648648</v>
      </c>
      <c r="I57" s="10">
        <f t="shared" si="2"/>
        <v>2594.1113513513519</v>
      </c>
      <c r="J57" s="319">
        <f t="shared" si="3"/>
        <v>-1945.5835135135139</v>
      </c>
      <c r="K57" s="14">
        <v>0</v>
      </c>
      <c r="L57" s="10">
        <f t="shared" si="4"/>
        <v>1636.236081081081</v>
      </c>
      <c r="M57" s="14">
        <f t="shared" si="5"/>
        <v>0</v>
      </c>
      <c r="N57" s="2">
        <f t="shared" si="6"/>
        <v>0</v>
      </c>
      <c r="O57" s="136">
        <f t="shared" si="7"/>
        <v>-1945.5835135135139</v>
      </c>
      <c r="P57" s="34">
        <f>O57/'D) Ecrêtage'!C57</f>
        <v>-1.1890603904957548</v>
      </c>
      <c r="Q57" s="132"/>
    </row>
    <row r="58" spans="1:17" x14ac:dyDescent="0.25">
      <c r="A58" s="50">
        <f>+'A) Base RI'!A60</f>
        <v>5489</v>
      </c>
      <c r="B58" s="308" t="str">
        <f>+'A) Base RI'!B60</f>
        <v>Mex</v>
      </c>
      <c r="C58" s="322">
        <f>+'D) Ecrêtage'!C58</f>
        <v>52928.292459016397</v>
      </c>
      <c r="D58" s="300">
        <v>216894</v>
      </c>
      <c r="E58" s="322">
        <v>20921</v>
      </c>
      <c r="F58" s="300">
        <v>56764</v>
      </c>
      <c r="G58" s="322">
        <f t="shared" si="0"/>
        <v>294579</v>
      </c>
      <c r="H58" s="300">
        <f t="shared" si="1"/>
        <v>423426.33967213117</v>
      </c>
      <c r="I58" s="10">
        <f t="shared" si="2"/>
        <v>0</v>
      </c>
      <c r="J58" s="319">
        <f t="shared" si="3"/>
        <v>0</v>
      </c>
      <c r="K58" s="14">
        <v>50086</v>
      </c>
      <c r="L58" s="10">
        <f t="shared" si="4"/>
        <v>52928.292459016397</v>
      </c>
      <c r="M58" s="14">
        <f t="shared" si="5"/>
        <v>0</v>
      </c>
      <c r="N58" s="2">
        <f t="shared" si="6"/>
        <v>0</v>
      </c>
      <c r="O58" s="136">
        <f t="shared" si="7"/>
        <v>0</v>
      </c>
      <c r="P58" s="34">
        <f>O58/'D) Ecrêtage'!C58</f>
        <v>0</v>
      </c>
      <c r="Q58" s="132"/>
    </row>
    <row r="59" spans="1:17" x14ac:dyDescent="0.25">
      <c r="A59" s="50">
        <f>+'A) Base RI'!A61</f>
        <v>5490</v>
      </c>
      <c r="B59" s="308" t="str">
        <f>+'A) Base RI'!B61</f>
        <v>Moiry</v>
      </c>
      <c r="C59" s="322">
        <f>+'D) Ecrêtage'!C59</f>
        <v>8175.9358024691346</v>
      </c>
      <c r="D59" s="300">
        <v>49292</v>
      </c>
      <c r="E59" s="322">
        <v>10563</v>
      </c>
      <c r="F59" s="300">
        <v>65351</v>
      </c>
      <c r="G59" s="322">
        <f t="shared" si="0"/>
        <v>125206</v>
      </c>
      <c r="H59" s="300">
        <f t="shared" si="1"/>
        <v>65407.486419753077</v>
      </c>
      <c r="I59" s="10">
        <f t="shared" si="2"/>
        <v>59798.513580246923</v>
      </c>
      <c r="J59" s="319">
        <f t="shared" si="3"/>
        <v>-44848.885185185194</v>
      </c>
      <c r="K59" s="14">
        <v>704</v>
      </c>
      <c r="L59" s="10">
        <f t="shared" si="4"/>
        <v>8175.9358024691346</v>
      </c>
      <c r="M59" s="14">
        <f t="shared" si="5"/>
        <v>0</v>
      </c>
      <c r="N59" s="2">
        <f t="shared" si="6"/>
        <v>0</v>
      </c>
      <c r="O59" s="136">
        <f t="shared" si="7"/>
        <v>-44848.885185185194</v>
      </c>
      <c r="P59" s="34">
        <f>O59/'D) Ecrêtage'!C59</f>
        <v>-5.4854742342327123</v>
      </c>
      <c r="Q59" s="132"/>
    </row>
    <row r="60" spans="1:17" x14ac:dyDescent="0.25">
      <c r="A60" s="50">
        <f>+'A) Base RI'!A62</f>
        <v>5491</v>
      </c>
      <c r="B60" s="308" t="str">
        <f>+'A) Base RI'!B62</f>
        <v>Mont-la-Ville</v>
      </c>
      <c r="C60" s="322">
        <f>+'D) Ecrêtage'!C60</f>
        <v>10544.805394736843</v>
      </c>
      <c r="D60" s="300">
        <v>113015</v>
      </c>
      <c r="E60" s="322">
        <v>13968</v>
      </c>
      <c r="F60" s="300">
        <v>83993</v>
      </c>
      <c r="G60" s="322">
        <f t="shared" si="0"/>
        <v>210976</v>
      </c>
      <c r="H60" s="300">
        <f t="shared" si="1"/>
        <v>84358.443157894741</v>
      </c>
      <c r="I60" s="10">
        <f t="shared" si="2"/>
        <v>126617.55684210526</v>
      </c>
      <c r="J60" s="319">
        <f t="shared" si="3"/>
        <v>-94963.167631578952</v>
      </c>
      <c r="K60" s="14">
        <v>11356</v>
      </c>
      <c r="L60" s="10">
        <f t="shared" si="4"/>
        <v>10544.805394736843</v>
      </c>
      <c r="M60" s="14">
        <f t="shared" si="5"/>
        <v>811.19460526315743</v>
      </c>
      <c r="N60" s="2">
        <f t="shared" si="6"/>
        <v>-608.39595394736807</v>
      </c>
      <c r="O60" s="136">
        <f t="shared" si="7"/>
        <v>-95571.563585526324</v>
      </c>
      <c r="P60" s="34">
        <f>O60/'D) Ecrêtage'!C60</f>
        <v>-9.0633786028169201</v>
      </c>
      <c r="Q60" s="132"/>
    </row>
    <row r="61" spans="1:17" x14ac:dyDescent="0.25">
      <c r="A61" s="50">
        <f>+'A) Base RI'!A63</f>
        <v>5492</v>
      </c>
      <c r="B61" s="308" t="str">
        <f>+'A) Base RI'!B63</f>
        <v>Montricher</v>
      </c>
      <c r="C61" s="322">
        <f>+'D) Ecrêtage'!C61</f>
        <v>222873.70244791667</v>
      </c>
      <c r="D61" s="300">
        <v>139531</v>
      </c>
      <c r="E61" s="322">
        <v>80089</v>
      </c>
      <c r="F61" s="300">
        <v>151847</v>
      </c>
      <c r="G61" s="322">
        <f t="shared" si="0"/>
        <v>371467</v>
      </c>
      <c r="H61" s="300">
        <f t="shared" si="1"/>
        <v>1782989.6195833334</v>
      </c>
      <c r="I61" s="10">
        <f t="shared" si="2"/>
        <v>0</v>
      </c>
      <c r="J61" s="319">
        <f t="shared" si="3"/>
        <v>0</v>
      </c>
      <c r="K61" s="14">
        <v>348229</v>
      </c>
      <c r="L61" s="10">
        <f t="shared" si="4"/>
        <v>222873.70244791667</v>
      </c>
      <c r="M61" s="14">
        <f t="shared" si="5"/>
        <v>125355.29755208333</v>
      </c>
      <c r="N61" s="2">
        <f t="shared" si="6"/>
        <v>-94016.473164062496</v>
      </c>
      <c r="O61" s="136">
        <f t="shared" si="7"/>
        <v>-94016.473164062496</v>
      </c>
      <c r="P61" s="34">
        <f>O61/'D) Ecrêtage'!C61</f>
        <v>-0.42183744484629448</v>
      </c>
      <c r="Q61" s="132"/>
    </row>
    <row r="62" spans="1:17" x14ac:dyDescent="0.25">
      <c r="A62" s="50">
        <f>+'A) Base RI'!A64</f>
        <v>5493</v>
      </c>
      <c r="B62" s="308" t="str">
        <f>+'A) Base RI'!B64</f>
        <v>Orny</v>
      </c>
      <c r="C62" s="322">
        <f>+'D) Ecrêtage'!C62</f>
        <v>9896.3592518440455</v>
      </c>
      <c r="D62" s="300">
        <v>437377</v>
      </c>
      <c r="E62" s="322">
        <v>0</v>
      </c>
      <c r="F62" s="300">
        <v>76590</v>
      </c>
      <c r="G62" s="322">
        <f t="shared" si="0"/>
        <v>513967</v>
      </c>
      <c r="H62" s="300">
        <f t="shared" si="1"/>
        <v>79170.874014752364</v>
      </c>
      <c r="I62" s="10">
        <f t="shared" si="2"/>
        <v>434796.12598524767</v>
      </c>
      <c r="J62" s="319">
        <f t="shared" si="3"/>
        <v>-326097.09448893578</v>
      </c>
      <c r="K62" s="14">
        <v>13179</v>
      </c>
      <c r="L62" s="10">
        <f t="shared" si="4"/>
        <v>9896.3592518440455</v>
      </c>
      <c r="M62" s="14">
        <f t="shared" si="5"/>
        <v>3282.6407481559545</v>
      </c>
      <c r="N62" s="2">
        <f t="shared" si="6"/>
        <v>-2461.9805611169659</v>
      </c>
      <c r="O62" s="136">
        <f t="shared" si="7"/>
        <v>-328559.07505005272</v>
      </c>
      <c r="P62" s="34">
        <f>O62/'D) Ecrêtage'!C62</f>
        <v>-33.199994734309023</v>
      </c>
      <c r="Q62" s="132"/>
    </row>
    <row r="63" spans="1:17" x14ac:dyDescent="0.25">
      <c r="A63" s="50">
        <f>+'A) Base RI'!A65</f>
        <v>5494</v>
      </c>
      <c r="B63" s="308" t="str">
        <f>+'A) Base RI'!B65</f>
        <v>Pampigny</v>
      </c>
      <c r="C63" s="322">
        <f>+'D) Ecrêtage'!C63</f>
        <v>36998.378139682543</v>
      </c>
      <c r="D63" s="300">
        <v>279894</v>
      </c>
      <c r="E63" s="322">
        <v>77557</v>
      </c>
      <c r="F63" s="300">
        <v>143253</v>
      </c>
      <c r="G63" s="322">
        <f t="shared" si="0"/>
        <v>500704</v>
      </c>
      <c r="H63" s="300">
        <f t="shared" si="1"/>
        <v>295987.02511746035</v>
      </c>
      <c r="I63" s="10">
        <f t="shared" si="2"/>
        <v>204716.97488253965</v>
      </c>
      <c r="J63" s="319">
        <f t="shared" si="3"/>
        <v>-153537.73116190475</v>
      </c>
      <c r="K63" s="14">
        <v>135907</v>
      </c>
      <c r="L63" s="10">
        <f t="shared" si="4"/>
        <v>36998.378139682543</v>
      </c>
      <c r="M63" s="14">
        <f t="shared" si="5"/>
        <v>98908.621860317449</v>
      </c>
      <c r="N63" s="2">
        <f t="shared" si="6"/>
        <v>-74181.466395238094</v>
      </c>
      <c r="O63" s="136">
        <f t="shared" si="7"/>
        <v>-227719.19755714285</v>
      </c>
      <c r="P63" s="34">
        <f>O63/'D) Ecrêtage'!C63</f>
        <v>-6.1548426987101639</v>
      </c>
      <c r="Q63" s="132"/>
    </row>
    <row r="64" spans="1:17" x14ac:dyDescent="0.25">
      <c r="A64" s="50">
        <f>+'A) Base RI'!A66</f>
        <v>5495</v>
      </c>
      <c r="B64" s="308" t="str">
        <f>+'A) Base RI'!B66</f>
        <v>Penthalaz</v>
      </c>
      <c r="C64" s="322">
        <f>+'D) Ecrêtage'!C64</f>
        <v>92865.132567567576</v>
      </c>
      <c r="D64" s="300">
        <v>622883</v>
      </c>
      <c r="E64" s="322">
        <v>417742</v>
      </c>
      <c r="F64" s="300">
        <v>321724</v>
      </c>
      <c r="G64" s="322">
        <f t="shared" si="0"/>
        <v>1362349</v>
      </c>
      <c r="H64" s="300">
        <f t="shared" si="1"/>
        <v>742921.06054054061</v>
      </c>
      <c r="I64" s="10">
        <f t="shared" si="2"/>
        <v>619427.93945945939</v>
      </c>
      <c r="J64" s="319">
        <f t="shared" si="3"/>
        <v>-464570.95459459454</v>
      </c>
      <c r="K64" s="14">
        <v>127746</v>
      </c>
      <c r="L64" s="10">
        <f t="shared" si="4"/>
        <v>92865.132567567576</v>
      </c>
      <c r="M64" s="14">
        <f t="shared" si="5"/>
        <v>34880.867432432424</v>
      </c>
      <c r="N64" s="2">
        <f t="shared" si="6"/>
        <v>-26160.650574324318</v>
      </c>
      <c r="O64" s="136">
        <f t="shared" si="7"/>
        <v>-490731.60516891885</v>
      </c>
      <c r="P64" s="34">
        <f>O64/'D) Ecrêtage'!C64</f>
        <v>-5.284347220544463</v>
      </c>
      <c r="Q64" s="132"/>
    </row>
    <row r="65" spans="1:17" x14ac:dyDescent="0.25">
      <c r="A65" s="50">
        <f>+'A) Base RI'!A67</f>
        <v>5496</v>
      </c>
      <c r="B65" s="308" t="str">
        <f>+'A) Base RI'!B67</f>
        <v>Penthaz</v>
      </c>
      <c r="C65" s="322">
        <f>+'D) Ecrêtage'!C65</f>
        <v>54824.850845070439</v>
      </c>
      <c r="D65" s="300">
        <v>461071</v>
      </c>
      <c r="E65" s="322">
        <v>130667</v>
      </c>
      <c r="F65" s="300">
        <v>173564</v>
      </c>
      <c r="G65" s="322">
        <f t="shared" si="0"/>
        <v>765302</v>
      </c>
      <c r="H65" s="300">
        <f t="shared" si="1"/>
        <v>438598.80676056352</v>
      </c>
      <c r="I65" s="10">
        <f t="shared" si="2"/>
        <v>326703.19323943648</v>
      </c>
      <c r="J65" s="319">
        <f t="shared" si="3"/>
        <v>-245027.39492957736</v>
      </c>
      <c r="K65" s="14">
        <v>14383</v>
      </c>
      <c r="L65" s="10">
        <f t="shared" si="4"/>
        <v>54824.850845070439</v>
      </c>
      <c r="M65" s="14">
        <f t="shared" si="5"/>
        <v>0</v>
      </c>
      <c r="N65" s="2">
        <f t="shared" si="6"/>
        <v>0</v>
      </c>
      <c r="O65" s="136">
        <f t="shared" si="7"/>
        <v>-245027.39492957736</v>
      </c>
      <c r="P65" s="34">
        <f>O65/'D) Ecrêtage'!C65</f>
        <v>-4.4692760883563611</v>
      </c>
      <c r="Q65" s="132"/>
    </row>
    <row r="66" spans="1:17" x14ac:dyDescent="0.25">
      <c r="A66" s="50">
        <f>+'A) Base RI'!A68</f>
        <v>5497</v>
      </c>
      <c r="B66" s="308" t="str">
        <f>+'A) Base RI'!B68</f>
        <v>Pompaples</v>
      </c>
      <c r="C66" s="322">
        <f>+'D) Ecrêtage'!C66</f>
        <v>21718.90772727273</v>
      </c>
      <c r="D66" s="300">
        <v>200599</v>
      </c>
      <c r="E66" s="322">
        <v>29848</v>
      </c>
      <c r="F66" s="300">
        <v>185282</v>
      </c>
      <c r="G66" s="322">
        <f t="shared" si="0"/>
        <v>415729</v>
      </c>
      <c r="H66" s="300">
        <f t="shared" si="1"/>
        <v>173751.26181818184</v>
      </c>
      <c r="I66" s="10">
        <f t="shared" si="2"/>
        <v>241977.73818181816</v>
      </c>
      <c r="J66" s="319">
        <f t="shared" si="3"/>
        <v>-181483.30363636362</v>
      </c>
      <c r="K66" s="14">
        <v>16346</v>
      </c>
      <c r="L66" s="10">
        <f t="shared" si="4"/>
        <v>21718.90772727273</v>
      </c>
      <c r="M66" s="14">
        <f t="shared" si="5"/>
        <v>0</v>
      </c>
      <c r="N66" s="2">
        <f t="shared" si="6"/>
        <v>0</v>
      </c>
      <c r="O66" s="136">
        <f t="shared" si="7"/>
        <v>-181483.30363636362</v>
      </c>
      <c r="P66" s="34">
        <f>O66/'D) Ecrêtage'!C66</f>
        <v>-8.3560050954345435</v>
      </c>
      <c r="Q66" s="132"/>
    </row>
    <row r="67" spans="1:17" x14ac:dyDescent="0.25">
      <c r="A67" s="50">
        <f>+'A) Base RI'!A69</f>
        <v>5498</v>
      </c>
      <c r="B67" s="308" t="str">
        <f>+'A) Base RI'!B69</f>
        <v>La Sarraz</v>
      </c>
      <c r="C67" s="322">
        <f>+'D) Ecrêtage'!C67</f>
        <v>70914.560303030303</v>
      </c>
      <c r="D67" s="300">
        <v>612377</v>
      </c>
      <c r="E67" s="322">
        <v>222993</v>
      </c>
      <c r="F67" s="300">
        <v>547014</v>
      </c>
      <c r="G67" s="322">
        <f t="shared" si="0"/>
        <v>1382384</v>
      </c>
      <c r="H67" s="300">
        <f t="shared" si="1"/>
        <v>567316.48242424242</v>
      </c>
      <c r="I67" s="10">
        <f t="shared" si="2"/>
        <v>815067.51757575758</v>
      </c>
      <c r="J67" s="319">
        <f t="shared" si="3"/>
        <v>-611300.63818181818</v>
      </c>
      <c r="K67" s="14">
        <v>32014</v>
      </c>
      <c r="L67" s="10">
        <f t="shared" si="4"/>
        <v>70914.560303030303</v>
      </c>
      <c r="M67" s="14">
        <f t="shared" si="5"/>
        <v>0</v>
      </c>
      <c r="N67" s="2">
        <f t="shared" si="6"/>
        <v>0</v>
      </c>
      <c r="O67" s="136">
        <f t="shared" si="7"/>
        <v>-611300.63818181818</v>
      </c>
      <c r="P67" s="34">
        <f>O67/'D) Ecrêtage'!C67</f>
        <v>-8.6202415353014068</v>
      </c>
      <c r="Q67" s="132"/>
    </row>
    <row r="68" spans="1:17" x14ac:dyDescent="0.25">
      <c r="A68" s="50">
        <f>+'A) Base RI'!A70</f>
        <v>5499</v>
      </c>
      <c r="B68" s="308" t="str">
        <f>+'A) Base RI'!B70</f>
        <v>Senarclens</v>
      </c>
      <c r="C68" s="322">
        <f>+'D) Ecrêtage'!C68</f>
        <v>20155.097956204383</v>
      </c>
      <c r="D68" s="300">
        <v>127712</v>
      </c>
      <c r="E68" s="322">
        <v>16130</v>
      </c>
      <c r="F68" s="300">
        <v>49618</v>
      </c>
      <c r="G68" s="322">
        <f t="shared" si="0"/>
        <v>193460</v>
      </c>
      <c r="H68" s="300">
        <f t="shared" si="1"/>
        <v>161240.78364963506</v>
      </c>
      <c r="I68" s="10">
        <f t="shared" si="2"/>
        <v>32219.216350364935</v>
      </c>
      <c r="J68" s="319">
        <f t="shared" si="3"/>
        <v>-24164.412262773702</v>
      </c>
      <c r="K68" s="14">
        <v>18566</v>
      </c>
      <c r="L68" s="10">
        <f t="shared" si="4"/>
        <v>20155.097956204383</v>
      </c>
      <c r="M68" s="14">
        <f t="shared" si="5"/>
        <v>0</v>
      </c>
      <c r="N68" s="2">
        <f t="shared" si="6"/>
        <v>0</v>
      </c>
      <c r="O68" s="136">
        <f t="shared" si="7"/>
        <v>-24164.412262773702</v>
      </c>
      <c r="P68" s="34">
        <f>O68/'D) Ecrêtage'!C68</f>
        <v>-1.1989230871157897</v>
      </c>
      <c r="Q68" s="132"/>
    </row>
    <row r="69" spans="1:17" x14ac:dyDescent="0.25">
      <c r="A69" s="50">
        <f>+'A) Base RI'!A71</f>
        <v>5500</v>
      </c>
      <c r="B69" s="308" t="str">
        <f>+'A) Base RI'!B71</f>
        <v>Sévery</v>
      </c>
      <c r="C69" s="322">
        <f>+'D) Ecrêtage'!C69</f>
        <v>8930.8127555555548</v>
      </c>
      <c r="D69" s="300">
        <v>42018</v>
      </c>
      <c r="E69" s="322">
        <v>12666</v>
      </c>
      <c r="F69" s="300">
        <v>26292</v>
      </c>
      <c r="G69" s="322">
        <f t="shared" si="0"/>
        <v>80976</v>
      </c>
      <c r="H69" s="300">
        <f t="shared" si="1"/>
        <v>71446.502044444438</v>
      </c>
      <c r="I69" s="10">
        <f t="shared" si="2"/>
        <v>9529.4979555555619</v>
      </c>
      <c r="J69" s="319">
        <f t="shared" si="3"/>
        <v>-7147.1234666666714</v>
      </c>
      <c r="K69" s="14">
        <v>4612</v>
      </c>
      <c r="L69" s="10">
        <f t="shared" si="4"/>
        <v>8930.8127555555548</v>
      </c>
      <c r="M69" s="14">
        <f t="shared" si="5"/>
        <v>0</v>
      </c>
      <c r="N69" s="2">
        <f t="shared" si="6"/>
        <v>0</v>
      </c>
      <c r="O69" s="136">
        <f t="shared" si="7"/>
        <v>-7147.1234666666714</v>
      </c>
      <c r="P69" s="34">
        <f>O69/'D) Ecrêtage'!C69</f>
        <v>-0.80027693585006465</v>
      </c>
      <c r="Q69" s="132"/>
    </row>
    <row r="70" spans="1:17" x14ac:dyDescent="0.25">
      <c r="A70" s="50">
        <f>+'A) Base RI'!A72</f>
        <v>5501</v>
      </c>
      <c r="B70" s="308" t="str">
        <f>+'A) Base RI'!B72</f>
        <v>Sullens</v>
      </c>
      <c r="C70" s="322">
        <f>+'D) Ecrêtage'!C70</f>
        <v>34225.937428571429</v>
      </c>
      <c r="D70" s="300">
        <v>265127</v>
      </c>
      <c r="E70" s="322">
        <v>28818</v>
      </c>
      <c r="F70" s="300">
        <v>44561</v>
      </c>
      <c r="G70" s="322">
        <f t="shared" ref="G70:G133" si="8">SUM(D70:F70)</f>
        <v>338506</v>
      </c>
      <c r="H70" s="300">
        <f t="shared" ref="H70:H133" si="9">+C70*$I$4</f>
        <v>273807.49942857143</v>
      </c>
      <c r="I70" s="10">
        <f t="shared" ref="I70:I133" si="10">IF(G70&gt;H70,G70-H70,0)</f>
        <v>64698.500571428565</v>
      </c>
      <c r="J70" s="319">
        <f t="shared" ref="J70:J133" si="11">-I70*J$4</f>
        <v>-48523.875428571424</v>
      </c>
      <c r="K70" s="14">
        <v>53066</v>
      </c>
      <c r="L70" s="10">
        <f t="shared" ref="L70:L133" si="12">C70*M$4</f>
        <v>34225.937428571429</v>
      </c>
      <c r="M70" s="14">
        <f t="shared" ref="M70:M133" si="13">IF(K70&gt;L70,K70-L70,0)</f>
        <v>18840.062571428571</v>
      </c>
      <c r="N70" s="2">
        <f t="shared" ref="N70:N133" si="14">-M70*N$4</f>
        <v>-14130.046928571428</v>
      </c>
      <c r="O70" s="136">
        <f t="shared" ref="O70:O133" si="15">N70+J70</f>
        <v>-62653.922357142852</v>
      </c>
      <c r="P70" s="34">
        <f>O70/'D) Ecrêtage'!C70</f>
        <v>-1.8305977005859906</v>
      </c>
      <c r="Q70" s="132"/>
    </row>
    <row r="71" spans="1:17" x14ac:dyDescent="0.25">
      <c r="A71" s="50">
        <f>+'A) Base RI'!A73</f>
        <v>5503</v>
      </c>
      <c r="B71" s="308" t="str">
        <f>+'A) Base RI'!B73</f>
        <v>Vufflens-la-Ville</v>
      </c>
      <c r="C71" s="322">
        <f>+'D) Ecrêtage'!C71</f>
        <v>64516.192437810947</v>
      </c>
      <c r="D71" s="300">
        <v>144750</v>
      </c>
      <c r="E71" s="322">
        <v>108760</v>
      </c>
      <c r="F71" s="300">
        <v>130421</v>
      </c>
      <c r="G71" s="322">
        <f t="shared" si="8"/>
        <v>383931</v>
      </c>
      <c r="H71" s="300">
        <f t="shared" si="9"/>
        <v>516129.53950248758</v>
      </c>
      <c r="I71" s="10">
        <f t="shared" si="10"/>
        <v>0</v>
      </c>
      <c r="J71" s="319">
        <f t="shared" si="11"/>
        <v>0</v>
      </c>
      <c r="K71" s="14">
        <v>47162</v>
      </c>
      <c r="L71" s="10">
        <f t="shared" si="12"/>
        <v>64516.192437810947</v>
      </c>
      <c r="M71" s="14">
        <f t="shared" si="13"/>
        <v>0</v>
      </c>
      <c r="N71" s="2">
        <f t="shared" si="14"/>
        <v>0</v>
      </c>
      <c r="O71" s="136">
        <f t="shared" si="15"/>
        <v>0</v>
      </c>
      <c r="P71" s="34">
        <f>O71/'D) Ecrêtage'!C71</f>
        <v>0</v>
      </c>
      <c r="Q71" s="132"/>
    </row>
    <row r="72" spans="1:17" x14ac:dyDescent="0.25">
      <c r="A72" s="50">
        <f>+'A) Base RI'!A74</f>
        <v>5511</v>
      </c>
      <c r="B72" s="308" t="str">
        <f>+'A) Base RI'!B74</f>
        <v>Assens</v>
      </c>
      <c r="C72" s="322">
        <f>+'D) Ecrêtage'!C72</f>
        <v>48081.721857142853</v>
      </c>
      <c r="D72" s="300">
        <v>392724</v>
      </c>
      <c r="E72" s="322">
        <v>78087</v>
      </c>
      <c r="F72" s="300">
        <v>95866</v>
      </c>
      <c r="G72" s="322">
        <f t="shared" si="8"/>
        <v>566677</v>
      </c>
      <c r="H72" s="300">
        <f t="shared" si="9"/>
        <v>384653.77485714282</v>
      </c>
      <c r="I72" s="10">
        <f t="shared" si="10"/>
        <v>182023.22514285718</v>
      </c>
      <c r="J72" s="319">
        <f t="shared" si="11"/>
        <v>-136517.41885714288</v>
      </c>
      <c r="K72" s="14">
        <v>-1817</v>
      </c>
      <c r="L72" s="10">
        <f t="shared" si="12"/>
        <v>48081.721857142853</v>
      </c>
      <c r="M72" s="14">
        <f t="shared" si="13"/>
        <v>0</v>
      </c>
      <c r="N72" s="2">
        <f t="shared" si="14"/>
        <v>0</v>
      </c>
      <c r="O72" s="136">
        <f t="shared" si="15"/>
        <v>-136517.41885714288</v>
      </c>
      <c r="P72" s="34">
        <f>O72/'D) Ecrêtage'!C72</f>
        <v>-2.839278910658694</v>
      </c>
      <c r="Q72" s="132"/>
    </row>
    <row r="73" spans="1:17" x14ac:dyDescent="0.25">
      <c r="A73" s="50">
        <f>+'A) Base RI'!A75</f>
        <v>5512</v>
      </c>
      <c r="B73" s="308" t="str">
        <f>+'A) Base RI'!B75</f>
        <v>Bercher</v>
      </c>
      <c r="C73" s="322">
        <f>+'D) Ecrêtage'!C73</f>
        <v>37529.742911392401</v>
      </c>
      <c r="D73" s="300">
        <v>346100</v>
      </c>
      <c r="E73" s="322">
        <v>85233</v>
      </c>
      <c r="F73" s="300">
        <v>104639</v>
      </c>
      <c r="G73" s="322">
        <f t="shared" si="8"/>
        <v>535972</v>
      </c>
      <c r="H73" s="300">
        <f t="shared" si="9"/>
        <v>300237.94329113921</v>
      </c>
      <c r="I73" s="10">
        <f t="shared" si="10"/>
        <v>235734.05670886079</v>
      </c>
      <c r="J73" s="319">
        <f t="shared" si="11"/>
        <v>-176800.54253164559</v>
      </c>
      <c r="K73" s="14">
        <v>31144</v>
      </c>
      <c r="L73" s="10">
        <f t="shared" si="12"/>
        <v>37529.742911392401</v>
      </c>
      <c r="M73" s="14">
        <f t="shared" si="13"/>
        <v>0</v>
      </c>
      <c r="N73" s="2">
        <f t="shared" si="14"/>
        <v>0</v>
      </c>
      <c r="O73" s="136">
        <f t="shared" si="15"/>
        <v>-176800.54253164559</v>
      </c>
      <c r="P73" s="34">
        <f>O73/'D) Ecrêtage'!C73</f>
        <v>-4.7109446752425423</v>
      </c>
      <c r="Q73" s="132"/>
    </row>
    <row r="74" spans="1:17" x14ac:dyDescent="0.25">
      <c r="A74" s="50">
        <f>+'A) Base RI'!A76</f>
        <v>5513</v>
      </c>
      <c r="B74" s="308" t="str">
        <f>+'A) Base RI'!B76</f>
        <v>Bioley-Orjulaz</v>
      </c>
      <c r="C74" s="322">
        <f>+'D) Ecrêtage'!C74</f>
        <v>21045.596470588232</v>
      </c>
      <c r="D74" s="300">
        <v>145845</v>
      </c>
      <c r="E74" s="322">
        <v>14232</v>
      </c>
      <c r="F74" s="300">
        <v>43682</v>
      </c>
      <c r="G74" s="322">
        <f t="shared" si="8"/>
        <v>203759</v>
      </c>
      <c r="H74" s="300">
        <f t="shared" si="9"/>
        <v>168364.77176470586</v>
      </c>
      <c r="I74" s="10">
        <f t="shared" si="10"/>
        <v>35394.22823529414</v>
      </c>
      <c r="J74" s="319">
        <f t="shared" si="11"/>
        <v>-26545.671176470605</v>
      </c>
      <c r="K74" s="14">
        <v>-6426</v>
      </c>
      <c r="L74" s="10">
        <f t="shared" si="12"/>
        <v>21045.596470588232</v>
      </c>
      <c r="M74" s="14">
        <f t="shared" si="13"/>
        <v>0</v>
      </c>
      <c r="N74" s="2">
        <f t="shared" si="14"/>
        <v>0</v>
      </c>
      <c r="O74" s="136">
        <f t="shared" si="15"/>
        <v>-26545.671176470605</v>
      </c>
      <c r="P74" s="34">
        <f>O74/'D) Ecrêtage'!C74</f>
        <v>-1.2613408801964283</v>
      </c>
      <c r="Q74" s="132"/>
    </row>
    <row r="75" spans="1:17" x14ac:dyDescent="0.25">
      <c r="A75" s="50">
        <f>+'A) Base RI'!A77</f>
        <v>5514</v>
      </c>
      <c r="B75" s="308" t="str">
        <f>+'A) Base RI'!B77</f>
        <v>Bottens</v>
      </c>
      <c r="C75" s="322">
        <f>+'D) Ecrêtage'!C75</f>
        <v>40912.963623188407</v>
      </c>
      <c r="D75" s="300">
        <v>121396</v>
      </c>
      <c r="E75" s="322">
        <v>54808</v>
      </c>
      <c r="F75" s="300">
        <v>112146</v>
      </c>
      <c r="G75" s="322">
        <f t="shared" si="8"/>
        <v>288350</v>
      </c>
      <c r="H75" s="300">
        <f t="shared" si="9"/>
        <v>327303.70898550726</v>
      </c>
      <c r="I75" s="10">
        <f t="shared" si="10"/>
        <v>0</v>
      </c>
      <c r="J75" s="319">
        <f t="shared" si="11"/>
        <v>0</v>
      </c>
      <c r="K75" s="14">
        <v>15613</v>
      </c>
      <c r="L75" s="10">
        <f t="shared" si="12"/>
        <v>40912.963623188407</v>
      </c>
      <c r="M75" s="14">
        <f t="shared" si="13"/>
        <v>0</v>
      </c>
      <c r="N75" s="2">
        <f t="shared" si="14"/>
        <v>0</v>
      </c>
      <c r="O75" s="136">
        <f t="shared" si="15"/>
        <v>0</v>
      </c>
      <c r="P75" s="34">
        <f>O75/'D) Ecrêtage'!C75</f>
        <v>0</v>
      </c>
      <c r="Q75" s="132"/>
    </row>
    <row r="76" spans="1:17" x14ac:dyDescent="0.25">
      <c r="A76" s="50">
        <f>+'A) Base RI'!A78</f>
        <v>5515</v>
      </c>
      <c r="B76" s="308" t="str">
        <f>+'A) Base RI'!B78</f>
        <v>Bretigny-sur-Morrens</v>
      </c>
      <c r="C76" s="322">
        <f>+'D) Ecrêtage'!C76</f>
        <v>27693.425342465755</v>
      </c>
      <c r="D76" s="300">
        <v>194093</v>
      </c>
      <c r="E76" s="322">
        <v>36111</v>
      </c>
      <c r="F76" s="300">
        <v>52184</v>
      </c>
      <c r="G76" s="322">
        <f t="shared" si="8"/>
        <v>282388</v>
      </c>
      <c r="H76" s="300">
        <f t="shared" si="9"/>
        <v>221547.40273972604</v>
      </c>
      <c r="I76" s="10">
        <f t="shared" si="10"/>
        <v>60840.597260273964</v>
      </c>
      <c r="J76" s="319">
        <f t="shared" si="11"/>
        <v>-45630.447945205473</v>
      </c>
      <c r="K76" s="14">
        <v>11112</v>
      </c>
      <c r="L76" s="10">
        <f t="shared" si="12"/>
        <v>27693.425342465755</v>
      </c>
      <c r="M76" s="14">
        <f t="shared" si="13"/>
        <v>0</v>
      </c>
      <c r="N76" s="2">
        <f t="shared" si="14"/>
        <v>0</v>
      </c>
      <c r="O76" s="136">
        <f t="shared" si="15"/>
        <v>-45630.447945205473</v>
      </c>
      <c r="P76" s="34">
        <f>O76/'D) Ecrêtage'!C76</f>
        <v>-1.6476996753173274</v>
      </c>
      <c r="Q76" s="132"/>
    </row>
    <row r="77" spans="1:17" x14ac:dyDescent="0.25">
      <c r="A77" s="50">
        <f>+'A) Base RI'!A79</f>
        <v>5516</v>
      </c>
      <c r="B77" s="308" t="str">
        <f>+'A) Base RI'!B79</f>
        <v>Cugy</v>
      </c>
      <c r="C77" s="322">
        <f>+'D) Ecrêtage'!C77</f>
        <v>110018.3817142857</v>
      </c>
      <c r="D77" s="300">
        <v>914915</v>
      </c>
      <c r="E77" s="322">
        <v>121064</v>
      </c>
      <c r="F77" s="300">
        <v>201420</v>
      </c>
      <c r="G77" s="322">
        <f t="shared" si="8"/>
        <v>1237399</v>
      </c>
      <c r="H77" s="300">
        <f t="shared" si="9"/>
        <v>880147.0537142856</v>
      </c>
      <c r="I77" s="10">
        <f t="shared" si="10"/>
        <v>357251.9462857144</v>
      </c>
      <c r="J77" s="319">
        <f t="shared" si="11"/>
        <v>-267938.9597142858</v>
      </c>
      <c r="K77" s="14">
        <v>22124</v>
      </c>
      <c r="L77" s="10">
        <f t="shared" si="12"/>
        <v>110018.3817142857</v>
      </c>
      <c r="M77" s="14">
        <f t="shared" si="13"/>
        <v>0</v>
      </c>
      <c r="N77" s="2">
        <f t="shared" si="14"/>
        <v>0</v>
      </c>
      <c r="O77" s="136">
        <f t="shared" si="15"/>
        <v>-267938.9597142858</v>
      </c>
      <c r="P77" s="34">
        <f>O77/'D) Ecrêtage'!C77</f>
        <v>-2.4354017532280641</v>
      </c>
      <c r="Q77" s="132"/>
    </row>
    <row r="78" spans="1:17" x14ac:dyDescent="0.25">
      <c r="A78" s="50">
        <f>+'A) Base RI'!A80</f>
        <v>5518</v>
      </c>
      <c r="B78" s="308" t="str">
        <f>+'A) Base RI'!B80</f>
        <v>Echallens</v>
      </c>
      <c r="C78" s="322">
        <f>+'D) Ecrêtage'!C78</f>
        <v>186251.15094594596</v>
      </c>
      <c r="D78" s="300">
        <v>1985497</v>
      </c>
      <c r="E78" s="322">
        <v>418206</v>
      </c>
      <c r="F78" s="300">
        <v>513428</v>
      </c>
      <c r="G78" s="322">
        <f t="shared" si="8"/>
        <v>2917131</v>
      </c>
      <c r="H78" s="300">
        <f t="shared" si="9"/>
        <v>1490009.2075675677</v>
      </c>
      <c r="I78" s="10">
        <f t="shared" si="10"/>
        <v>1427121.7924324323</v>
      </c>
      <c r="J78" s="319">
        <f t="shared" si="11"/>
        <v>-1070341.3443243243</v>
      </c>
      <c r="K78" s="14">
        <v>72024</v>
      </c>
      <c r="L78" s="10">
        <f t="shared" si="12"/>
        <v>186251.15094594596</v>
      </c>
      <c r="M78" s="14">
        <f t="shared" si="13"/>
        <v>0</v>
      </c>
      <c r="N78" s="2">
        <f t="shared" si="14"/>
        <v>0</v>
      </c>
      <c r="O78" s="136">
        <f t="shared" si="15"/>
        <v>-1070341.3443243243</v>
      </c>
      <c r="P78" s="34">
        <f>O78/'D) Ecrêtage'!C78</f>
        <v>-5.7467636515972993</v>
      </c>
      <c r="Q78" s="132"/>
    </row>
    <row r="79" spans="1:17" x14ac:dyDescent="0.25">
      <c r="A79" s="50">
        <f>+'A) Base RI'!A81</f>
        <v>5520</v>
      </c>
      <c r="B79" s="308" t="str">
        <f>+'A) Base RI'!B81</f>
        <v>Essertines-sur-Yverdon</v>
      </c>
      <c r="C79" s="322">
        <f>+'D) Ecrêtage'!C79</f>
        <v>32026.22082191781</v>
      </c>
      <c r="D79" s="300">
        <v>361457</v>
      </c>
      <c r="E79" s="322">
        <v>57323</v>
      </c>
      <c r="F79" s="300">
        <v>85285</v>
      </c>
      <c r="G79" s="322">
        <f t="shared" si="8"/>
        <v>504065</v>
      </c>
      <c r="H79" s="300">
        <f t="shared" si="9"/>
        <v>256209.76657534248</v>
      </c>
      <c r="I79" s="10">
        <f t="shared" si="10"/>
        <v>247855.23342465752</v>
      </c>
      <c r="J79" s="319">
        <f t="shared" si="11"/>
        <v>-185891.42506849315</v>
      </c>
      <c r="K79" s="14">
        <v>95318</v>
      </c>
      <c r="L79" s="10">
        <f t="shared" si="12"/>
        <v>32026.22082191781</v>
      </c>
      <c r="M79" s="14">
        <f t="shared" si="13"/>
        <v>63291.779178082186</v>
      </c>
      <c r="N79" s="2">
        <f t="shared" si="14"/>
        <v>-47468.83438356164</v>
      </c>
      <c r="O79" s="136">
        <f t="shared" si="15"/>
        <v>-233360.2594520548</v>
      </c>
      <c r="P79" s="34">
        <f>O79/'D) Ecrêtage'!C79</f>
        <v>-7.2865375140469233</v>
      </c>
      <c r="Q79" s="132"/>
    </row>
    <row r="80" spans="1:17" x14ac:dyDescent="0.25">
      <c r="A80" s="50">
        <f>+'A) Base RI'!A82</f>
        <v>5521</v>
      </c>
      <c r="B80" s="308" t="str">
        <f>+'A) Base RI'!B82</f>
        <v>Etagnières</v>
      </c>
      <c r="C80" s="322">
        <f>+'D) Ecrêtage'!C80</f>
        <v>40939.440821917808</v>
      </c>
      <c r="D80" s="300">
        <v>145453</v>
      </c>
      <c r="E80" s="322">
        <v>82360</v>
      </c>
      <c r="F80" s="300">
        <v>101112</v>
      </c>
      <c r="G80" s="322">
        <f t="shared" si="8"/>
        <v>328925</v>
      </c>
      <c r="H80" s="300">
        <f t="shared" si="9"/>
        <v>327515.52657534246</v>
      </c>
      <c r="I80" s="10">
        <f t="shared" si="10"/>
        <v>1409.473424657539</v>
      </c>
      <c r="J80" s="319">
        <f t="shared" si="11"/>
        <v>-1057.1050684931542</v>
      </c>
      <c r="K80" s="14">
        <v>-541</v>
      </c>
      <c r="L80" s="10">
        <f t="shared" si="12"/>
        <v>40939.440821917808</v>
      </c>
      <c r="M80" s="14">
        <f t="shared" si="13"/>
        <v>0</v>
      </c>
      <c r="N80" s="2">
        <f t="shared" si="14"/>
        <v>0</v>
      </c>
      <c r="O80" s="136">
        <f t="shared" si="15"/>
        <v>-1057.1050684931542</v>
      </c>
      <c r="P80" s="34">
        <f>O80/'D) Ecrêtage'!C80</f>
        <v>-2.5821189719992716E-2</v>
      </c>
      <c r="Q80" s="132"/>
    </row>
    <row r="81" spans="1:17" x14ac:dyDescent="0.25">
      <c r="A81" s="50">
        <f>+'A) Base RI'!A83</f>
        <v>5522</v>
      </c>
      <c r="B81" s="308" t="str">
        <f>+'A) Base RI'!B83</f>
        <v>Fey</v>
      </c>
      <c r="C81" s="322">
        <f>+'D) Ecrêtage'!C81</f>
        <v>20215.813200000001</v>
      </c>
      <c r="D81" s="300">
        <v>65879</v>
      </c>
      <c r="E81" s="322">
        <v>51272</v>
      </c>
      <c r="F81" s="300">
        <v>63580</v>
      </c>
      <c r="G81" s="322">
        <f t="shared" si="8"/>
        <v>180731</v>
      </c>
      <c r="H81" s="300">
        <f t="shared" si="9"/>
        <v>161726.5056</v>
      </c>
      <c r="I81" s="10">
        <f t="shared" si="10"/>
        <v>19004.494399999996</v>
      </c>
      <c r="J81" s="319">
        <f t="shared" si="11"/>
        <v>-14253.370799999997</v>
      </c>
      <c r="K81" s="14">
        <v>26890</v>
      </c>
      <c r="L81" s="10">
        <f t="shared" si="12"/>
        <v>20215.813200000001</v>
      </c>
      <c r="M81" s="14">
        <f t="shared" si="13"/>
        <v>6674.1867999999995</v>
      </c>
      <c r="N81" s="2">
        <f t="shared" si="14"/>
        <v>-5005.6400999999996</v>
      </c>
      <c r="O81" s="136">
        <f t="shared" si="15"/>
        <v>-19259.010899999997</v>
      </c>
      <c r="P81" s="34">
        <f>O81/'D) Ecrêtage'!C81</f>
        <v>-0.95267060045845675</v>
      </c>
      <c r="Q81" s="132"/>
    </row>
    <row r="82" spans="1:17" x14ac:dyDescent="0.25">
      <c r="A82" s="50">
        <f>+'A) Base RI'!A84</f>
        <v>5523</v>
      </c>
      <c r="B82" s="308" t="str">
        <f>+'A) Base RI'!B84</f>
        <v>Froideville</v>
      </c>
      <c r="C82" s="322">
        <f>+'D) Ecrêtage'!C82</f>
        <v>83831.156184210529</v>
      </c>
      <c r="D82" s="300">
        <v>579342</v>
      </c>
      <c r="E82" s="322">
        <v>108688</v>
      </c>
      <c r="F82" s="300">
        <v>180937</v>
      </c>
      <c r="G82" s="322">
        <f t="shared" si="8"/>
        <v>868967</v>
      </c>
      <c r="H82" s="300">
        <f t="shared" si="9"/>
        <v>670649.24947368423</v>
      </c>
      <c r="I82" s="10">
        <f t="shared" si="10"/>
        <v>198317.75052631577</v>
      </c>
      <c r="J82" s="319">
        <f t="shared" si="11"/>
        <v>-148738.31289473682</v>
      </c>
      <c r="K82" s="14">
        <v>28249</v>
      </c>
      <c r="L82" s="10">
        <f t="shared" si="12"/>
        <v>83831.156184210529</v>
      </c>
      <c r="M82" s="14">
        <f t="shared" si="13"/>
        <v>0</v>
      </c>
      <c r="N82" s="2">
        <f t="shared" si="14"/>
        <v>0</v>
      </c>
      <c r="O82" s="136">
        <f t="shared" si="15"/>
        <v>-148738.31289473682</v>
      </c>
      <c r="P82" s="34">
        <f>O82/'D) Ecrêtage'!C82</f>
        <v>-1.7742605454217921</v>
      </c>
      <c r="Q82" s="132"/>
    </row>
    <row r="83" spans="1:17" x14ac:dyDescent="0.25">
      <c r="A83" s="50">
        <f>+'A) Base RI'!A85</f>
        <v>5527</v>
      </c>
      <c r="B83" s="308" t="str">
        <f>+'A) Base RI'!B85</f>
        <v>Morrens</v>
      </c>
      <c r="C83" s="322">
        <f>+'D) Ecrêtage'!C83</f>
        <v>39666.797042253522</v>
      </c>
      <c r="D83" s="300">
        <v>260062</v>
      </c>
      <c r="E83" s="322">
        <v>31647</v>
      </c>
      <c r="F83" s="300">
        <v>65352</v>
      </c>
      <c r="G83" s="322">
        <f t="shared" si="8"/>
        <v>357061</v>
      </c>
      <c r="H83" s="300">
        <f t="shared" si="9"/>
        <v>317334.37633802817</v>
      </c>
      <c r="I83" s="10">
        <f t="shared" si="10"/>
        <v>39726.623661971826</v>
      </c>
      <c r="J83" s="319">
        <f t="shared" si="11"/>
        <v>-29794.967746478869</v>
      </c>
      <c r="K83" s="14">
        <v>9589</v>
      </c>
      <c r="L83" s="10">
        <f t="shared" si="12"/>
        <v>39666.797042253522</v>
      </c>
      <c r="M83" s="14">
        <f t="shared" si="13"/>
        <v>0</v>
      </c>
      <c r="N83" s="2">
        <f t="shared" si="14"/>
        <v>0</v>
      </c>
      <c r="O83" s="136">
        <f t="shared" si="15"/>
        <v>-29794.967746478869</v>
      </c>
      <c r="P83" s="34">
        <f>O83/'D) Ecrêtage'!C83</f>
        <v>-0.75113117186499656</v>
      </c>
      <c r="Q83" s="132"/>
    </row>
    <row r="84" spans="1:17" x14ac:dyDescent="0.25">
      <c r="A84" s="50">
        <f>+'A) Base RI'!A86</f>
        <v>5529</v>
      </c>
      <c r="B84" s="308" t="str">
        <f>+'A) Base RI'!B86</f>
        <v>Oulens-sous-Echallens</v>
      </c>
      <c r="C84" s="322">
        <f>+'D) Ecrêtage'!C84</f>
        <v>20224.362535211272</v>
      </c>
      <c r="D84" s="300">
        <v>251656</v>
      </c>
      <c r="E84" s="322">
        <v>16501</v>
      </c>
      <c r="F84" s="300">
        <v>50646</v>
      </c>
      <c r="G84" s="322">
        <f t="shared" si="8"/>
        <v>318803</v>
      </c>
      <c r="H84" s="300">
        <f t="shared" si="9"/>
        <v>161794.90028169018</v>
      </c>
      <c r="I84" s="10">
        <f t="shared" si="10"/>
        <v>157008.09971830982</v>
      </c>
      <c r="J84" s="319">
        <f t="shared" si="11"/>
        <v>-117756.07478873237</v>
      </c>
      <c r="K84" s="14">
        <v>26799</v>
      </c>
      <c r="L84" s="10">
        <f t="shared" si="12"/>
        <v>20224.362535211272</v>
      </c>
      <c r="M84" s="14">
        <f t="shared" si="13"/>
        <v>6574.6374647887278</v>
      </c>
      <c r="N84" s="2">
        <f t="shared" si="14"/>
        <v>-4930.9780985915459</v>
      </c>
      <c r="O84" s="136">
        <f t="shared" si="15"/>
        <v>-122687.05288732391</v>
      </c>
      <c r="P84" s="34">
        <f>O84/'D) Ecrêtage'!C84</f>
        <v>-6.0663001206451757</v>
      </c>
      <c r="Q84" s="132"/>
    </row>
    <row r="85" spans="1:17" x14ac:dyDescent="0.25">
      <c r="A85" s="50">
        <f>+'A) Base RI'!A87</f>
        <v>5530</v>
      </c>
      <c r="B85" s="308" t="str">
        <f>+'A) Base RI'!B87</f>
        <v>Pailly</v>
      </c>
      <c r="C85" s="322">
        <f>+'D) Ecrêtage'!C85</f>
        <v>16275.145870967741</v>
      </c>
      <c r="D85" s="300">
        <v>766710</v>
      </c>
      <c r="E85" s="322">
        <v>15735</v>
      </c>
      <c r="F85" s="300">
        <v>48295</v>
      </c>
      <c r="G85" s="322">
        <f t="shared" si="8"/>
        <v>830740</v>
      </c>
      <c r="H85" s="300">
        <f t="shared" si="9"/>
        <v>130201.16696774193</v>
      </c>
      <c r="I85" s="10">
        <f t="shared" si="10"/>
        <v>700538.83303225809</v>
      </c>
      <c r="J85" s="319">
        <f t="shared" si="11"/>
        <v>-525404.12477419362</v>
      </c>
      <c r="K85" s="14">
        <v>41221</v>
      </c>
      <c r="L85" s="10">
        <f t="shared" si="12"/>
        <v>16275.145870967741</v>
      </c>
      <c r="M85" s="14">
        <f t="shared" si="13"/>
        <v>24945.854129032261</v>
      </c>
      <c r="N85" s="2">
        <f t="shared" si="14"/>
        <v>-18709.390596774196</v>
      </c>
      <c r="O85" s="136">
        <f t="shared" si="15"/>
        <v>-544113.5153709678</v>
      </c>
      <c r="P85" s="34">
        <f>O85/'D) Ecrêtage'!C85</f>
        <v>-33.432174413968191</v>
      </c>
      <c r="Q85" s="132"/>
    </row>
    <row r="86" spans="1:17" x14ac:dyDescent="0.25">
      <c r="A86" s="50">
        <f>+'A) Base RI'!A88</f>
        <v>5531</v>
      </c>
      <c r="B86" s="308" t="str">
        <f>+'A) Base RI'!B88</f>
        <v>Penthéréaz</v>
      </c>
      <c r="C86" s="322">
        <f>+'D) Ecrêtage'!C86</f>
        <v>13115.607307692309</v>
      </c>
      <c r="D86" s="300">
        <v>121584</v>
      </c>
      <c r="E86" s="322">
        <v>12111</v>
      </c>
      <c r="F86" s="300">
        <v>37171</v>
      </c>
      <c r="G86" s="322">
        <f t="shared" si="8"/>
        <v>170866</v>
      </c>
      <c r="H86" s="300">
        <f t="shared" si="9"/>
        <v>104924.85846153848</v>
      </c>
      <c r="I86" s="10">
        <f t="shared" si="10"/>
        <v>65941.141538461525</v>
      </c>
      <c r="J86" s="319">
        <f t="shared" si="11"/>
        <v>-49455.856153846144</v>
      </c>
      <c r="K86" s="14">
        <v>27885</v>
      </c>
      <c r="L86" s="10">
        <f t="shared" si="12"/>
        <v>13115.607307692309</v>
      </c>
      <c r="M86" s="14">
        <f t="shared" si="13"/>
        <v>14769.392692307691</v>
      </c>
      <c r="N86" s="2">
        <f t="shared" si="14"/>
        <v>-11077.044519230767</v>
      </c>
      <c r="O86" s="136">
        <f t="shared" si="15"/>
        <v>-60532.900673076911</v>
      </c>
      <c r="P86" s="34">
        <f>O86/'D) Ecrêtage'!C86</f>
        <v>-4.6153334155997747</v>
      </c>
      <c r="Q86" s="132"/>
    </row>
    <row r="87" spans="1:17" x14ac:dyDescent="0.25">
      <c r="A87" s="50">
        <f>+'A) Base RI'!A89</f>
        <v>5533</v>
      </c>
      <c r="B87" s="308" t="str">
        <f>+'A) Base RI'!B89</f>
        <v>Poliez-Pittet</v>
      </c>
      <c r="C87" s="322">
        <f>+'D) Ecrêtage'!C87</f>
        <v>27509.250422535213</v>
      </c>
      <c r="D87" s="300">
        <v>162089</v>
      </c>
      <c r="E87" s="322">
        <v>24870</v>
      </c>
      <c r="F87" s="300">
        <v>76784</v>
      </c>
      <c r="G87" s="322">
        <f t="shared" si="8"/>
        <v>263743</v>
      </c>
      <c r="H87" s="300">
        <f t="shared" si="9"/>
        <v>220074.00338028171</v>
      </c>
      <c r="I87" s="10">
        <f t="shared" si="10"/>
        <v>43668.996619718295</v>
      </c>
      <c r="J87" s="319">
        <f t="shared" si="11"/>
        <v>-32751.747464788721</v>
      </c>
      <c r="K87" s="14">
        <v>45134</v>
      </c>
      <c r="L87" s="10">
        <f t="shared" si="12"/>
        <v>27509.250422535213</v>
      </c>
      <c r="M87" s="14">
        <f t="shared" si="13"/>
        <v>17624.749577464787</v>
      </c>
      <c r="N87" s="2">
        <f t="shared" si="14"/>
        <v>-13218.562183098591</v>
      </c>
      <c r="O87" s="136">
        <f t="shared" si="15"/>
        <v>-45970.309647887312</v>
      </c>
      <c r="P87" s="34">
        <f>O87/'D) Ecrêtage'!C87</f>
        <v>-1.6710855054861489</v>
      </c>
      <c r="Q87" s="132"/>
    </row>
    <row r="88" spans="1:17" x14ac:dyDescent="0.25">
      <c r="A88" s="50">
        <f>+'A) Base RI'!A90</f>
        <v>5534</v>
      </c>
      <c r="B88" s="308" t="str">
        <f>+'A) Base RI'!B90</f>
        <v>Rueyres</v>
      </c>
      <c r="C88" s="322">
        <f>+'D) Ecrêtage'!C88</f>
        <v>9282.5224657534254</v>
      </c>
      <c r="D88" s="300">
        <v>61107</v>
      </c>
      <c r="E88" s="322">
        <v>15971</v>
      </c>
      <c r="F88" s="300">
        <v>24509</v>
      </c>
      <c r="G88" s="322">
        <f t="shared" si="8"/>
        <v>101587</v>
      </c>
      <c r="H88" s="300">
        <f t="shared" si="9"/>
        <v>74260.179726027403</v>
      </c>
      <c r="I88" s="10">
        <f t="shared" si="10"/>
        <v>27326.820273972597</v>
      </c>
      <c r="J88" s="319">
        <f t="shared" si="11"/>
        <v>-20495.115205479447</v>
      </c>
      <c r="K88" s="14">
        <v>10485</v>
      </c>
      <c r="L88" s="10">
        <f t="shared" si="12"/>
        <v>9282.5224657534254</v>
      </c>
      <c r="M88" s="14">
        <f t="shared" si="13"/>
        <v>1202.4775342465746</v>
      </c>
      <c r="N88" s="2">
        <f t="shared" si="14"/>
        <v>-901.85815068493093</v>
      </c>
      <c r="O88" s="136">
        <f t="shared" si="15"/>
        <v>-21396.973356164377</v>
      </c>
      <c r="P88" s="34">
        <f>O88/'D) Ecrêtage'!C88</f>
        <v>-2.3050817743889693</v>
      </c>
      <c r="Q88" s="132"/>
    </row>
    <row r="89" spans="1:17" x14ac:dyDescent="0.25">
      <c r="A89" s="50">
        <f>+'A) Base RI'!A91</f>
        <v>5535</v>
      </c>
      <c r="B89" s="308" t="str">
        <f>+'A) Base RI'!B91</f>
        <v>Saint-Barthélemy</v>
      </c>
      <c r="C89" s="322">
        <f>+'D) Ecrêtage'!C89</f>
        <v>23206.167922077926</v>
      </c>
      <c r="D89" s="300">
        <v>61931</v>
      </c>
      <c r="E89" s="322">
        <v>22896</v>
      </c>
      <c r="F89" s="300">
        <v>70272</v>
      </c>
      <c r="G89" s="322">
        <f t="shared" si="8"/>
        <v>155099</v>
      </c>
      <c r="H89" s="300">
        <f t="shared" si="9"/>
        <v>185649.34337662341</v>
      </c>
      <c r="I89" s="10">
        <f t="shared" si="10"/>
        <v>0</v>
      </c>
      <c r="J89" s="319">
        <f t="shared" si="11"/>
        <v>0</v>
      </c>
      <c r="K89" s="14">
        <v>7858</v>
      </c>
      <c r="L89" s="10">
        <f t="shared" si="12"/>
        <v>23206.167922077926</v>
      </c>
      <c r="M89" s="14">
        <f t="shared" si="13"/>
        <v>0</v>
      </c>
      <c r="N89" s="2">
        <f t="shared" si="14"/>
        <v>0</v>
      </c>
      <c r="O89" s="136">
        <f t="shared" si="15"/>
        <v>0</v>
      </c>
      <c r="P89" s="34">
        <f>O89/'D) Ecrêtage'!C89</f>
        <v>0</v>
      </c>
      <c r="Q89" s="132"/>
    </row>
    <row r="90" spans="1:17" x14ac:dyDescent="0.25">
      <c r="A90" s="50">
        <f>+'A) Base RI'!A92</f>
        <v>5537</v>
      </c>
      <c r="B90" s="308" t="str">
        <f>+'A) Base RI'!B92</f>
        <v>Villars-le-Terroir</v>
      </c>
      <c r="C90" s="322">
        <f>+'D) Ecrêtage'!C90</f>
        <v>33504.625479452057</v>
      </c>
      <c r="D90" s="300">
        <v>188066</v>
      </c>
      <c r="E90" s="322">
        <v>47117</v>
      </c>
      <c r="F90" s="300">
        <v>96409</v>
      </c>
      <c r="G90" s="322">
        <f t="shared" si="8"/>
        <v>331592</v>
      </c>
      <c r="H90" s="300">
        <f t="shared" si="9"/>
        <v>268037.00383561646</v>
      </c>
      <c r="I90" s="10">
        <f t="shared" si="10"/>
        <v>63554.996164383541</v>
      </c>
      <c r="J90" s="319">
        <f t="shared" si="11"/>
        <v>-47666.247123287656</v>
      </c>
      <c r="K90" s="14">
        <v>1393</v>
      </c>
      <c r="L90" s="10">
        <f t="shared" si="12"/>
        <v>33504.625479452057</v>
      </c>
      <c r="M90" s="14">
        <f t="shared" si="13"/>
        <v>0</v>
      </c>
      <c r="N90" s="2">
        <f t="shared" si="14"/>
        <v>0</v>
      </c>
      <c r="O90" s="136">
        <f t="shared" si="15"/>
        <v>-47666.247123287656</v>
      </c>
      <c r="P90" s="34">
        <f>O90/'D) Ecrêtage'!C90</f>
        <v>-1.422676613786378</v>
      </c>
      <c r="Q90" s="132"/>
    </row>
    <row r="91" spans="1:17" x14ac:dyDescent="0.25">
      <c r="A91" s="50">
        <f>+'A) Base RI'!A93</f>
        <v>5539</v>
      </c>
      <c r="B91" s="308" t="str">
        <f>+'A) Base RI'!B93</f>
        <v>Vuarrens</v>
      </c>
      <c r="C91" s="322">
        <f>+'D) Ecrêtage'!C91</f>
        <v>26926.432233333333</v>
      </c>
      <c r="D91" s="300">
        <f>511463-450000</f>
        <v>61463</v>
      </c>
      <c r="E91" s="322">
        <v>43891</v>
      </c>
      <c r="F91" s="300">
        <v>89807</v>
      </c>
      <c r="G91" s="322">
        <f t="shared" si="8"/>
        <v>195161</v>
      </c>
      <c r="H91" s="300">
        <f t="shared" si="9"/>
        <v>215411.45786666666</v>
      </c>
      <c r="I91" s="10">
        <f t="shared" si="10"/>
        <v>0</v>
      </c>
      <c r="J91" s="319">
        <f t="shared" si="11"/>
        <v>0</v>
      </c>
      <c r="K91" s="14">
        <v>81084</v>
      </c>
      <c r="L91" s="10">
        <f t="shared" si="12"/>
        <v>26926.432233333333</v>
      </c>
      <c r="M91" s="14">
        <f t="shared" si="13"/>
        <v>54157.567766666667</v>
      </c>
      <c r="N91" s="2">
        <f t="shared" si="14"/>
        <v>-40618.175824999998</v>
      </c>
      <c r="O91" s="136">
        <f t="shared" si="15"/>
        <v>-40618.175824999998</v>
      </c>
      <c r="P91" s="34">
        <f>O91/'D) Ecrêtage'!C91</f>
        <v>-1.5084871056447313</v>
      </c>
      <c r="Q91" s="132"/>
    </row>
    <row r="92" spans="1:17" x14ac:dyDescent="0.25">
      <c r="A92" s="50">
        <f>+'A) Base RI'!A94</f>
        <v>5540</v>
      </c>
      <c r="B92" s="308" t="str">
        <f>+'A) Base RI'!B94</f>
        <v>Montilliez</v>
      </c>
      <c r="C92" s="322">
        <f>+'D) Ecrêtage'!C92</f>
        <v>56983.650067567571</v>
      </c>
      <c r="D92" s="300">
        <v>525360</v>
      </c>
      <c r="E92" s="322">
        <v>125086</v>
      </c>
      <c r="F92" s="300">
        <v>153567</v>
      </c>
      <c r="G92" s="322">
        <f t="shared" si="8"/>
        <v>804013</v>
      </c>
      <c r="H92" s="300">
        <f t="shared" si="9"/>
        <v>455869.20054054057</v>
      </c>
      <c r="I92" s="10">
        <f t="shared" si="10"/>
        <v>348143.79945945943</v>
      </c>
      <c r="J92" s="319">
        <f t="shared" si="11"/>
        <v>-261107.84959459456</v>
      </c>
      <c r="K92" s="14">
        <v>106840</v>
      </c>
      <c r="L92" s="10">
        <f t="shared" si="12"/>
        <v>56983.650067567571</v>
      </c>
      <c r="M92" s="14">
        <f t="shared" si="13"/>
        <v>49856.349932432429</v>
      </c>
      <c r="N92" s="2">
        <f t="shared" si="14"/>
        <v>-37392.26244932432</v>
      </c>
      <c r="O92" s="136">
        <f t="shared" si="15"/>
        <v>-298500.11204391887</v>
      </c>
      <c r="P92" s="34">
        <f>O92/'D) Ecrêtage'!C92</f>
        <v>-5.2383466431156398</v>
      </c>
      <c r="Q92" s="132"/>
    </row>
    <row r="93" spans="1:17" x14ac:dyDescent="0.25">
      <c r="A93" s="50">
        <f>+'A) Base RI'!A95</f>
        <v>5541</v>
      </c>
      <c r="B93" s="308" t="str">
        <f>+'A) Base RI'!B95</f>
        <v>Goumoëns</v>
      </c>
      <c r="C93" s="322">
        <f>+'D) Ecrêtage'!C93</f>
        <v>38548.273636363643</v>
      </c>
      <c r="D93" s="300">
        <v>209574</v>
      </c>
      <c r="E93" s="322">
        <v>30970</v>
      </c>
      <c r="F93" s="300">
        <v>95052</v>
      </c>
      <c r="G93" s="322">
        <f t="shared" si="8"/>
        <v>335596</v>
      </c>
      <c r="H93" s="300">
        <f t="shared" si="9"/>
        <v>308386.18909090915</v>
      </c>
      <c r="I93" s="10">
        <f t="shared" si="10"/>
        <v>27209.810909090855</v>
      </c>
      <c r="J93" s="319">
        <f t="shared" si="11"/>
        <v>-20407.358181818141</v>
      </c>
      <c r="K93" s="14">
        <v>-29715</v>
      </c>
      <c r="L93" s="10">
        <f t="shared" si="12"/>
        <v>38548.273636363643</v>
      </c>
      <c r="M93" s="14">
        <f t="shared" si="13"/>
        <v>0</v>
      </c>
      <c r="N93" s="2">
        <f t="shared" si="14"/>
        <v>0</v>
      </c>
      <c r="O93" s="136">
        <f t="shared" si="15"/>
        <v>-20407.358181818141</v>
      </c>
      <c r="P93" s="34">
        <f>O93/'D) Ecrêtage'!C93</f>
        <v>-0.52939746081306538</v>
      </c>
      <c r="Q93" s="132"/>
    </row>
    <row r="94" spans="1:17" x14ac:dyDescent="0.25">
      <c r="A94" s="50">
        <f>+'A) Base RI'!A96</f>
        <v>5551</v>
      </c>
      <c r="B94" s="308" t="str">
        <f>+'A) Base RI'!B96</f>
        <v>Bonvillars</v>
      </c>
      <c r="C94" s="322">
        <f>+'D) Ecrêtage'!C94</f>
        <v>18775.330727272729</v>
      </c>
      <c r="D94" s="300">
        <v>85486</v>
      </c>
      <c r="E94" s="322">
        <v>30090</v>
      </c>
      <c r="F94" s="300">
        <v>73918</v>
      </c>
      <c r="G94" s="322">
        <f t="shared" si="8"/>
        <v>189494</v>
      </c>
      <c r="H94" s="300">
        <f t="shared" si="9"/>
        <v>150202.64581818183</v>
      </c>
      <c r="I94" s="10">
        <f t="shared" si="10"/>
        <v>39291.354181818169</v>
      </c>
      <c r="J94" s="319">
        <f t="shared" si="11"/>
        <v>-29468.515636363627</v>
      </c>
      <c r="K94" s="14">
        <v>83896</v>
      </c>
      <c r="L94" s="10">
        <f t="shared" si="12"/>
        <v>18775.330727272729</v>
      </c>
      <c r="M94" s="14">
        <f t="shared" si="13"/>
        <v>65120.669272727275</v>
      </c>
      <c r="N94" s="2">
        <f t="shared" si="14"/>
        <v>-48840.501954545456</v>
      </c>
      <c r="O94" s="136">
        <f t="shared" si="15"/>
        <v>-78309.01759090909</v>
      </c>
      <c r="P94" s="34">
        <f>O94/'D) Ecrêtage'!C94</f>
        <v>-4.1708462411881104</v>
      </c>
      <c r="Q94" s="132"/>
    </row>
    <row r="95" spans="1:17" x14ac:dyDescent="0.25">
      <c r="A95" s="50">
        <f>+'A) Base RI'!A97</f>
        <v>5552</v>
      </c>
      <c r="B95" s="308" t="str">
        <f>+'A) Base RI'!B97</f>
        <v>Bullet</v>
      </c>
      <c r="C95" s="322">
        <f>+'D) Ecrêtage'!C95</f>
        <v>17788.918428571429</v>
      </c>
      <c r="D95" s="300">
        <v>315297</v>
      </c>
      <c r="E95" s="322">
        <v>25490</v>
      </c>
      <c r="F95" s="300">
        <v>45393</v>
      </c>
      <c r="G95" s="322">
        <f t="shared" si="8"/>
        <v>386180</v>
      </c>
      <c r="H95" s="300">
        <f t="shared" si="9"/>
        <v>142311.34742857143</v>
      </c>
      <c r="I95" s="10">
        <f t="shared" si="10"/>
        <v>243868.65257142857</v>
      </c>
      <c r="J95" s="319">
        <f t="shared" si="11"/>
        <v>-182901.48942857143</v>
      </c>
      <c r="K95" s="14">
        <v>46601</v>
      </c>
      <c r="L95" s="10">
        <f t="shared" si="12"/>
        <v>17788.918428571429</v>
      </c>
      <c r="M95" s="14">
        <f t="shared" si="13"/>
        <v>28812.081571428571</v>
      </c>
      <c r="N95" s="2">
        <f t="shared" si="14"/>
        <v>-21609.061178571428</v>
      </c>
      <c r="O95" s="136">
        <f t="shared" si="15"/>
        <v>-204510.55060714285</v>
      </c>
      <c r="P95" s="34">
        <f>O95/'D) Ecrêtage'!C95</f>
        <v>-11.496514047682124</v>
      </c>
      <c r="Q95" s="132"/>
    </row>
    <row r="96" spans="1:17" x14ac:dyDescent="0.25">
      <c r="A96" s="50">
        <f>+'A) Base RI'!A98</f>
        <v>5553</v>
      </c>
      <c r="B96" s="308" t="str">
        <f>+'A) Base RI'!B98</f>
        <v>Champagne</v>
      </c>
      <c r="C96" s="322">
        <f>+'D) Ecrêtage'!C96</f>
        <v>34060.380307692314</v>
      </c>
      <c r="D96" s="300">
        <v>356945</v>
      </c>
      <c r="E96" s="322">
        <v>62429</v>
      </c>
      <c r="F96" s="300">
        <v>187652</v>
      </c>
      <c r="G96" s="322">
        <f t="shared" si="8"/>
        <v>607026</v>
      </c>
      <c r="H96" s="300">
        <f t="shared" si="9"/>
        <v>272483.04246153851</v>
      </c>
      <c r="I96" s="10">
        <f t="shared" si="10"/>
        <v>334542.95753846149</v>
      </c>
      <c r="J96" s="319">
        <f t="shared" si="11"/>
        <v>-250907.2181538461</v>
      </c>
      <c r="K96" s="14">
        <v>36904</v>
      </c>
      <c r="L96" s="10">
        <f t="shared" si="12"/>
        <v>34060.380307692314</v>
      </c>
      <c r="M96" s="14">
        <f t="shared" si="13"/>
        <v>2843.6196923076859</v>
      </c>
      <c r="N96" s="2">
        <f t="shared" si="14"/>
        <v>-2132.7147692307644</v>
      </c>
      <c r="O96" s="136">
        <f t="shared" si="15"/>
        <v>-253039.93292307688</v>
      </c>
      <c r="P96" s="34">
        <f>O96/'D) Ecrêtage'!C96</f>
        <v>-7.4291575912301093</v>
      </c>
      <c r="Q96" s="132"/>
    </row>
    <row r="97" spans="1:17" x14ac:dyDescent="0.25">
      <c r="A97" s="50">
        <f>+'A) Base RI'!A99</f>
        <v>5554</v>
      </c>
      <c r="B97" s="308" t="str">
        <f>+'A) Base RI'!B99</f>
        <v>Concise</v>
      </c>
      <c r="C97" s="322">
        <f>+'D) Ecrêtage'!C97</f>
        <v>31701.023466666669</v>
      </c>
      <c r="D97" s="300">
        <v>207386</v>
      </c>
      <c r="E97" s="322">
        <v>77809</v>
      </c>
      <c r="F97" s="300">
        <v>139260</v>
      </c>
      <c r="G97" s="322">
        <f t="shared" si="8"/>
        <v>424455</v>
      </c>
      <c r="H97" s="300">
        <f t="shared" si="9"/>
        <v>253608.18773333335</v>
      </c>
      <c r="I97" s="10">
        <f t="shared" si="10"/>
        <v>170846.81226666665</v>
      </c>
      <c r="J97" s="319">
        <f t="shared" si="11"/>
        <v>-128135.10919999998</v>
      </c>
      <c r="K97" s="14">
        <v>62512</v>
      </c>
      <c r="L97" s="10">
        <f t="shared" si="12"/>
        <v>31701.023466666669</v>
      </c>
      <c r="M97" s="14">
        <f t="shared" si="13"/>
        <v>30810.976533333331</v>
      </c>
      <c r="N97" s="2">
        <f t="shared" si="14"/>
        <v>-23108.232399999997</v>
      </c>
      <c r="O97" s="136">
        <f t="shared" si="15"/>
        <v>-151243.34159999999</v>
      </c>
      <c r="P97" s="34">
        <f>O97/'D) Ecrêtage'!C97</f>
        <v>-4.7709292969367674</v>
      </c>
      <c r="Q97" s="132"/>
    </row>
    <row r="98" spans="1:17" x14ac:dyDescent="0.25">
      <c r="A98" s="50">
        <f>+'A) Base RI'!A100</f>
        <v>5555</v>
      </c>
      <c r="B98" s="308" t="str">
        <f>+'A) Base RI'!B100</f>
        <v>Corcelles-près-Concise</v>
      </c>
      <c r="C98" s="322">
        <f>+'D) Ecrêtage'!C98</f>
        <v>13631.876197183097</v>
      </c>
      <c r="D98" s="300">
        <v>153000</v>
      </c>
      <c r="E98" s="322">
        <v>23039</v>
      </c>
      <c r="F98" s="300">
        <v>57196</v>
      </c>
      <c r="G98" s="322">
        <f t="shared" si="8"/>
        <v>233235</v>
      </c>
      <c r="H98" s="300">
        <f t="shared" si="9"/>
        <v>109055.00957746478</v>
      </c>
      <c r="I98" s="10">
        <f t="shared" si="10"/>
        <v>124179.99042253522</v>
      </c>
      <c r="J98" s="319">
        <f t="shared" si="11"/>
        <v>-93134.992816901417</v>
      </c>
      <c r="K98" s="14">
        <v>25292</v>
      </c>
      <c r="L98" s="10">
        <f t="shared" si="12"/>
        <v>13631.876197183097</v>
      </c>
      <c r="M98" s="14">
        <f t="shared" si="13"/>
        <v>11660.123802816903</v>
      </c>
      <c r="N98" s="2">
        <f t="shared" si="14"/>
        <v>-8745.0928521126771</v>
      </c>
      <c r="O98" s="136">
        <f t="shared" si="15"/>
        <v>-101880.08566901409</v>
      </c>
      <c r="P98" s="34">
        <f>O98/'D) Ecrêtage'!C98</f>
        <v>-7.4736657078844866</v>
      </c>
      <c r="Q98" s="132"/>
    </row>
    <row r="99" spans="1:17" x14ac:dyDescent="0.25">
      <c r="A99" s="50">
        <f>+'A) Base RI'!A101</f>
        <v>5556</v>
      </c>
      <c r="B99" s="308" t="str">
        <f>+'A) Base RI'!B101</f>
        <v>Fiez</v>
      </c>
      <c r="C99" s="322">
        <f>+'D) Ecrêtage'!C99</f>
        <v>12908.608502415458</v>
      </c>
      <c r="D99" s="300">
        <v>145155</v>
      </c>
      <c r="E99" s="322">
        <v>17304</v>
      </c>
      <c r="F99" s="300">
        <v>100748</v>
      </c>
      <c r="G99" s="322">
        <f t="shared" si="8"/>
        <v>263207</v>
      </c>
      <c r="H99" s="300">
        <f t="shared" si="9"/>
        <v>103268.86801932367</v>
      </c>
      <c r="I99" s="10">
        <f t="shared" si="10"/>
        <v>159938.13198067632</v>
      </c>
      <c r="J99" s="319">
        <f t="shared" si="11"/>
        <v>-119953.59898550724</v>
      </c>
      <c r="K99" s="14">
        <v>13718</v>
      </c>
      <c r="L99" s="10">
        <f t="shared" si="12"/>
        <v>12908.608502415458</v>
      </c>
      <c r="M99" s="14">
        <f t="shared" si="13"/>
        <v>809.39149758454187</v>
      </c>
      <c r="N99" s="2">
        <f t="shared" si="14"/>
        <v>-607.0436231884064</v>
      </c>
      <c r="O99" s="136">
        <f t="shared" si="15"/>
        <v>-120560.64260869565</v>
      </c>
      <c r="P99" s="34">
        <f>O99/'D) Ecrêtage'!C99</f>
        <v>-9.3395537238685602</v>
      </c>
      <c r="Q99" s="132"/>
    </row>
    <row r="100" spans="1:17" x14ac:dyDescent="0.25">
      <c r="A100" s="50">
        <f>+'A) Base RI'!A102</f>
        <v>5557</v>
      </c>
      <c r="B100" s="308" t="str">
        <f>+'A) Base RI'!B102</f>
        <v>Fontaines-sur-Grandson</v>
      </c>
      <c r="C100" s="322">
        <f>+'D) Ecrêtage'!C100</f>
        <v>4431.6020289855087</v>
      </c>
      <c r="D100" s="300">
        <v>18765</v>
      </c>
      <c r="E100" s="322">
        <v>8105</v>
      </c>
      <c r="F100" s="300">
        <v>41605</v>
      </c>
      <c r="G100" s="322">
        <f t="shared" si="8"/>
        <v>68475</v>
      </c>
      <c r="H100" s="300">
        <f t="shared" si="9"/>
        <v>35452.81623188407</v>
      </c>
      <c r="I100" s="10">
        <f t="shared" si="10"/>
        <v>33022.18376811593</v>
      </c>
      <c r="J100" s="319">
        <f t="shared" si="11"/>
        <v>-24766.637826086946</v>
      </c>
      <c r="K100" s="14">
        <v>22230</v>
      </c>
      <c r="L100" s="10">
        <f t="shared" si="12"/>
        <v>4431.6020289855087</v>
      </c>
      <c r="M100" s="14">
        <f t="shared" si="13"/>
        <v>17798.397971014492</v>
      </c>
      <c r="N100" s="2">
        <f t="shared" si="14"/>
        <v>-13348.798478260869</v>
      </c>
      <c r="O100" s="136">
        <f t="shared" si="15"/>
        <v>-38115.436304347815</v>
      </c>
      <c r="P100" s="34">
        <f>O100/'D) Ecrêtage'!C100</f>
        <v>-8.6008256280795319</v>
      </c>
      <c r="Q100" s="132"/>
    </row>
    <row r="101" spans="1:17" x14ac:dyDescent="0.25">
      <c r="A101" s="50">
        <f>+'A) Base RI'!A103</f>
        <v>5559</v>
      </c>
      <c r="B101" s="308" t="str">
        <f>+'A) Base RI'!B103</f>
        <v>Giez</v>
      </c>
      <c r="C101" s="322">
        <f>+'D) Ecrêtage'!C101</f>
        <v>15789.686212121214</v>
      </c>
      <c r="D101" s="300">
        <v>66638</v>
      </c>
      <c r="E101" s="322">
        <v>16534</v>
      </c>
      <c r="F101" s="300">
        <v>66374</v>
      </c>
      <c r="G101" s="322">
        <f t="shared" si="8"/>
        <v>149546</v>
      </c>
      <c r="H101" s="300">
        <f t="shared" si="9"/>
        <v>126317.48969696971</v>
      </c>
      <c r="I101" s="10">
        <f t="shared" si="10"/>
        <v>23228.510303030285</v>
      </c>
      <c r="J101" s="319">
        <f t="shared" si="11"/>
        <v>-17421.382727272714</v>
      </c>
      <c r="K101" s="14">
        <v>15159</v>
      </c>
      <c r="L101" s="10">
        <f t="shared" si="12"/>
        <v>15789.686212121214</v>
      </c>
      <c r="M101" s="14">
        <f t="shared" si="13"/>
        <v>0</v>
      </c>
      <c r="N101" s="2">
        <f t="shared" si="14"/>
        <v>0</v>
      </c>
      <c r="O101" s="136">
        <f t="shared" si="15"/>
        <v>-17421.382727272714</v>
      </c>
      <c r="P101" s="34">
        <f>O101/'D) Ecrêtage'!C101</f>
        <v>-1.103339388334323</v>
      </c>
      <c r="Q101" s="132"/>
    </row>
    <row r="102" spans="1:17" x14ac:dyDescent="0.25">
      <c r="A102" s="50">
        <f>+'A) Base RI'!A104</f>
        <v>5560</v>
      </c>
      <c r="B102" s="308" t="str">
        <f>+'A) Base RI'!B104</f>
        <v>Grandevent</v>
      </c>
      <c r="C102" s="322">
        <f>+'D) Ecrêtage'!C102</f>
        <v>6263.3176470588232</v>
      </c>
      <c r="D102" s="300">
        <v>30449</v>
      </c>
      <c r="E102" s="322">
        <v>9401</v>
      </c>
      <c r="F102" s="300">
        <v>31800</v>
      </c>
      <c r="G102" s="322">
        <f t="shared" si="8"/>
        <v>71650</v>
      </c>
      <c r="H102" s="300">
        <f t="shared" si="9"/>
        <v>50106.541176470586</v>
      </c>
      <c r="I102" s="10">
        <f t="shared" si="10"/>
        <v>21543.458823529414</v>
      </c>
      <c r="J102" s="319">
        <f t="shared" si="11"/>
        <v>-16157.594117647061</v>
      </c>
      <c r="K102" s="14">
        <v>9656</v>
      </c>
      <c r="L102" s="10">
        <f t="shared" si="12"/>
        <v>6263.3176470588232</v>
      </c>
      <c r="M102" s="14">
        <f t="shared" si="13"/>
        <v>3392.6823529411768</v>
      </c>
      <c r="N102" s="2">
        <f t="shared" si="14"/>
        <v>-2544.5117647058823</v>
      </c>
      <c r="O102" s="136">
        <f t="shared" si="15"/>
        <v>-18702.105882352942</v>
      </c>
      <c r="P102" s="34">
        <f>O102/'D) Ecrêtage'!C102</f>
        <v>-2.9859743567588688</v>
      </c>
      <c r="Q102" s="132"/>
    </row>
    <row r="103" spans="1:17" x14ac:dyDescent="0.25">
      <c r="A103" s="50">
        <f>+'A) Base RI'!A105</f>
        <v>5561</v>
      </c>
      <c r="B103" s="308" t="str">
        <f>+'A) Base RI'!B105</f>
        <v>Grandson</v>
      </c>
      <c r="C103" s="322">
        <f>+'D) Ecrêtage'!C103</f>
        <v>115658.41101449275</v>
      </c>
      <c r="D103" s="300">
        <v>1294833</v>
      </c>
      <c r="E103" s="322">
        <v>335650</v>
      </c>
      <c r="F103" s="300">
        <v>477437</v>
      </c>
      <c r="G103" s="322">
        <f t="shared" si="8"/>
        <v>2107920</v>
      </c>
      <c r="H103" s="300">
        <f t="shared" si="9"/>
        <v>925267.28811594204</v>
      </c>
      <c r="I103" s="10">
        <f t="shared" si="10"/>
        <v>1182652.7118840581</v>
      </c>
      <c r="J103" s="319">
        <f t="shared" si="11"/>
        <v>-886989.53391304356</v>
      </c>
      <c r="K103" s="14">
        <v>45683</v>
      </c>
      <c r="L103" s="10">
        <f t="shared" si="12"/>
        <v>115658.41101449275</v>
      </c>
      <c r="M103" s="14">
        <f t="shared" si="13"/>
        <v>0</v>
      </c>
      <c r="N103" s="2">
        <f t="shared" si="14"/>
        <v>0</v>
      </c>
      <c r="O103" s="136">
        <f t="shared" si="15"/>
        <v>-886989.53391304356</v>
      </c>
      <c r="P103" s="34">
        <f>O103/'D) Ecrêtage'!C103</f>
        <v>-7.6690447857000041</v>
      </c>
      <c r="Q103" s="132"/>
    </row>
    <row r="104" spans="1:17" x14ac:dyDescent="0.25">
      <c r="A104" s="50">
        <f>+'A) Base RI'!A106</f>
        <v>5562</v>
      </c>
      <c r="B104" s="308" t="str">
        <f>+'A) Base RI'!B106</f>
        <v>Mauborget</v>
      </c>
      <c r="C104" s="322">
        <f>+'D) Ecrêtage'!C104</f>
        <v>5902.7637857142863</v>
      </c>
      <c r="D104" s="300">
        <v>42755</v>
      </c>
      <c r="E104" s="322">
        <v>4984</v>
      </c>
      <c r="F104" s="300">
        <v>8087</v>
      </c>
      <c r="G104" s="322">
        <f t="shared" si="8"/>
        <v>55826</v>
      </c>
      <c r="H104" s="300">
        <f t="shared" si="9"/>
        <v>47222.110285714291</v>
      </c>
      <c r="I104" s="10">
        <f t="shared" si="10"/>
        <v>8603.8897142857095</v>
      </c>
      <c r="J104" s="319">
        <f t="shared" si="11"/>
        <v>-6452.9172857142821</v>
      </c>
      <c r="K104" s="14">
        <v>10852</v>
      </c>
      <c r="L104" s="10">
        <f t="shared" si="12"/>
        <v>5902.7637857142863</v>
      </c>
      <c r="M104" s="14">
        <f t="shared" si="13"/>
        <v>4949.2362142857137</v>
      </c>
      <c r="N104" s="2">
        <f t="shared" si="14"/>
        <v>-3711.9271607142855</v>
      </c>
      <c r="O104" s="136">
        <f t="shared" si="15"/>
        <v>-10164.844446428568</v>
      </c>
      <c r="P104" s="34">
        <f>O104/'D) Ecrêtage'!C104</f>
        <v>-1.7220483176083137</v>
      </c>
      <c r="Q104" s="132"/>
    </row>
    <row r="105" spans="1:17" x14ac:dyDescent="0.25">
      <c r="A105" s="50">
        <f>+'A) Base RI'!A107</f>
        <v>5563</v>
      </c>
      <c r="B105" s="308" t="str">
        <f>+'A) Base RI'!B107</f>
        <v>Mutrux</v>
      </c>
      <c r="C105" s="322">
        <f>+'D) Ecrêtage'!C105</f>
        <v>3109.2766878980892</v>
      </c>
      <c r="D105" s="300">
        <v>35580</v>
      </c>
      <c r="E105" s="322">
        <v>6565</v>
      </c>
      <c r="F105" s="300">
        <v>30126</v>
      </c>
      <c r="G105" s="322">
        <f t="shared" si="8"/>
        <v>72271</v>
      </c>
      <c r="H105" s="300">
        <f t="shared" si="9"/>
        <v>24874.213503184714</v>
      </c>
      <c r="I105" s="10">
        <f t="shared" si="10"/>
        <v>47396.786496815286</v>
      </c>
      <c r="J105" s="319">
        <f t="shared" si="11"/>
        <v>-35547.589872611468</v>
      </c>
      <c r="K105" s="14">
        <v>-3864</v>
      </c>
      <c r="L105" s="10">
        <f t="shared" si="12"/>
        <v>3109.2766878980892</v>
      </c>
      <c r="M105" s="14">
        <f t="shared" si="13"/>
        <v>0</v>
      </c>
      <c r="N105" s="2">
        <f t="shared" si="14"/>
        <v>0</v>
      </c>
      <c r="O105" s="136">
        <f t="shared" si="15"/>
        <v>-35547.589872611468</v>
      </c>
      <c r="P105" s="34">
        <f>O105/'D) Ecrêtage'!C105</f>
        <v>-11.432752193128909</v>
      </c>
      <c r="Q105" s="132"/>
    </row>
    <row r="106" spans="1:17" x14ac:dyDescent="0.25">
      <c r="A106" s="50">
        <f>+'A) Base RI'!A108</f>
        <v>5564</v>
      </c>
      <c r="B106" s="308" t="str">
        <f>+'A) Base RI'!B108</f>
        <v>Novalles</v>
      </c>
      <c r="C106" s="322">
        <f>+'D) Ecrêtage'!C106</f>
        <v>2625.7898355263155</v>
      </c>
      <c r="D106" s="300">
        <v>11485</v>
      </c>
      <c r="E106" s="322">
        <v>4093</v>
      </c>
      <c r="F106" s="300">
        <v>14541</v>
      </c>
      <c r="G106" s="322">
        <f t="shared" si="8"/>
        <v>30119</v>
      </c>
      <c r="H106" s="300">
        <f t="shared" si="9"/>
        <v>21006.318684210524</v>
      </c>
      <c r="I106" s="10">
        <f t="shared" si="10"/>
        <v>9112.6813157894758</v>
      </c>
      <c r="J106" s="319">
        <f t="shared" si="11"/>
        <v>-6834.5109868421068</v>
      </c>
      <c r="K106" s="14">
        <v>8611</v>
      </c>
      <c r="L106" s="10">
        <f t="shared" si="12"/>
        <v>2625.7898355263155</v>
      </c>
      <c r="M106" s="14">
        <f t="shared" si="13"/>
        <v>5985.2101644736849</v>
      </c>
      <c r="N106" s="2">
        <f t="shared" si="14"/>
        <v>-4488.9076233552641</v>
      </c>
      <c r="O106" s="136">
        <f t="shared" si="15"/>
        <v>-11323.418610197372</v>
      </c>
      <c r="P106" s="34">
        <f>O106/'D) Ecrêtage'!C106</f>
        <v>-4.3123857275225141</v>
      </c>
      <c r="Q106" s="132"/>
    </row>
    <row r="107" spans="1:17" x14ac:dyDescent="0.25">
      <c r="A107" s="50">
        <f>+'A) Base RI'!A109</f>
        <v>5565</v>
      </c>
      <c r="B107" s="308" t="str">
        <f>+'A) Base RI'!B109</f>
        <v>Onnens</v>
      </c>
      <c r="C107" s="322">
        <f>+'D) Ecrêtage'!C107</f>
        <v>18487.846307692304</v>
      </c>
      <c r="D107" s="300">
        <v>82352</v>
      </c>
      <c r="E107" s="322">
        <v>30394</v>
      </c>
      <c r="F107" s="300">
        <v>80444</v>
      </c>
      <c r="G107" s="322">
        <f t="shared" si="8"/>
        <v>193190</v>
      </c>
      <c r="H107" s="300">
        <f t="shared" si="9"/>
        <v>147902.77046153843</v>
      </c>
      <c r="I107" s="10">
        <f t="shared" si="10"/>
        <v>45287.229538461572</v>
      </c>
      <c r="J107" s="319">
        <f t="shared" si="11"/>
        <v>-33965.422153846179</v>
      </c>
      <c r="K107" s="14">
        <v>38735</v>
      </c>
      <c r="L107" s="10">
        <f t="shared" si="12"/>
        <v>18487.846307692304</v>
      </c>
      <c r="M107" s="14">
        <f t="shared" si="13"/>
        <v>20247.153692307696</v>
      </c>
      <c r="N107" s="2">
        <f t="shared" si="14"/>
        <v>-15185.365269230773</v>
      </c>
      <c r="O107" s="136">
        <f t="shared" si="15"/>
        <v>-49150.787423076952</v>
      </c>
      <c r="P107" s="34">
        <f>O107/'D) Ecrêtage'!C107</f>
        <v>-2.6585458687325096</v>
      </c>
      <c r="Q107" s="132"/>
    </row>
    <row r="108" spans="1:17" x14ac:dyDescent="0.25">
      <c r="A108" s="50">
        <f>+'A) Base RI'!A110</f>
        <v>5566</v>
      </c>
      <c r="B108" s="308" t="str">
        <f>+'A) Base RI'!B110</f>
        <v>Provence</v>
      </c>
      <c r="C108" s="322">
        <f>+'D) Ecrêtage'!C108</f>
        <v>7938.210164609055</v>
      </c>
      <c r="D108" s="300">
        <v>252179</v>
      </c>
      <c r="E108" s="322">
        <v>15805</v>
      </c>
      <c r="F108" s="300">
        <v>29290</v>
      </c>
      <c r="G108" s="322">
        <f t="shared" si="8"/>
        <v>297274</v>
      </c>
      <c r="H108" s="300">
        <f t="shared" si="9"/>
        <v>63505.68131687244</v>
      </c>
      <c r="I108" s="10">
        <f t="shared" si="10"/>
        <v>233768.31868312755</v>
      </c>
      <c r="J108" s="319">
        <f t="shared" si="11"/>
        <v>-175326.23901234567</v>
      </c>
      <c r="K108" s="14">
        <v>54156</v>
      </c>
      <c r="L108" s="10">
        <f t="shared" si="12"/>
        <v>7938.210164609055</v>
      </c>
      <c r="M108" s="14">
        <f t="shared" si="13"/>
        <v>46217.789835390948</v>
      </c>
      <c r="N108" s="2">
        <f t="shared" si="14"/>
        <v>-34663.342376543209</v>
      </c>
      <c r="O108" s="136">
        <f t="shared" si="15"/>
        <v>-209989.58138888888</v>
      </c>
      <c r="P108" s="34">
        <f>O108/'D) Ecrêtage'!C108</f>
        <v>-26.453013593049732</v>
      </c>
      <c r="Q108" s="132"/>
    </row>
    <row r="109" spans="1:17" x14ac:dyDescent="0.25">
      <c r="A109" s="50">
        <f>+'A) Base RI'!A111</f>
        <v>5568</v>
      </c>
      <c r="B109" s="308" t="str">
        <f>+'A) Base RI'!B111</f>
        <v>Sainte-Croix</v>
      </c>
      <c r="C109" s="322">
        <f>+'D) Ecrêtage'!C109</f>
        <v>99640.524428571414</v>
      </c>
      <c r="D109" s="300">
        <v>1746303</v>
      </c>
      <c r="E109" s="322">
        <v>491470</v>
      </c>
      <c r="F109" s="300">
        <v>151643</v>
      </c>
      <c r="G109" s="322">
        <f t="shared" si="8"/>
        <v>2389416</v>
      </c>
      <c r="H109" s="300">
        <f t="shared" si="9"/>
        <v>797124.19542857131</v>
      </c>
      <c r="I109" s="10">
        <f t="shared" si="10"/>
        <v>1592291.8045714288</v>
      </c>
      <c r="J109" s="319">
        <f t="shared" si="11"/>
        <v>-1194218.8534285715</v>
      </c>
      <c r="K109" s="14">
        <v>150710</v>
      </c>
      <c r="L109" s="10">
        <f t="shared" si="12"/>
        <v>99640.524428571414</v>
      </c>
      <c r="M109" s="14">
        <f t="shared" si="13"/>
        <v>51069.475571428586</v>
      </c>
      <c r="N109" s="2">
        <f t="shared" si="14"/>
        <v>-38302.106678571436</v>
      </c>
      <c r="O109" s="136">
        <f t="shared" si="15"/>
        <v>-1232520.960107143</v>
      </c>
      <c r="P109" s="34">
        <f>O109/'D) Ecrêtage'!C109</f>
        <v>-12.369675562985334</v>
      </c>
      <c r="Q109" s="132"/>
    </row>
    <row r="110" spans="1:17" x14ac:dyDescent="0.25">
      <c r="A110" s="50">
        <f>+'A) Base RI'!A112</f>
        <v>5571</v>
      </c>
      <c r="B110" s="308" t="str">
        <f>+'A) Base RI'!B112</f>
        <v>Tévenon</v>
      </c>
      <c r="C110" s="322">
        <f>+'D) Ecrêtage'!C110</f>
        <v>21324.629931506846</v>
      </c>
      <c r="D110" s="300">
        <v>220528</v>
      </c>
      <c r="E110" s="322">
        <v>32056</v>
      </c>
      <c r="F110" s="300">
        <v>136409</v>
      </c>
      <c r="G110" s="322">
        <f t="shared" si="8"/>
        <v>388993</v>
      </c>
      <c r="H110" s="300">
        <f t="shared" si="9"/>
        <v>170597.03945205477</v>
      </c>
      <c r="I110" s="10">
        <f t="shared" si="10"/>
        <v>218395.96054794523</v>
      </c>
      <c r="J110" s="319">
        <f t="shared" si="11"/>
        <v>-163796.97041095892</v>
      </c>
      <c r="K110" s="14">
        <v>53310</v>
      </c>
      <c r="L110" s="10">
        <f t="shared" si="12"/>
        <v>21324.629931506846</v>
      </c>
      <c r="M110" s="14">
        <f t="shared" si="13"/>
        <v>31985.370068493154</v>
      </c>
      <c r="N110" s="2">
        <f t="shared" si="14"/>
        <v>-23989.027551369865</v>
      </c>
      <c r="O110" s="136">
        <f t="shared" si="15"/>
        <v>-187785.99796232878</v>
      </c>
      <c r="P110" s="34">
        <f>O110/'D) Ecrêtage'!C110</f>
        <v>-8.8060612805701055</v>
      </c>
      <c r="Q110" s="132"/>
    </row>
    <row r="111" spans="1:17" x14ac:dyDescent="0.25">
      <c r="A111" s="50">
        <f>+'A) Base RI'!A113</f>
        <v>5581</v>
      </c>
      <c r="B111" s="308" t="str">
        <f>+'A) Base RI'!B113</f>
        <v>Belmont-sur-Lausanne</v>
      </c>
      <c r="C111" s="322">
        <f>+'D) Ecrêtage'!C111</f>
        <v>192051.94455635498</v>
      </c>
      <c r="D111" s="300">
        <v>1050200</v>
      </c>
      <c r="E111" s="322">
        <v>809556</v>
      </c>
      <c r="F111" s="300">
        <v>229113</v>
      </c>
      <c r="G111" s="322">
        <f t="shared" si="8"/>
        <v>2088869</v>
      </c>
      <c r="H111" s="300">
        <f t="shared" si="9"/>
        <v>1536415.5564508399</v>
      </c>
      <c r="I111" s="10">
        <f t="shared" si="10"/>
        <v>552453.44354916015</v>
      </c>
      <c r="J111" s="319">
        <f t="shared" si="11"/>
        <v>-414340.08266187011</v>
      </c>
      <c r="K111" s="14">
        <v>23252</v>
      </c>
      <c r="L111" s="10">
        <f t="shared" si="12"/>
        <v>192051.94455635498</v>
      </c>
      <c r="M111" s="14">
        <f t="shared" si="13"/>
        <v>0</v>
      </c>
      <c r="N111" s="2">
        <f t="shared" si="14"/>
        <v>0</v>
      </c>
      <c r="O111" s="136">
        <f t="shared" si="15"/>
        <v>-414340.08266187011</v>
      </c>
      <c r="P111" s="34">
        <f>O111/'D) Ecrêtage'!C111</f>
        <v>-2.1574375808534851</v>
      </c>
      <c r="Q111" s="132"/>
    </row>
    <row r="112" spans="1:17" x14ac:dyDescent="0.25">
      <c r="A112" s="50">
        <f>+'A) Base RI'!A114</f>
        <v>5582</v>
      </c>
      <c r="B112" s="308" t="str">
        <f>+'A) Base RI'!B114</f>
        <v>Cheseaux-sur-Lausanne</v>
      </c>
      <c r="C112" s="322">
        <f>+'D) Ecrêtage'!C112</f>
        <v>179002.65087248324</v>
      </c>
      <c r="D112" s="300">
        <v>1306197</v>
      </c>
      <c r="E112" s="322">
        <v>394662</v>
      </c>
      <c r="F112" s="300">
        <v>309552</v>
      </c>
      <c r="G112" s="322">
        <f t="shared" si="8"/>
        <v>2010411</v>
      </c>
      <c r="H112" s="300">
        <f t="shared" si="9"/>
        <v>1432021.2069798659</v>
      </c>
      <c r="I112" s="10">
        <f t="shared" si="10"/>
        <v>578389.79302013409</v>
      </c>
      <c r="J112" s="319">
        <f t="shared" si="11"/>
        <v>-433792.34476510057</v>
      </c>
      <c r="K112" s="14">
        <v>151128</v>
      </c>
      <c r="L112" s="10">
        <f t="shared" si="12"/>
        <v>179002.65087248324</v>
      </c>
      <c r="M112" s="14">
        <f t="shared" si="13"/>
        <v>0</v>
      </c>
      <c r="N112" s="2">
        <f t="shared" si="14"/>
        <v>0</v>
      </c>
      <c r="O112" s="136">
        <f t="shared" si="15"/>
        <v>-433792.34476510057</v>
      </c>
      <c r="P112" s="34">
        <f>O112/'D) Ecrêtage'!C112</f>
        <v>-2.4233850317340986</v>
      </c>
      <c r="Q112" s="132"/>
    </row>
    <row r="113" spans="1:17" x14ac:dyDescent="0.25">
      <c r="A113" s="50">
        <f>+'A) Base RI'!A115</f>
        <v>5583</v>
      </c>
      <c r="B113" s="308" t="str">
        <f>+'A) Base RI'!B115</f>
        <v>Crissier</v>
      </c>
      <c r="C113" s="322">
        <f>+'D) Ecrêtage'!C113</f>
        <v>294545.40292307688</v>
      </c>
      <c r="D113" s="300">
        <v>2153640</v>
      </c>
      <c r="E113" s="322">
        <v>3086614</v>
      </c>
      <c r="F113" s="300">
        <v>295608</v>
      </c>
      <c r="G113" s="322">
        <f t="shared" si="8"/>
        <v>5535862</v>
      </c>
      <c r="H113" s="300">
        <f t="shared" si="9"/>
        <v>2356363.223384615</v>
      </c>
      <c r="I113" s="10">
        <f t="shared" si="10"/>
        <v>3179498.776615385</v>
      </c>
      <c r="J113" s="319">
        <f t="shared" si="11"/>
        <v>-2384624.0824615387</v>
      </c>
      <c r="K113" s="14">
        <v>125288</v>
      </c>
      <c r="L113" s="10">
        <f t="shared" si="12"/>
        <v>294545.40292307688</v>
      </c>
      <c r="M113" s="14">
        <f t="shared" si="13"/>
        <v>0</v>
      </c>
      <c r="N113" s="2">
        <f t="shared" si="14"/>
        <v>0</v>
      </c>
      <c r="O113" s="136">
        <f t="shared" si="15"/>
        <v>-2384624.0824615387</v>
      </c>
      <c r="P113" s="34">
        <f>O113/'D) Ecrêtage'!C113</f>
        <v>-8.0959473778794777</v>
      </c>
      <c r="Q113" s="132"/>
    </row>
    <row r="114" spans="1:17" x14ac:dyDescent="0.25">
      <c r="A114" s="50">
        <f>+'A) Base RI'!A116</f>
        <v>5584</v>
      </c>
      <c r="B114" s="308" t="str">
        <f>+'A) Base RI'!B116</f>
        <v>Epalinges</v>
      </c>
      <c r="C114" s="322">
        <f>+'D) Ecrêtage'!C114</f>
        <v>414398.09409090912</v>
      </c>
      <c r="D114" s="300">
        <v>3873082</v>
      </c>
      <c r="E114" s="322">
        <v>3487177</v>
      </c>
      <c r="F114" s="300">
        <v>725729</v>
      </c>
      <c r="G114" s="322">
        <f t="shared" si="8"/>
        <v>8085988</v>
      </c>
      <c r="H114" s="300">
        <f t="shared" si="9"/>
        <v>3315184.7527272729</v>
      </c>
      <c r="I114" s="10">
        <f t="shared" si="10"/>
        <v>4770803.2472727271</v>
      </c>
      <c r="J114" s="319">
        <f t="shared" si="11"/>
        <v>-3578102.4354545455</v>
      </c>
      <c r="K114" s="14">
        <v>329082</v>
      </c>
      <c r="L114" s="10">
        <f t="shared" si="12"/>
        <v>414398.09409090912</v>
      </c>
      <c r="M114" s="14">
        <f t="shared" si="13"/>
        <v>0</v>
      </c>
      <c r="N114" s="2">
        <f t="shared" si="14"/>
        <v>0</v>
      </c>
      <c r="O114" s="136">
        <f t="shared" si="15"/>
        <v>-3578102.4354545455</v>
      </c>
      <c r="P114" s="34">
        <f>O114/'D) Ecrêtage'!C114</f>
        <v>-8.634456785579701</v>
      </c>
      <c r="Q114" s="132"/>
    </row>
    <row r="115" spans="1:17" x14ac:dyDescent="0.25">
      <c r="A115" s="50">
        <f>+'A) Base RI'!A117</f>
        <v>5585</v>
      </c>
      <c r="B115" s="308" t="str">
        <f>+'A) Base RI'!B117</f>
        <v>Jouxtens-Mézery</v>
      </c>
      <c r="C115" s="322">
        <f>+'D) Ecrêtage'!C115</f>
        <v>171586.66471698115</v>
      </c>
      <c r="D115" s="300">
        <v>463674</v>
      </c>
      <c r="E115" s="322">
        <v>106670</v>
      </c>
      <c r="F115" s="300">
        <v>33421</v>
      </c>
      <c r="G115" s="322">
        <f t="shared" si="8"/>
        <v>603765</v>
      </c>
      <c r="H115" s="300">
        <f t="shared" si="9"/>
        <v>1372693.3177358492</v>
      </c>
      <c r="I115" s="10">
        <f t="shared" si="10"/>
        <v>0</v>
      </c>
      <c r="J115" s="319">
        <f t="shared" si="11"/>
        <v>0</v>
      </c>
      <c r="K115" s="14">
        <v>32370</v>
      </c>
      <c r="L115" s="10">
        <f t="shared" si="12"/>
        <v>171586.66471698115</v>
      </c>
      <c r="M115" s="14">
        <f t="shared" si="13"/>
        <v>0</v>
      </c>
      <c r="N115" s="2">
        <f t="shared" si="14"/>
        <v>0</v>
      </c>
      <c r="O115" s="136">
        <f t="shared" si="15"/>
        <v>0</v>
      </c>
      <c r="P115" s="34">
        <f>O115/'D) Ecrêtage'!C115</f>
        <v>0</v>
      </c>
      <c r="Q115" s="132"/>
    </row>
    <row r="116" spans="1:17" x14ac:dyDescent="0.25">
      <c r="A116" s="50">
        <f>+'A) Base RI'!A118</f>
        <v>5586</v>
      </c>
      <c r="B116" s="308" t="str">
        <f>+'A) Base RI'!B118</f>
        <v>Lausanne</v>
      </c>
      <c r="C116" s="322">
        <f>+'D) Ecrêtage'!C116</f>
        <v>5871810.1056962032</v>
      </c>
      <c r="D116" s="300">
        <v>57447113</v>
      </c>
      <c r="E116" s="322">
        <v>51144175</v>
      </c>
      <c r="F116" s="300">
        <v>2209696</v>
      </c>
      <c r="G116" s="322">
        <f t="shared" si="8"/>
        <v>110800984</v>
      </c>
      <c r="H116" s="300">
        <f t="shared" si="9"/>
        <v>46974480.845569625</v>
      </c>
      <c r="I116" s="10">
        <f t="shared" si="10"/>
        <v>63826503.154430375</v>
      </c>
      <c r="J116" s="319">
        <f t="shared" si="11"/>
        <v>-47869877.365822777</v>
      </c>
      <c r="K116" s="14">
        <v>2740617</v>
      </c>
      <c r="L116" s="10">
        <f t="shared" si="12"/>
        <v>5871810.1056962032</v>
      </c>
      <c r="M116" s="14">
        <f t="shared" si="13"/>
        <v>0</v>
      </c>
      <c r="N116" s="2">
        <f t="shared" si="14"/>
        <v>0</v>
      </c>
      <c r="O116" s="136">
        <f t="shared" si="15"/>
        <v>-47869877.365822777</v>
      </c>
      <c r="P116" s="34">
        <f>O116/'D) Ecrêtage'!C116</f>
        <v>-8.1524907148111847</v>
      </c>
      <c r="Q116" s="132"/>
    </row>
    <row r="117" spans="1:17" x14ac:dyDescent="0.25">
      <c r="A117" s="50">
        <f>+'A) Base RI'!A119</f>
        <v>5587</v>
      </c>
      <c r="B117" s="308" t="str">
        <f>+'A) Base RI'!B119</f>
        <v>Le Mont-sur-Lausanne</v>
      </c>
      <c r="C117" s="322">
        <f>+'D) Ecrêtage'!C117</f>
        <v>415945.64633333334</v>
      </c>
      <c r="D117" s="300">
        <v>3624909</v>
      </c>
      <c r="E117" s="322">
        <v>2098525</v>
      </c>
      <c r="F117" s="300">
        <v>734978</v>
      </c>
      <c r="G117" s="322">
        <f t="shared" si="8"/>
        <v>6458412</v>
      </c>
      <c r="H117" s="300">
        <f t="shared" si="9"/>
        <v>3327565.1706666667</v>
      </c>
      <c r="I117" s="10">
        <f t="shared" si="10"/>
        <v>3130846.8293333333</v>
      </c>
      <c r="J117" s="319">
        <f t="shared" si="11"/>
        <v>-2348135.122</v>
      </c>
      <c r="K117" s="14">
        <v>36654</v>
      </c>
      <c r="L117" s="10">
        <f t="shared" si="12"/>
        <v>415945.64633333334</v>
      </c>
      <c r="M117" s="14">
        <f t="shared" si="13"/>
        <v>0</v>
      </c>
      <c r="N117" s="2">
        <f t="shared" si="14"/>
        <v>0</v>
      </c>
      <c r="O117" s="136">
        <f t="shared" si="15"/>
        <v>-2348135.122</v>
      </c>
      <c r="P117" s="34">
        <f>O117/'D) Ecrêtage'!C117</f>
        <v>-5.6452931836152347</v>
      </c>
      <c r="Q117" s="132"/>
    </row>
    <row r="118" spans="1:17" x14ac:dyDescent="0.25">
      <c r="A118" s="50">
        <f>+'A) Base RI'!A120</f>
        <v>5588</v>
      </c>
      <c r="B118" s="308" t="str">
        <f>+'A) Base RI'!B120</f>
        <v>Paudex</v>
      </c>
      <c r="C118" s="322">
        <f>+'D) Ecrêtage'!C118</f>
        <v>147210.22826945415</v>
      </c>
      <c r="D118" s="300">
        <v>128825</v>
      </c>
      <c r="E118" s="322">
        <v>478566</v>
      </c>
      <c r="F118" s="300">
        <v>30368</v>
      </c>
      <c r="G118" s="322">
        <f t="shared" si="8"/>
        <v>637759</v>
      </c>
      <c r="H118" s="300">
        <f t="shared" si="9"/>
        <v>1177681.8261556332</v>
      </c>
      <c r="I118" s="10">
        <f t="shared" si="10"/>
        <v>0</v>
      </c>
      <c r="J118" s="319">
        <f t="shared" si="11"/>
        <v>0</v>
      </c>
      <c r="K118" s="14">
        <v>1752</v>
      </c>
      <c r="L118" s="10">
        <f t="shared" si="12"/>
        <v>147210.22826945415</v>
      </c>
      <c r="M118" s="14">
        <f t="shared" si="13"/>
        <v>0</v>
      </c>
      <c r="N118" s="2">
        <f t="shared" si="14"/>
        <v>0</v>
      </c>
      <c r="O118" s="136">
        <f t="shared" si="15"/>
        <v>0</v>
      </c>
      <c r="P118" s="34">
        <f>O118/'D) Ecrêtage'!C118</f>
        <v>0</v>
      </c>
      <c r="Q118" s="132"/>
    </row>
    <row r="119" spans="1:17" x14ac:dyDescent="0.25">
      <c r="A119" s="50">
        <f>+'A) Base RI'!A121</f>
        <v>5589</v>
      </c>
      <c r="B119" s="308" t="str">
        <f>+'A) Base RI'!B121</f>
        <v>Prilly</v>
      </c>
      <c r="C119" s="322">
        <f>+'D) Ecrêtage'!C119</f>
        <v>397261.42585034011</v>
      </c>
      <c r="D119" s="300">
        <v>2822810</v>
      </c>
      <c r="E119" s="322">
        <v>3155448</v>
      </c>
      <c r="F119" s="300">
        <v>111660</v>
      </c>
      <c r="G119" s="322">
        <f t="shared" si="8"/>
        <v>6089918</v>
      </c>
      <c r="H119" s="300">
        <f t="shared" si="9"/>
        <v>3178091.4068027209</v>
      </c>
      <c r="I119" s="10">
        <f t="shared" si="10"/>
        <v>2911826.5931972791</v>
      </c>
      <c r="J119" s="319">
        <f t="shared" si="11"/>
        <v>-2183869.9448979595</v>
      </c>
      <c r="K119" s="14">
        <v>19840</v>
      </c>
      <c r="L119" s="10">
        <f t="shared" si="12"/>
        <v>397261.42585034011</v>
      </c>
      <c r="M119" s="14">
        <f t="shared" si="13"/>
        <v>0</v>
      </c>
      <c r="N119" s="2">
        <f t="shared" si="14"/>
        <v>0</v>
      </c>
      <c r="O119" s="136">
        <f t="shared" si="15"/>
        <v>-2183869.9448979595</v>
      </c>
      <c r="P119" s="34">
        <f>O119/'D) Ecrêtage'!C119</f>
        <v>-5.497311852575101</v>
      </c>
      <c r="Q119" s="132"/>
    </row>
    <row r="120" spans="1:17" x14ac:dyDescent="0.25">
      <c r="A120" s="50">
        <f>+'A) Base RI'!A122</f>
        <v>5590</v>
      </c>
      <c r="B120" s="308" t="str">
        <f>+'A) Base RI'!B122</f>
        <v>Pully</v>
      </c>
      <c r="C120" s="322">
        <f>+'D) Ecrêtage'!C120</f>
        <v>1436103.5918735364</v>
      </c>
      <c r="D120" s="300">
        <v>5453433</v>
      </c>
      <c r="E120" s="322">
        <v>8024455</v>
      </c>
      <c r="F120" s="300">
        <v>318341</v>
      </c>
      <c r="G120" s="322">
        <f t="shared" si="8"/>
        <v>13796229</v>
      </c>
      <c r="H120" s="300">
        <f t="shared" si="9"/>
        <v>11488828.734988291</v>
      </c>
      <c r="I120" s="10">
        <f t="shared" si="10"/>
        <v>2307400.2650117092</v>
      </c>
      <c r="J120" s="319">
        <f t="shared" si="11"/>
        <v>-1730550.1987587819</v>
      </c>
      <c r="K120" s="14">
        <v>448613</v>
      </c>
      <c r="L120" s="10">
        <f t="shared" si="12"/>
        <v>1436103.5918735364</v>
      </c>
      <c r="M120" s="14">
        <f t="shared" si="13"/>
        <v>0</v>
      </c>
      <c r="N120" s="2">
        <f t="shared" si="14"/>
        <v>0</v>
      </c>
      <c r="O120" s="136">
        <f t="shared" si="15"/>
        <v>-1730550.1987587819</v>
      </c>
      <c r="P120" s="34">
        <f>O120/'D) Ecrêtage'!C120</f>
        <v>-1.2050315928122646</v>
      </c>
      <c r="Q120" s="132"/>
    </row>
    <row r="121" spans="1:17" x14ac:dyDescent="0.25">
      <c r="A121" s="50">
        <f>+'A) Base RI'!A123</f>
        <v>5591</v>
      </c>
      <c r="B121" s="308" t="str">
        <f>+'A) Base RI'!B123</f>
        <v>Renens</v>
      </c>
      <c r="C121" s="322">
        <f>+'D) Ecrêtage'!C121</f>
        <v>526209.31525022746</v>
      </c>
      <c r="D121" s="300">
        <v>4368353</v>
      </c>
      <c r="E121" s="322">
        <v>7311050</v>
      </c>
      <c r="F121" s="300">
        <v>175865</v>
      </c>
      <c r="G121" s="322">
        <f t="shared" si="8"/>
        <v>11855268</v>
      </c>
      <c r="H121" s="300">
        <f t="shared" si="9"/>
        <v>4209674.5220018197</v>
      </c>
      <c r="I121" s="10">
        <f t="shared" si="10"/>
        <v>7645593.4779981803</v>
      </c>
      <c r="J121" s="319">
        <f t="shared" si="11"/>
        <v>-5734195.1084986348</v>
      </c>
      <c r="K121" s="14">
        <v>21569</v>
      </c>
      <c r="L121" s="10">
        <f t="shared" si="12"/>
        <v>526209.31525022746</v>
      </c>
      <c r="M121" s="14">
        <f t="shared" si="13"/>
        <v>0</v>
      </c>
      <c r="N121" s="2">
        <f t="shared" si="14"/>
        <v>0</v>
      </c>
      <c r="O121" s="136">
        <f t="shared" si="15"/>
        <v>-5734195.1084986348</v>
      </c>
      <c r="P121" s="34">
        <f>O121/'D) Ecrêtage'!C121</f>
        <v>-10.89717521585847</v>
      </c>
      <c r="Q121" s="132"/>
    </row>
    <row r="122" spans="1:17" x14ac:dyDescent="0.25">
      <c r="A122" s="50">
        <f>+'A) Base RI'!A124</f>
        <v>5592</v>
      </c>
      <c r="B122" s="308" t="str">
        <f>+'A) Base RI'!B124</f>
        <v>Romanel-sur-Lausanne</v>
      </c>
      <c r="C122" s="322">
        <f>+'D) Ecrêtage'!C122</f>
        <v>111498.54042857142</v>
      </c>
      <c r="D122" s="300">
        <v>986402</v>
      </c>
      <c r="E122" s="322">
        <v>246931</v>
      </c>
      <c r="F122" s="300">
        <v>31138</v>
      </c>
      <c r="G122" s="322">
        <f t="shared" si="8"/>
        <v>1264471</v>
      </c>
      <c r="H122" s="300">
        <f t="shared" si="9"/>
        <v>891988.32342857134</v>
      </c>
      <c r="I122" s="10">
        <f t="shared" si="10"/>
        <v>372482.67657142866</v>
      </c>
      <c r="J122" s="319">
        <f t="shared" si="11"/>
        <v>-279362.00742857147</v>
      </c>
      <c r="K122" s="14">
        <v>9149</v>
      </c>
      <c r="L122" s="10">
        <f t="shared" si="12"/>
        <v>111498.54042857142</v>
      </c>
      <c r="M122" s="14">
        <f t="shared" si="13"/>
        <v>0</v>
      </c>
      <c r="N122" s="2">
        <f t="shared" si="14"/>
        <v>0</v>
      </c>
      <c r="O122" s="136">
        <f t="shared" si="15"/>
        <v>-279362.00742857147</v>
      </c>
      <c r="P122" s="34">
        <f>O122/'D) Ecrêtage'!C122</f>
        <v>-2.5055216539586662</v>
      </c>
      <c r="Q122" s="132"/>
    </row>
    <row r="123" spans="1:17" x14ac:dyDescent="0.25">
      <c r="A123" s="50">
        <f>+'A) Base RI'!A125</f>
        <v>5601</v>
      </c>
      <c r="B123" s="308" t="str">
        <f>+'A) Base RI'!B125</f>
        <v>Chexbres</v>
      </c>
      <c r="C123" s="322">
        <f>+'D) Ecrêtage'!C123</f>
        <v>116832.8703125</v>
      </c>
      <c r="D123" s="300">
        <v>706417</v>
      </c>
      <c r="E123" s="322">
        <v>159394</v>
      </c>
      <c r="F123" s="300">
        <v>248462</v>
      </c>
      <c r="G123" s="322">
        <f t="shared" si="8"/>
        <v>1114273</v>
      </c>
      <c r="H123" s="300">
        <f t="shared" si="9"/>
        <v>934662.96250000002</v>
      </c>
      <c r="I123" s="10">
        <f t="shared" si="10"/>
        <v>179610.03749999998</v>
      </c>
      <c r="J123" s="319">
        <f t="shared" si="11"/>
        <v>-134707.52812499998</v>
      </c>
      <c r="K123" s="14">
        <v>54376</v>
      </c>
      <c r="L123" s="10">
        <f t="shared" si="12"/>
        <v>116832.8703125</v>
      </c>
      <c r="M123" s="14">
        <f t="shared" si="13"/>
        <v>0</v>
      </c>
      <c r="N123" s="2">
        <f t="shared" si="14"/>
        <v>0</v>
      </c>
      <c r="O123" s="136">
        <f t="shared" si="15"/>
        <v>-134707.52812499998</v>
      </c>
      <c r="P123" s="34">
        <f>O123/'D) Ecrêtage'!C123</f>
        <v>-1.152993397874156</v>
      </c>
      <c r="Q123" s="132"/>
    </row>
    <row r="124" spans="1:17" x14ac:dyDescent="0.25">
      <c r="A124" s="50">
        <f>+'A) Base RI'!A126</f>
        <v>5604</v>
      </c>
      <c r="B124" s="308" t="str">
        <f>+'A) Base RI'!B126</f>
        <v>Forel (Lavaux)</v>
      </c>
      <c r="C124" s="322">
        <f>+'D) Ecrêtage'!C124</f>
        <v>69144.285441176457</v>
      </c>
      <c r="D124" s="300">
        <v>607598</v>
      </c>
      <c r="E124" s="322">
        <v>91317</v>
      </c>
      <c r="F124" s="300">
        <v>232962</v>
      </c>
      <c r="G124" s="322">
        <f t="shared" si="8"/>
        <v>931877</v>
      </c>
      <c r="H124" s="300">
        <f t="shared" si="9"/>
        <v>553154.28352941165</v>
      </c>
      <c r="I124" s="10">
        <f t="shared" si="10"/>
        <v>378722.71647058835</v>
      </c>
      <c r="J124" s="319">
        <f t="shared" si="11"/>
        <v>-284042.03735294123</v>
      </c>
      <c r="K124" s="14">
        <v>59296</v>
      </c>
      <c r="L124" s="10">
        <f t="shared" si="12"/>
        <v>69144.285441176457</v>
      </c>
      <c r="M124" s="14">
        <f t="shared" si="13"/>
        <v>0</v>
      </c>
      <c r="N124" s="2">
        <f t="shared" si="14"/>
        <v>0</v>
      </c>
      <c r="O124" s="136">
        <f t="shared" si="15"/>
        <v>-284042.03735294123</v>
      </c>
      <c r="P124" s="34">
        <f>O124/'D) Ecrêtage'!C124</f>
        <v>-4.1079611357700134</v>
      </c>
      <c r="Q124" s="132"/>
    </row>
    <row r="125" spans="1:17" x14ac:dyDescent="0.25">
      <c r="A125" s="50">
        <f>+'A) Base RI'!A127</f>
        <v>5606</v>
      </c>
      <c r="B125" s="308" t="str">
        <f>+'A) Base RI'!B127</f>
        <v>Lutry</v>
      </c>
      <c r="C125" s="322">
        <f>+'D) Ecrêtage'!C125</f>
        <v>819312.37389961397</v>
      </c>
      <c r="D125" s="300">
        <v>4250498</v>
      </c>
      <c r="E125" s="322">
        <v>2829513</v>
      </c>
      <c r="F125" s="300">
        <v>1550803</v>
      </c>
      <c r="G125" s="322">
        <f t="shared" si="8"/>
        <v>8630814</v>
      </c>
      <c r="H125" s="300">
        <f t="shared" si="9"/>
        <v>6554498.9911969118</v>
      </c>
      <c r="I125" s="10">
        <f t="shared" si="10"/>
        <v>2076315.0088030882</v>
      </c>
      <c r="J125" s="319">
        <f t="shared" si="11"/>
        <v>-1557236.2566023162</v>
      </c>
      <c r="K125" s="14">
        <v>324954</v>
      </c>
      <c r="L125" s="10">
        <f t="shared" si="12"/>
        <v>819312.37389961397</v>
      </c>
      <c r="M125" s="14">
        <f t="shared" si="13"/>
        <v>0</v>
      </c>
      <c r="N125" s="2">
        <f t="shared" si="14"/>
        <v>0</v>
      </c>
      <c r="O125" s="136">
        <f t="shared" si="15"/>
        <v>-1557236.2566023162</v>
      </c>
      <c r="P125" s="34">
        <f>O125/'D) Ecrêtage'!C125</f>
        <v>-1.9006624411034663</v>
      </c>
      <c r="Q125" s="132"/>
    </row>
    <row r="126" spans="1:17" x14ac:dyDescent="0.25">
      <c r="A126" s="50">
        <f>+'A) Base RI'!A128</f>
        <v>5607</v>
      </c>
      <c r="B126" s="308" t="str">
        <f>+'A) Base RI'!B128</f>
        <v>Puidoux</v>
      </c>
      <c r="C126" s="322">
        <f>+'D) Ecrêtage'!C126</f>
        <v>104767.98296273292</v>
      </c>
      <c r="D126" s="300">
        <v>1142108</v>
      </c>
      <c r="E126" s="322">
        <v>256206</v>
      </c>
      <c r="F126" s="300">
        <v>606805</v>
      </c>
      <c r="G126" s="322">
        <f t="shared" si="8"/>
        <v>2005119</v>
      </c>
      <c r="H126" s="300">
        <f t="shared" si="9"/>
        <v>838143.86370186333</v>
      </c>
      <c r="I126" s="10">
        <f t="shared" si="10"/>
        <v>1166975.1362981368</v>
      </c>
      <c r="J126" s="319">
        <f t="shared" si="11"/>
        <v>-875231.35222360259</v>
      </c>
      <c r="K126" s="14">
        <v>21448</v>
      </c>
      <c r="L126" s="10">
        <f t="shared" si="12"/>
        <v>104767.98296273292</v>
      </c>
      <c r="M126" s="14">
        <f t="shared" si="13"/>
        <v>0</v>
      </c>
      <c r="N126" s="2">
        <f t="shared" si="14"/>
        <v>0</v>
      </c>
      <c r="O126" s="136">
        <f t="shared" si="15"/>
        <v>-875231.35222360259</v>
      </c>
      <c r="P126" s="34">
        <f>O126/'D) Ecrêtage'!C126</f>
        <v>-8.3539963973051918</v>
      </c>
      <c r="Q126" s="132"/>
    </row>
    <row r="127" spans="1:17" x14ac:dyDescent="0.25">
      <c r="A127" s="50">
        <f>+'A) Base RI'!A129</f>
        <v>5609</v>
      </c>
      <c r="B127" s="308" t="str">
        <f>+'A) Base RI'!B129</f>
        <v>Rivaz</v>
      </c>
      <c r="C127" s="322">
        <f>+'D) Ecrêtage'!C127</f>
        <v>15550.240157480319</v>
      </c>
      <c r="D127" s="300">
        <v>88921</v>
      </c>
      <c r="E127" s="322">
        <v>31825</v>
      </c>
      <c r="F127" s="300">
        <v>55672</v>
      </c>
      <c r="G127" s="322">
        <f t="shared" si="8"/>
        <v>176418</v>
      </c>
      <c r="H127" s="300">
        <f t="shared" si="9"/>
        <v>124401.92125984255</v>
      </c>
      <c r="I127" s="10">
        <f t="shared" si="10"/>
        <v>52016.078740157449</v>
      </c>
      <c r="J127" s="319">
        <f t="shared" si="11"/>
        <v>-39012.059055118087</v>
      </c>
      <c r="K127" s="14">
        <v>46100</v>
      </c>
      <c r="L127" s="10">
        <f t="shared" si="12"/>
        <v>15550.240157480319</v>
      </c>
      <c r="M127" s="14">
        <f t="shared" si="13"/>
        <v>30549.759842519681</v>
      </c>
      <c r="N127" s="2">
        <f t="shared" si="14"/>
        <v>-22912.319881889762</v>
      </c>
      <c r="O127" s="136">
        <f t="shared" si="15"/>
        <v>-61924.378937007845</v>
      </c>
      <c r="P127" s="34">
        <f>O127/'D) Ecrêtage'!C127</f>
        <v>-3.9822136706499429</v>
      </c>
      <c r="Q127" s="132"/>
    </row>
    <row r="128" spans="1:17" x14ac:dyDescent="0.25">
      <c r="A128" s="50">
        <f>+'A) Base RI'!A130</f>
        <v>5610</v>
      </c>
      <c r="B128" s="308" t="str">
        <f>+'A) Base RI'!B130</f>
        <v>St-Saphorin (Lavaux)</v>
      </c>
      <c r="C128" s="322">
        <f>+'D) Ecrêtage'!C128</f>
        <v>15345.496567164178</v>
      </c>
      <c r="D128" s="300">
        <v>139372</v>
      </c>
      <c r="E128" s="322">
        <v>35480</v>
      </c>
      <c r="F128" s="300">
        <v>84733</v>
      </c>
      <c r="G128" s="322">
        <f t="shared" si="8"/>
        <v>259585</v>
      </c>
      <c r="H128" s="300">
        <f t="shared" si="9"/>
        <v>122763.97253731343</v>
      </c>
      <c r="I128" s="10">
        <f t="shared" si="10"/>
        <v>136821.02746268659</v>
      </c>
      <c r="J128" s="319">
        <f t="shared" si="11"/>
        <v>-102615.77059701494</v>
      </c>
      <c r="K128" s="14">
        <v>13649</v>
      </c>
      <c r="L128" s="10">
        <f t="shared" si="12"/>
        <v>15345.496567164178</v>
      </c>
      <c r="M128" s="14">
        <f t="shared" si="13"/>
        <v>0</v>
      </c>
      <c r="N128" s="2">
        <f t="shared" si="14"/>
        <v>0</v>
      </c>
      <c r="O128" s="136">
        <f t="shared" si="15"/>
        <v>-102615.77059701494</v>
      </c>
      <c r="P128" s="34">
        <f>O128/'D) Ecrêtage'!C128</f>
        <v>-6.6870283504926791</v>
      </c>
      <c r="Q128" s="132"/>
    </row>
    <row r="129" spans="1:17" x14ac:dyDescent="0.25">
      <c r="A129" s="50">
        <f>+'A) Base RI'!A131</f>
        <v>5611</v>
      </c>
      <c r="B129" s="308" t="str">
        <f>+'A) Base RI'!B131</f>
        <v>Savigny</v>
      </c>
      <c r="C129" s="322">
        <f>+'D) Ecrêtage'!C129</f>
        <v>131982.7743236715</v>
      </c>
      <c r="D129" s="300">
        <v>1260593</v>
      </c>
      <c r="E129" s="322">
        <v>144799</v>
      </c>
      <c r="F129" s="300">
        <v>359906</v>
      </c>
      <c r="G129" s="322">
        <f t="shared" si="8"/>
        <v>1765298</v>
      </c>
      <c r="H129" s="300">
        <f t="shared" si="9"/>
        <v>1055862.194589372</v>
      </c>
      <c r="I129" s="10">
        <f t="shared" si="10"/>
        <v>709435.80541062797</v>
      </c>
      <c r="J129" s="319">
        <f t="shared" si="11"/>
        <v>-532076.85405797092</v>
      </c>
      <c r="K129" s="14">
        <v>12123</v>
      </c>
      <c r="L129" s="10">
        <f t="shared" si="12"/>
        <v>131982.7743236715</v>
      </c>
      <c r="M129" s="14">
        <f t="shared" si="13"/>
        <v>0</v>
      </c>
      <c r="N129" s="2">
        <f t="shared" si="14"/>
        <v>0</v>
      </c>
      <c r="O129" s="136">
        <f t="shared" si="15"/>
        <v>-532076.85405797092</v>
      </c>
      <c r="P129" s="34">
        <f>O129/'D) Ecrêtage'!C129</f>
        <v>-4.0314113473105051</v>
      </c>
      <c r="Q129" s="132"/>
    </row>
    <row r="130" spans="1:17" x14ac:dyDescent="0.25">
      <c r="A130" s="50">
        <f>+'A) Base RI'!A132</f>
        <v>5613</v>
      </c>
      <c r="B130" s="308" t="str">
        <f>+'A) Base RI'!B132</f>
        <v>Bourg-en-Lavaux</v>
      </c>
      <c r="C130" s="322">
        <f>+'D) Ecrêtage'!C130</f>
        <v>329819.74420765025</v>
      </c>
      <c r="D130" s="300">
        <v>1836845</v>
      </c>
      <c r="E130" s="322">
        <v>390139</v>
      </c>
      <c r="F130" s="300">
        <v>720179</v>
      </c>
      <c r="G130" s="322">
        <f t="shared" si="8"/>
        <v>2947163</v>
      </c>
      <c r="H130" s="300">
        <f t="shared" si="9"/>
        <v>2638557.953661202</v>
      </c>
      <c r="I130" s="10">
        <f t="shared" si="10"/>
        <v>308605.04633879801</v>
      </c>
      <c r="J130" s="319">
        <f t="shared" si="11"/>
        <v>-231453.78475409851</v>
      </c>
      <c r="K130" s="14">
        <v>170864</v>
      </c>
      <c r="L130" s="10">
        <f t="shared" si="12"/>
        <v>329819.74420765025</v>
      </c>
      <c r="M130" s="14">
        <f t="shared" si="13"/>
        <v>0</v>
      </c>
      <c r="N130" s="2">
        <f t="shared" si="14"/>
        <v>0</v>
      </c>
      <c r="O130" s="136">
        <f t="shared" si="15"/>
        <v>-231453.78475409851</v>
      </c>
      <c r="P130" s="34">
        <f>O130/'D) Ecrêtage'!C130</f>
        <v>-0.7017584265918847</v>
      </c>
      <c r="Q130" s="132"/>
    </row>
    <row r="131" spans="1:17" x14ac:dyDescent="0.25">
      <c r="A131" s="50">
        <f>+'A) Base RI'!A133</f>
        <v>5621</v>
      </c>
      <c r="B131" s="308" t="str">
        <f>+'A) Base RI'!B133</f>
        <v>Aclens</v>
      </c>
      <c r="C131" s="322">
        <f>+'D) Ecrêtage'!C131</f>
        <v>29752.054618768325</v>
      </c>
      <c r="D131" s="300">
        <v>215479</v>
      </c>
      <c r="E131" s="322">
        <v>18104</v>
      </c>
      <c r="F131" s="300">
        <v>41167</v>
      </c>
      <c r="G131" s="322">
        <f t="shared" si="8"/>
        <v>274750</v>
      </c>
      <c r="H131" s="300">
        <f t="shared" si="9"/>
        <v>238016.4369501466</v>
      </c>
      <c r="I131" s="10">
        <f t="shared" si="10"/>
        <v>36733.563049853401</v>
      </c>
      <c r="J131" s="319">
        <f t="shared" si="11"/>
        <v>-27550.172287390051</v>
      </c>
      <c r="K131" s="14">
        <v>37453</v>
      </c>
      <c r="L131" s="10">
        <f t="shared" si="12"/>
        <v>29752.054618768325</v>
      </c>
      <c r="M131" s="14">
        <f t="shared" si="13"/>
        <v>7700.9453812316751</v>
      </c>
      <c r="N131" s="2">
        <f t="shared" si="14"/>
        <v>-5775.7090359237563</v>
      </c>
      <c r="O131" s="136">
        <f t="shared" si="15"/>
        <v>-33325.881323313806</v>
      </c>
      <c r="P131" s="34">
        <f>O131/'D) Ecrêtage'!C131</f>
        <v>-1.1201203328758016</v>
      </c>
      <c r="Q131" s="132"/>
    </row>
    <row r="132" spans="1:17" x14ac:dyDescent="0.25">
      <c r="A132" s="50">
        <f>+'A) Base RI'!A134</f>
        <v>5622</v>
      </c>
      <c r="B132" s="308" t="str">
        <f>+'A) Base RI'!B134</f>
        <v>Bremblens</v>
      </c>
      <c r="C132" s="322">
        <f>+'D) Ecrêtage'!C132</f>
        <v>30065.565151515151</v>
      </c>
      <c r="D132" s="300">
        <v>87847</v>
      </c>
      <c r="E132" s="322">
        <v>17930</v>
      </c>
      <c r="F132" s="300">
        <v>37798</v>
      </c>
      <c r="G132" s="322">
        <f t="shared" si="8"/>
        <v>143575</v>
      </c>
      <c r="H132" s="300">
        <f t="shared" si="9"/>
        <v>240524.52121212121</v>
      </c>
      <c r="I132" s="10">
        <f t="shared" si="10"/>
        <v>0</v>
      </c>
      <c r="J132" s="319">
        <f t="shared" si="11"/>
        <v>0</v>
      </c>
      <c r="K132" s="14">
        <v>24395</v>
      </c>
      <c r="L132" s="10">
        <f t="shared" si="12"/>
        <v>30065.565151515151</v>
      </c>
      <c r="M132" s="14">
        <f t="shared" si="13"/>
        <v>0</v>
      </c>
      <c r="N132" s="2">
        <f t="shared" si="14"/>
        <v>0</v>
      </c>
      <c r="O132" s="136">
        <f t="shared" si="15"/>
        <v>0</v>
      </c>
      <c r="P132" s="34">
        <f>O132/'D) Ecrêtage'!C132</f>
        <v>0</v>
      </c>
      <c r="Q132" s="132"/>
    </row>
    <row r="133" spans="1:17" x14ac:dyDescent="0.25">
      <c r="A133" s="50">
        <f>+'A) Base RI'!A135</f>
        <v>5623</v>
      </c>
      <c r="B133" s="308" t="str">
        <f>+'A) Base RI'!B135</f>
        <v>Buchillon</v>
      </c>
      <c r="C133" s="322">
        <f>+'D) Ecrêtage'!C133</f>
        <v>74720.547735849046</v>
      </c>
      <c r="D133" s="300">
        <v>131900</v>
      </c>
      <c r="E133" s="322">
        <v>60565</v>
      </c>
      <c r="F133" s="300">
        <v>65377</v>
      </c>
      <c r="G133" s="322">
        <f t="shared" si="8"/>
        <v>257842</v>
      </c>
      <c r="H133" s="300">
        <f t="shared" si="9"/>
        <v>597764.38188679237</v>
      </c>
      <c r="I133" s="10">
        <f t="shared" si="10"/>
        <v>0</v>
      </c>
      <c r="J133" s="319">
        <f t="shared" si="11"/>
        <v>0</v>
      </c>
      <c r="K133" s="14">
        <v>15216</v>
      </c>
      <c r="L133" s="10">
        <f t="shared" si="12"/>
        <v>74720.547735849046</v>
      </c>
      <c r="M133" s="14">
        <f t="shared" si="13"/>
        <v>0</v>
      </c>
      <c r="N133" s="2">
        <f t="shared" si="14"/>
        <v>0</v>
      </c>
      <c r="O133" s="136">
        <f t="shared" si="15"/>
        <v>0</v>
      </c>
      <c r="P133" s="34">
        <f>O133/'D) Ecrêtage'!C133</f>
        <v>0</v>
      </c>
      <c r="Q133" s="132"/>
    </row>
    <row r="134" spans="1:17" x14ac:dyDescent="0.25">
      <c r="A134" s="50">
        <f>+'A) Base RI'!A136</f>
        <v>5624</v>
      </c>
      <c r="B134" s="308" t="str">
        <f>+'A) Base RI'!B136</f>
        <v>Bussigny</v>
      </c>
      <c r="C134" s="322">
        <f>+'D) Ecrêtage'!C134</f>
        <v>313352.53032258071</v>
      </c>
      <c r="D134" s="300">
        <v>1261550</v>
      </c>
      <c r="E134" s="322">
        <v>2405679</v>
      </c>
      <c r="F134" s="300">
        <v>274943</v>
      </c>
      <c r="G134" s="322">
        <f t="shared" ref="G134:G197" si="16">SUM(D134:F134)</f>
        <v>3942172</v>
      </c>
      <c r="H134" s="300">
        <f t="shared" ref="H134:H197" si="17">+C134*$I$4</f>
        <v>2506820.2425806457</v>
      </c>
      <c r="I134" s="10">
        <f t="shared" ref="I134:I197" si="18">IF(G134&gt;H134,G134-H134,0)</f>
        <v>1435351.7574193543</v>
      </c>
      <c r="J134" s="319">
        <f t="shared" ref="J134:J197" si="19">-I134*J$4</f>
        <v>-1076513.8180645157</v>
      </c>
      <c r="K134" s="14">
        <v>210130</v>
      </c>
      <c r="L134" s="10">
        <f t="shared" ref="L134:L197" si="20">C134*M$4</f>
        <v>313352.53032258071</v>
      </c>
      <c r="M134" s="14">
        <f t="shared" ref="M134:M197" si="21">IF(K134&gt;L134,K134-L134,0)</f>
        <v>0</v>
      </c>
      <c r="N134" s="2">
        <f t="shared" ref="N134:N197" si="22">-M134*N$4</f>
        <v>0</v>
      </c>
      <c r="O134" s="136">
        <f t="shared" ref="O134:O197" si="23">N134+J134</f>
        <v>-1076513.8180645157</v>
      </c>
      <c r="P134" s="34">
        <f>O134/'D) Ecrêtage'!C134</f>
        <v>-3.4354719170650982</v>
      </c>
      <c r="Q134" s="132"/>
    </row>
    <row r="135" spans="1:17" x14ac:dyDescent="0.25">
      <c r="A135" s="50">
        <f>+'A) Base RI'!A137</f>
        <v>5625</v>
      </c>
      <c r="B135" s="308" t="str">
        <f>+'A) Base RI'!B137</f>
        <v>Bussy-Chardonney</v>
      </c>
      <c r="C135" s="322">
        <f>+'D) Ecrêtage'!C135</f>
        <v>13647.695555555556</v>
      </c>
      <c r="D135" s="300">
        <v>48685</v>
      </c>
      <c r="E135" s="322">
        <v>32055</v>
      </c>
      <c r="F135" s="300">
        <v>48752</v>
      </c>
      <c r="G135" s="322">
        <f t="shared" si="16"/>
        <v>129492</v>
      </c>
      <c r="H135" s="300">
        <f t="shared" si="17"/>
        <v>109181.56444444445</v>
      </c>
      <c r="I135" s="10">
        <f t="shared" si="18"/>
        <v>20310.435555555552</v>
      </c>
      <c r="J135" s="319">
        <f t="shared" si="19"/>
        <v>-15232.826666666664</v>
      </c>
      <c r="K135" s="14">
        <v>6420</v>
      </c>
      <c r="L135" s="10">
        <f t="shared" si="20"/>
        <v>13647.695555555556</v>
      </c>
      <c r="M135" s="14">
        <f t="shared" si="21"/>
        <v>0</v>
      </c>
      <c r="N135" s="2">
        <f t="shared" si="22"/>
        <v>0</v>
      </c>
      <c r="O135" s="136">
        <f t="shared" si="23"/>
        <v>-15232.826666666664</v>
      </c>
      <c r="P135" s="34">
        <f>O135/'D) Ecrêtage'!C135</f>
        <v>-1.1161464296048025</v>
      </c>
      <c r="Q135" s="132"/>
    </row>
    <row r="136" spans="1:17" x14ac:dyDescent="0.25">
      <c r="A136" s="50">
        <f>+'A) Base RI'!A138</f>
        <v>5627</v>
      </c>
      <c r="B136" s="308" t="str">
        <f>+'A) Base RI'!B138</f>
        <v>Chavannes-près-Renens</v>
      </c>
      <c r="C136" s="322">
        <f>+'D) Ecrêtage'!C136</f>
        <v>167740.14928270038</v>
      </c>
      <c r="D136" s="300">
        <v>945239</v>
      </c>
      <c r="E136" s="322">
        <v>2341447</v>
      </c>
      <c r="F136" s="300">
        <v>5564</v>
      </c>
      <c r="G136" s="322">
        <f t="shared" si="16"/>
        <v>3292250</v>
      </c>
      <c r="H136" s="300">
        <f t="shared" si="17"/>
        <v>1341921.1942616031</v>
      </c>
      <c r="I136" s="10">
        <f t="shared" si="18"/>
        <v>1950328.8057383969</v>
      </c>
      <c r="J136" s="319">
        <f t="shared" si="19"/>
        <v>-1462746.6043037977</v>
      </c>
      <c r="K136" s="14">
        <v>11212</v>
      </c>
      <c r="L136" s="10">
        <f t="shared" si="20"/>
        <v>167740.14928270038</v>
      </c>
      <c r="M136" s="14">
        <f t="shared" si="21"/>
        <v>0</v>
      </c>
      <c r="N136" s="2">
        <f t="shared" si="22"/>
        <v>0</v>
      </c>
      <c r="O136" s="136">
        <f t="shared" si="23"/>
        <v>-1462746.6043037977</v>
      </c>
      <c r="P136" s="34">
        <f>O136/'D) Ecrêtage'!C136</f>
        <v>-8.7203129993556985</v>
      </c>
      <c r="Q136" s="132"/>
    </row>
    <row r="137" spans="1:17" x14ac:dyDescent="0.25">
      <c r="A137" s="50">
        <f>+'A) Base RI'!A139</f>
        <v>5628</v>
      </c>
      <c r="B137" s="308" t="str">
        <f>+'A) Base RI'!B139</f>
        <v>Chigny</v>
      </c>
      <c r="C137" s="322">
        <f>+'D) Ecrêtage'!C137</f>
        <v>19513.351129032257</v>
      </c>
      <c r="D137" s="300">
        <v>12647</v>
      </c>
      <c r="E137" s="322">
        <v>29796</v>
      </c>
      <c r="F137" s="300">
        <v>37406</v>
      </c>
      <c r="G137" s="322">
        <f t="shared" si="16"/>
        <v>79849</v>
      </c>
      <c r="H137" s="300">
        <f t="shared" si="17"/>
        <v>156106.80903225805</v>
      </c>
      <c r="I137" s="10">
        <f t="shared" si="18"/>
        <v>0</v>
      </c>
      <c r="J137" s="319">
        <f t="shared" si="19"/>
        <v>0</v>
      </c>
      <c r="K137" s="14">
        <v>3201</v>
      </c>
      <c r="L137" s="10">
        <f t="shared" si="20"/>
        <v>19513.351129032257</v>
      </c>
      <c r="M137" s="14">
        <f t="shared" si="21"/>
        <v>0</v>
      </c>
      <c r="N137" s="2">
        <f t="shared" si="22"/>
        <v>0</v>
      </c>
      <c r="O137" s="136">
        <f t="shared" si="23"/>
        <v>0</v>
      </c>
      <c r="P137" s="34">
        <f>O137/'D) Ecrêtage'!C137</f>
        <v>0</v>
      </c>
      <c r="Q137" s="132"/>
    </row>
    <row r="138" spans="1:17" x14ac:dyDescent="0.25">
      <c r="A138" s="50">
        <f>+'A) Base RI'!A140</f>
        <v>5629</v>
      </c>
      <c r="B138" s="308" t="str">
        <f>+'A) Base RI'!B140</f>
        <v>Clarmont</v>
      </c>
      <c r="C138" s="322">
        <f>+'D) Ecrêtage'!C138</f>
        <v>7442.8926666666675</v>
      </c>
      <c r="D138" s="300">
        <v>86826</v>
      </c>
      <c r="E138" s="322">
        <v>6081</v>
      </c>
      <c r="F138" s="300">
        <v>21522</v>
      </c>
      <c r="G138" s="322">
        <f t="shared" si="16"/>
        <v>114429</v>
      </c>
      <c r="H138" s="300">
        <f t="shared" si="17"/>
        <v>59543.14133333334</v>
      </c>
      <c r="I138" s="10">
        <f t="shared" si="18"/>
        <v>54885.85866666666</v>
      </c>
      <c r="J138" s="319">
        <f t="shared" si="19"/>
        <v>-41164.393999999993</v>
      </c>
      <c r="K138" s="14">
        <v>350</v>
      </c>
      <c r="L138" s="10">
        <f t="shared" si="20"/>
        <v>7442.8926666666675</v>
      </c>
      <c r="M138" s="14">
        <f t="shared" si="21"/>
        <v>0</v>
      </c>
      <c r="N138" s="2">
        <f t="shared" si="22"/>
        <v>0</v>
      </c>
      <c r="O138" s="136">
        <f t="shared" si="23"/>
        <v>-41164.393999999993</v>
      </c>
      <c r="P138" s="34">
        <f>O138/'D) Ecrêtage'!C138</f>
        <v>-5.5306983243701202</v>
      </c>
      <c r="Q138" s="132"/>
    </row>
    <row r="139" spans="1:17" x14ac:dyDescent="0.25">
      <c r="A139" s="50">
        <f>+'A) Base RI'!A141</f>
        <v>5631</v>
      </c>
      <c r="B139" s="308" t="str">
        <f>+'A) Base RI'!B141</f>
        <v>Denens</v>
      </c>
      <c r="C139" s="322">
        <f>+'D) Ecrêtage'!C139</f>
        <v>45367.235142857142</v>
      </c>
      <c r="D139" s="300">
        <v>307140</v>
      </c>
      <c r="E139" s="322">
        <v>33295</v>
      </c>
      <c r="F139" s="300">
        <v>72655</v>
      </c>
      <c r="G139" s="322">
        <f t="shared" si="16"/>
        <v>413090</v>
      </c>
      <c r="H139" s="300">
        <f t="shared" si="17"/>
        <v>362937.88114285714</v>
      </c>
      <c r="I139" s="10">
        <f t="shared" si="18"/>
        <v>50152.118857142865</v>
      </c>
      <c r="J139" s="319">
        <f t="shared" si="19"/>
        <v>-37614.089142857149</v>
      </c>
      <c r="K139" s="14">
        <v>7517</v>
      </c>
      <c r="L139" s="10">
        <f t="shared" si="20"/>
        <v>45367.235142857142</v>
      </c>
      <c r="M139" s="14">
        <f t="shared" si="21"/>
        <v>0</v>
      </c>
      <c r="N139" s="2">
        <f t="shared" si="22"/>
        <v>0</v>
      </c>
      <c r="O139" s="136">
        <f t="shared" si="23"/>
        <v>-37614.089142857149</v>
      </c>
      <c r="P139" s="34">
        <f>O139/'D) Ecrêtage'!C139</f>
        <v>-0.82910252353739278</v>
      </c>
      <c r="Q139" s="132"/>
    </row>
    <row r="140" spans="1:17" x14ac:dyDescent="0.25">
      <c r="A140" s="50">
        <f>+'A) Base RI'!A142</f>
        <v>5632</v>
      </c>
      <c r="B140" s="308" t="str">
        <f>+'A) Base RI'!B142</f>
        <v>Denges</v>
      </c>
      <c r="C140" s="322">
        <f>+'D) Ecrêtage'!C140</f>
        <v>67164.535483870975</v>
      </c>
      <c r="D140" s="300">
        <v>147813</v>
      </c>
      <c r="E140" s="322">
        <v>364823</v>
      </c>
      <c r="F140" s="300">
        <v>55236</v>
      </c>
      <c r="G140" s="322">
        <f t="shared" si="16"/>
        <v>567872</v>
      </c>
      <c r="H140" s="300">
        <f t="shared" si="17"/>
        <v>537316.2838709678</v>
      </c>
      <c r="I140" s="10">
        <f t="shared" si="18"/>
        <v>30555.716129032196</v>
      </c>
      <c r="J140" s="319">
        <f t="shared" si="19"/>
        <v>-22916.787096774147</v>
      </c>
      <c r="K140" s="14">
        <v>135</v>
      </c>
      <c r="L140" s="10">
        <f t="shared" si="20"/>
        <v>67164.535483870975</v>
      </c>
      <c r="M140" s="14">
        <f t="shared" si="21"/>
        <v>0</v>
      </c>
      <c r="N140" s="2">
        <f t="shared" si="22"/>
        <v>0</v>
      </c>
      <c r="O140" s="136">
        <f t="shared" si="23"/>
        <v>-22916.787096774147</v>
      </c>
      <c r="P140" s="34">
        <f>O140/'D) Ecrêtage'!C140</f>
        <v>-0.34120368631563647</v>
      </c>
      <c r="Q140" s="132"/>
    </row>
    <row r="141" spans="1:17" x14ac:dyDescent="0.25">
      <c r="A141" s="50">
        <f>+'A) Base RI'!A143</f>
        <v>5633</v>
      </c>
      <c r="B141" s="308" t="str">
        <f>+'A) Base RI'!B143</f>
        <v>Echandens</v>
      </c>
      <c r="C141" s="322">
        <f>+'D) Ecrêtage'!C141</f>
        <v>132114.82112903227</v>
      </c>
      <c r="D141" s="300">
        <v>773778</v>
      </c>
      <c r="E141" s="322">
        <v>660535</v>
      </c>
      <c r="F141" s="300">
        <v>155646</v>
      </c>
      <c r="G141" s="322">
        <f t="shared" si="16"/>
        <v>1589959</v>
      </c>
      <c r="H141" s="300">
        <f t="shared" si="17"/>
        <v>1056918.5690322581</v>
      </c>
      <c r="I141" s="10">
        <f t="shared" si="18"/>
        <v>533040.43096774188</v>
      </c>
      <c r="J141" s="319">
        <f t="shared" si="19"/>
        <v>-399780.32322580641</v>
      </c>
      <c r="K141" s="14">
        <v>40826</v>
      </c>
      <c r="L141" s="10">
        <f t="shared" si="20"/>
        <v>132114.82112903227</v>
      </c>
      <c r="M141" s="14">
        <f t="shared" si="21"/>
        <v>0</v>
      </c>
      <c r="N141" s="2">
        <f t="shared" si="22"/>
        <v>0</v>
      </c>
      <c r="O141" s="136">
        <f t="shared" si="23"/>
        <v>-399780.32322580641</v>
      </c>
      <c r="P141" s="34">
        <f>O141/'D) Ecrêtage'!C141</f>
        <v>-3.0260066191616302</v>
      </c>
      <c r="Q141" s="132"/>
    </row>
    <row r="142" spans="1:17" x14ac:dyDescent="0.25">
      <c r="A142" s="50">
        <f>+'A) Base RI'!A144</f>
        <v>5634</v>
      </c>
      <c r="B142" s="308" t="str">
        <f>+'A) Base RI'!B144</f>
        <v>Echichens</v>
      </c>
      <c r="C142" s="322">
        <f>+'D) Ecrêtage'!C142</f>
        <v>126696.63529411763</v>
      </c>
      <c r="D142" s="300">
        <v>327518</v>
      </c>
      <c r="E142" s="322">
        <v>301838</v>
      </c>
      <c r="F142" s="300">
        <v>199276</v>
      </c>
      <c r="G142" s="322">
        <f t="shared" si="16"/>
        <v>828632</v>
      </c>
      <c r="H142" s="300">
        <f t="shared" si="17"/>
        <v>1013573.082352941</v>
      </c>
      <c r="I142" s="10">
        <f t="shared" si="18"/>
        <v>0</v>
      </c>
      <c r="J142" s="319">
        <f t="shared" si="19"/>
        <v>0</v>
      </c>
      <c r="K142" s="14">
        <v>37538</v>
      </c>
      <c r="L142" s="10">
        <f t="shared" si="20"/>
        <v>126696.63529411763</v>
      </c>
      <c r="M142" s="14">
        <f t="shared" si="21"/>
        <v>0</v>
      </c>
      <c r="N142" s="2">
        <f t="shared" si="22"/>
        <v>0</v>
      </c>
      <c r="O142" s="136">
        <f t="shared" si="23"/>
        <v>0</v>
      </c>
      <c r="P142" s="34">
        <f>O142/'D) Ecrêtage'!C142</f>
        <v>0</v>
      </c>
      <c r="Q142" s="132"/>
    </row>
    <row r="143" spans="1:17" x14ac:dyDescent="0.25">
      <c r="A143" s="50">
        <f>+'A) Base RI'!A145</f>
        <v>5635</v>
      </c>
      <c r="B143" s="308" t="str">
        <f>+'A) Base RI'!B145</f>
        <v>Ecublens</v>
      </c>
      <c r="C143" s="322">
        <f>+'D) Ecrêtage'!C143</f>
        <v>448558.27357385395</v>
      </c>
      <c r="D143" s="300">
        <v>3458050</v>
      </c>
      <c r="E143" s="322">
        <v>3631126</v>
      </c>
      <c r="F143" s="300">
        <v>161767</v>
      </c>
      <c r="G143" s="322">
        <f t="shared" si="16"/>
        <v>7250943</v>
      </c>
      <c r="H143" s="300">
        <f t="shared" si="17"/>
        <v>3588466.1885908316</v>
      </c>
      <c r="I143" s="10">
        <f t="shared" si="18"/>
        <v>3662476.8114091684</v>
      </c>
      <c r="J143" s="319">
        <f t="shared" si="19"/>
        <v>-2746857.6085568764</v>
      </c>
      <c r="K143" s="14">
        <v>123711</v>
      </c>
      <c r="L143" s="10">
        <f t="shared" si="20"/>
        <v>448558.27357385395</v>
      </c>
      <c r="M143" s="14">
        <f t="shared" si="21"/>
        <v>0</v>
      </c>
      <c r="N143" s="2">
        <f t="shared" si="22"/>
        <v>0</v>
      </c>
      <c r="O143" s="136">
        <f t="shared" si="23"/>
        <v>-2746857.6085568764</v>
      </c>
      <c r="P143" s="34">
        <f>O143/'D) Ecrêtage'!C143</f>
        <v>-6.1237475048035499</v>
      </c>
      <c r="Q143" s="132"/>
    </row>
    <row r="144" spans="1:17" x14ac:dyDescent="0.25">
      <c r="A144" s="50">
        <f>+'A) Base RI'!A146</f>
        <v>5636</v>
      </c>
      <c r="B144" s="308" t="str">
        <f>+'A) Base RI'!B146</f>
        <v>Etoy</v>
      </c>
      <c r="C144" s="322">
        <f>+'D) Ecrêtage'!C144</f>
        <v>151105.62688524593</v>
      </c>
      <c r="D144" s="300">
        <v>513012</v>
      </c>
      <c r="E144" s="322">
        <v>339485</v>
      </c>
      <c r="F144" s="300">
        <v>348087</v>
      </c>
      <c r="G144" s="322">
        <f t="shared" si="16"/>
        <v>1200584</v>
      </c>
      <c r="H144" s="300">
        <f t="shared" si="17"/>
        <v>1208845.0150819675</v>
      </c>
      <c r="I144" s="10">
        <f t="shared" si="18"/>
        <v>0</v>
      </c>
      <c r="J144" s="319">
        <f t="shared" si="19"/>
        <v>0</v>
      </c>
      <c r="K144" s="14">
        <v>13446</v>
      </c>
      <c r="L144" s="10">
        <f t="shared" si="20"/>
        <v>151105.62688524593</v>
      </c>
      <c r="M144" s="14">
        <f t="shared" si="21"/>
        <v>0</v>
      </c>
      <c r="N144" s="2">
        <f t="shared" si="22"/>
        <v>0</v>
      </c>
      <c r="O144" s="136">
        <f t="shared" si="23"/>
        <v>0</v>
      </c>
      <c r="P144" s="34">
        <f>O144/'D) Ecrêtage'!C144</f>
        <v>0</v>
      </c>
      <c r="Q144" s="132"/>
    </row>
    <row r="145" spans="1:17" x14ac:dyDescent="0.25">
      <c r="A145" s="50">
        <f>+'A) Base RI'!A147</f>
        <v>5637</v>
      </c>
      <c r="B145" s="308" t="str">
        <f>+'A) Base RI'!B147</f>
        <v>Lavigny</v>
      </c>
      <c r="C145" s="322">
        <f>+'D) Ecrêtage'!C145</f>
        <v>36088.085548098432</v>
      </c>
      <c r="D145" s="300">
        <v>204076</v>
      </c>
      <c r="E145" s="322">
        <v>72220</v>
      </c>
      <c r="F145" s="300">
        <v>134938</v>
      </c>
      <c r="G145" s="322">
        <f t="shared" si="16"/>
        <v>411234</v>
      </c>
      <c r="H145" s="300">
        <f t="shared" si="17"/>
        <v>288704.68438478746</v>
      </c>
      <c r="I145" s="10">
        <f t="shared" si="18"/>
        <v>122529.31561521254</v>
      </c>
      <c r="J145" s="319">
        <f t="shared" si="19"/>
        <v>-91896.986711409409</v>
      </c>
      <c r="K145" s="14">
        <v>0</v>
      </c>
      <c r="L145" s="10">
        <f t="shared" si="20"/>
        <v>36088.085548098432</v>
      </c>
      <c r="M145" s="14">
        <f t="shared" si="21"/>
        <v>0</v>
      </c>
      <c r="N145" s="2">
        <f t="shared" si="22"/>
        <v>0</v>
      </c>
      <c r="O145" s="136">
        <f t="shared" si="23"/>
        <v>-91896.986711409409</v>
      </c>
      <c r="P145" s="34">
        <f>O145/'D) Ecrêtage'!C145</f>
        <v>-2.5464633359098121</v>
      </c>
      <c r="Q145" s="132"/>
    </row>
    <row r="146" spans="1:17" x14ac:dyDescent="0.25">
      <c r="A146" s="50">
        <f>+'A) Base RI'!A148</f>
        <v>5638</v>
      </c>
      <c r="B146" s="308" t="str">
        <f>+'A) Base RI'!B148</f>
        <v>Lonay</v>
      </c>
      <c r="C146" s="322">
        <f>+'D) Ecrêtage'!C146</f>
        <v>147307.25563636364</v>
      </c>
      <c r="D146" s="300">
        <v>755175</v>
      </c>
      <c r="E146" s="322">
        <v>773090</v>
      </c>
      <c r="F146" s="300">
        <v>62710</v>
      </c>
      <c r="G146" s="322">
        <f t="shared" si="16"/>
        <v>1590975</v>
      </c>
      <c r="H146" s="300">
        <f t="shared" si="17"/>
        <v>1178458.0450909091</v>
      </c>
      <c r="I146" s="10">
        <f t="shared" si="18"/>
        <v>412516.95490909088</v>
      </c>
      <c r="J146" s="319">
        <f t="shared" si="19"/>
        <v>-309387.71618181816</v>
      </c>
      <c r="K146" s="14">
        <v>-2795</v>
      </c>
      <c r="L146" s="10">
        <f t="shared" si="20"/>
        <v>147307.25563636364</v>
      </c>
      <c r="M146" s="14">
        <f t="shared" si="21"/>
        <v>0</v>
      </c>
      <c r="N146" s="2">
        <f t="shared" si="22"/>
        <v>0</v>
      </c>
      <c r="O146" s="136">
        <f t="shared" si="23"/>
        <v>-309387.71618181816</v>
      </c>
      <c r="P146" s="34">
        <f>O146/'D) Ecrêtage'!C146</f>
        <v>-2.1002883723905588</v>
      </c>
      <c r="Q146" s="132"/>
    </row>
    <row r="147" spans="1:17" x14ac:dyDescent="0.25">
      <c r="A147" s="50">
        <f>+'A) Base RI'!A149</f>
        <v>5639</v>
      </c>
      <c r="B147" s="308" t="str">
        <f>+'A) Base RI'!B149</f>
        <v>Lully</v>
      </c>
      <c r="C147" s="322">
        <f>+'D) Ecrêtage'!C147</f>
        <v>51219.676393442627</v>
      </c>
      <c r="D147" s="300">
        <v>76510</v>
      </c>
      <c r="E147" s="322">
        <v>121944</v>
      </c>
      <c r="F147" s="300">
        <v>16954</v>
      </c>
      <c r="G147" s="322">
        <f t="shared" si="16"/>
        <v>215408</v>
      </c>
      <c r="H147" s="300">
        <f t="shared" si="17"/>
        <v>409757.41114754102</v>
      </c>
      <c r="I147" s="10">
        <f t="shared" si="18"/>
        <v>0</v>
      </c>
      <c r="J147" s="319">
        <f t="shared" si="19"/>
        <v>0</v>
      </c>
      <c r="K147" s="14">
        <v>8110</v>
      </c>
      <c r="L147" s="10">
        <f t="shared" si="20"/>
        <v>51219.676393442627</v>
      </c>
      <c r="M147" s="14">
        <f t="shared" si="21"/>
        <v>0</v>
      </c>
      <c r="N147" s="2">
        <f t="shared" si="22"/>
        <v>0</v>
      </c>
      <c r="O147" s="136">
        <f t="shared" si="23"/>
        <v>0</v>
      </c>
      <c r="P147" s="34">
        <f>O147/'D) Ecrêtage'!C147</f>
        <v>0</v>
      </c>
      <c r="Q147" s="132"/>
    </row>
    <row r="148" spans="1:17" x14ac:dyDescent="0.25">
      <c r="A148" s="50">
        <f>+'A) Base RI'!A150</f>
        <v>5640</v>
      </c>
      <c r="B148" s="308" t="str">
        <f>+'A) Base RI'!B150</f>
        <v>Lussy-sur-Morges</v>
      </c>
      <c r="C148" s="322">
        <f>+'D) Ecrêtage'!C148</f>
        <v>55173.413636363643</v>
      </c>
      <c r="D148" s="300">
        <v>164209</v>
      </c>
      <c r="E148" s="322">
        <v>91340</v>
      </c>
      <c r="F148" s="300">
        <v>74967</v>
      </c>
      <c r="G148" s="322">
        <f t="shared" si="16"/>
        <v>330516</v>
      </c>
      <c r="H148" s="300">
        <f t="shared" si="17"/>
        <v>441387.30909090914</v>
      </c>
      <c r="I148" s="10">
        <f t="shared" si="18"/>
        <v>0</v>
      </c>
      <c r="J148" s="319">
        <f t="shared" si="19"/>
        <v>0</v>
      </c>
      <c r="K148" s="14">
        <v>12094</v>
      </c>
      <c r="L148" s="10">
        <f t="shared" si="20"/>
        <v>55173.413636363643</v>
      </c>
      <c r="M148" s="14">
        <f t="shared" si="21"/>
        <v>0</v>
      </c>
      <c r="N148" s="2">
        <f t="shared" si="22"/>
        <v>0</v>
      </c>
      <c r="O148" s="136">
        <f t="shared" si="23"/>
        <v>0</v>
      </c>
      <c r="P148" s="34">
        <f>O148/'D) Ecrêtage'!C148</f>
        <v>0</v>
      </c>
      <c r="Q148" s="132"/>
    </row>
    <row r="149" spans="1:17" x14ac:dyDescent="0.25">
      <c r="A149" s="50">
        <f>+'A) Base RI'!A151</f>
        <v>5642</v>
      </c>
      <c r="B149" s="308" t="str">
        <f>+'A) Base RI'!B151</f>
        <v>Morges</v>
      </c>
      <c r="C149" s="322">
        <f>+'D) Ecrêtage'!C149</f>
        <v>737766.82978102157</v>
      </c>
      <c r="D149" s="300">
        <v>3198481</v>
      </c>
      <c r="E149" s="322">
        <v>3717052</v>
      </c>
      <c r="F149" s="300">
        <v>95042</v>
      </c>
      <c r="G149" s="322">
        <f t="shared" si="16"/>
        <v>7010575</v>
      </c>
      <c r="H149" s="300">
        <f t="shared" si="17"/>
        <v>5902134.6382481726</v>
      </c>
      <c r="I149" s="10">
        <f t="shared" si="18"/>
        <v>1108440.3617518274</v>
      </c>
      <c r="J149" s="319">
        <f t="shared" si="19"/>
        <v>-831330.27131387056</v>
      </c>
      <c r="K149" s="14">
        <v>105357</v>
      </c>
      <c r="L149" s="10">
        <f t="shared" si="20"/>
        <v>737766.82978102157</v>
      </c>
      <c r="M149" s="14">
        <f t="shared" si="21"/>
        <v>0</v>
      </c>
      <c r="N149" s="2">
        <f t="shared" si="22"/>
        <v>0</v>
      </c>
      <c r="O149" s="136">
        <f t="shared" si="23"/>
        <v>-831330.27131387056</v>
      </c>
      <c r="P149" s="34">
        <f>O149/'D) Ecrêtage'!C149</f>
        <v>-1.12681979963862</v>
      </c>
      <c r="Q149" s="132"/>
    </row>
    <row r="150" spans="1:17" x14ac:dyDescent="0.25">
      <c r="A150" s="50">
        <f>+'A) Base RI'!A152</f>
        <v>5643</v>
      </c>
      <c r="B150" s="308" t="str">
        <f>+'A) Base RI'!B152</f>
        <v>Préverenges</v>
      </c>
      <c r="C150" s="322">
        <f>+'D) Ecrêtage'!C150</f>
        <v>261619.24140624996</v>
      </c>
      <c r="D150" s="300">
        <v>166026</v>
      </c>
      <c r="E150" s="322">
        <v>1031286</v>
      </c>
      <c r="F150" s="300">
        <v>123041</v>
      </c>
      <c r="G150" s="322">
        <f t="shared" si="16"/>
        <v>1320353</v>
      </c>
      <c r="H150" s="300">
        <f t="shared" si="17"/>
        <v>2092953.9312499997</v>
      </c>
      <c r="I150" s="10">
        <f t="shared" si="18"/>
        <v>0</v>
      </c>
      <c r="J150" s="319">
        <f t="shared" si="19"/>
        <v>0</v>
      </c>
      <c r="K150" s="14">
        <v>150</v>
      </c>
      <c r="L150" s="10">
        <f t="shared" si="20"/>
        <v>261619.24140624996</v>
      </c>
      <c r="M150" s="14">
        <f t="shared" si="21"/>
        <v>0</v>
      </c>
      <c r="N150" s="2">
        <f t="shared" si="22"/>
        <v>0</v>
      </c>
      <c r="O150" s="136">
        <f t="shared" si="23"/>
        <v>0</v>
      </c>
      <c r="P150" s="34">
        <f>O150/'D) Ecrêtage'!C150</f>
        <v>0</v>
      </c>
      <c r="Q150" s="132"/>
    </row>
    <row r="151" spans="1:17" x14ac:dyDescent="0.25">
      <c r="A151" s="50">
        <f>+'A) Base RI'!A153</f>
        <v>5644</v>
      </c>
      <c r="B151" s="308" t="str">
        <f>+'A) Base RI'!B153</f>
        <v>Reverolle</v>
      </c>
      <c r="C151" s="322">
        <f>+'D) Ecrêtage'!C151</f>
        <v>14956.659078947367</v>
      </c>
      <c r="D151" s="300">
        <v>95943</v>
      </c>
      <c r="E151" s="322">
        <v>25574</v>
      </c>
      <c r="F151" s="300">
        <v>47184</v>
      </c>
      <c r="G151" s="322">
        <f t="shared" si="16"/>
        <v>168701</v>
      </c>
      <c r="H151" s="300">
        <f t="shared" si="17"/>
        <v>119653.27263157893</v>
      </c>
      <c r="I151" s="10">
        <f t="shared" si="18"/>
        <v>49047.727368421067</v>
      </c>
      <c r="J151" s="319">
        <f t="shared" si="19"/>
        <v>-36785.7955263158</v>
      </c>
      <c r="K151" s="14">
        <v>6888</v>
      </c>
      <c r="L151" s="10">
        <f t="shared" si="20"/>
        <v>14956.659078947367</v>
      </c>
      <c r="M151" s="14">
        <f t="shared" si="21"/>
        <v>0</v>
      </c>
      <c r="N151" s="2">
        <f t="shared" si="22"/>
        <v>0</v>
      </c>
      <c r="O151" s="136">
        <f t="shared" si="23"/>
        <v>-36785.7955263158</v>
      </c>
      <c r="P151" s="34">
        <f>O151/'D) Ecrêtage'!C151</f>
        <v>-2.4594928140131644</v>
      </c>
      <c r="Q151" s="132"/>
    </row>
    <row r="152" spans="1:17" x14ac:dyDescent="0.25">
      <c r="A152" s="50">
        <f>+'A) Base RI'!A154</f>
        <v>5645</v>
      </c>
      <c r="B152" s="308" t="str">
        <f>+'A) Base RI'!B154</f>
        <v>Romanel-sur-Morges</v>
      </c>
      <c r="C152" s="322">
        <f>+'D) Ecrêtage'!C152</f>
        <v>26019.982455357142</v>
      </c>
      <c r="D152" s="300">
        <v>26238</v>
      </c>
      <c r="E152" s="322">
        <v>16575</v>
      </c>
      <c r="F152" s="300">
        <v>35498</v>
      </c>
      <c r="G152" s="322">
        <f t="shared" si="16"/>
        <v>78311</v>
      </c>
      <c r="H152" s="300">
        <f t="shared" si="17"/>
        <v>208159.85964285713</v>
      </c>
      <c r="I152" s="10">
        <f t="shared" si="18"/>
        <v>0</v>
      </c>
      <c r="J152" s="319">
        <f t="shared" si="19"/>
        <v>0</v>
      </c>
      <c r="K152" s="14">
        <v>11058</v>
      </c>
      <c r="L152" s="10">
        <f t="shared" si="20"/>
        <v>26019.982455357142</v>
      </c>
      <c r="M152" s="14">
        <f t="shared" si="21"/>
        <v>0</v>
      </c>
      <c r="N152" s="2">
        <f t="shared" si="22"/>
        <v>0</v>
      </c>
      <c r="O152" s="136">
        <f t="shared" si="23"/>
        <v>0</v>
      </c>
      <c r="P152" s="34">
        <f>O152/'D) Ecrêtage'!C152</f>
        <v>0</v>
      </c>
      <c r="Q152" s="132"/>
    </row>
    <row r="153" spans="1:17" x14ac:dyDescent="0.25">
      <c r="A153" s="50">
        <f>+'A) Base RI'!A155</f>
        <v>5646</v>
      </c>
      <c r="B153" s="308" t="str">
        <f>+'A) Base RI'!B155</f>
        <v>Saint-Prex</v>
      </c>
      <c r="C153" s="322">
        <f>+'D) Ecrêtage'!C153</f>
        <v>564783.52799999982</v>
      </c>
      <c r="D153" s="300">
        <v>872469</v>
      </c>
      <c r="E153" s="322">
        <v>491765</v>
      </c>
      <c r="F153" s="300">
        <v>143368</v>
      </c>
      <c r="G153" s="322">
        <f t="shared" si="16"/>
        <v>1507602</v>
      </c>
      <c r="H153" s="300">
        <f t="shared" si="17"/>
        <v>4518268.2239999985</v>
      </c>
      <c r="I153" s="10">
        <f t="shared" si="18"/>
        <v>0</v>
      </c>
      <c r="J153" s="319">
        <f t="shared" si="19"/>
        <v>0</v>
      </c>
      <c r="K153" s="14">
        <v>16653</v>
      </c>
      <c r="L153" s="10">
        <f t="shared" si="20"/>
        <v>564783.52799999982</v>
      </c>
      <c r="M153" s="14">
        <f t="shared" si="21"/>
        <v>0</v>
      </c>
      <c r="N153" s="2">
        <f t="shared" si="22"/>
        <v>0</v>
      </c>
      <c r="O153" s="136">
        <f t="shared" si="23"/>
        <v>0</v>
      </c>
      <c r="P153" s="34">
        <f>O153/'D) Ecrêtage'!C153</f>
        <v>0</v>
      </c>
      <c r="Q153" s="132"/>
    </row>
    <row r="154" spans="1:17" x14ac:dyDescent="0.25">
      <c r="A154" s="50">
        <f>+'A) Base RI'!A156</f>
        <v>5648</v>
      </c>
      <c r="B154" s="308" t="str">
        <f>+'A) Base RI'!B156</f>
        <v>Saint-Sulpice</v>
      </c>
      <c r="C154" s="322">
        <f>+'D) Ecrêtage'!C154</f>
        <v>360934.92836363643</v>
      </c>
      <c r="D154" s="300">
        <v>398359</v>
      </c>
      <c r="E154" s="322">
        <v>1916973</v>
      </c>
      <c r="F154" s="300">
        <v>49588</v>
      </c>
      <c r="G154" s="322">
        <f t="shared" si="16"/>
        <v>2364920</v>
      </c>
      <c r="H154" s="300">
        <f t="shared" si="17"/>
        <v>2887479.4269090914</v>
      </c>
      <c r="I154" s="10">
        <f t="shared" si="18"/>
        <v>0</v>
      </c>
      <c r="J154" s="319">
        <f t="shared" si="19"/>
        <v>0</v>
      </c>
      <c r="K154" s="14">
        <v>37622</v>
      </c>
      <c r="L154" s="10">
        <f t="shared" si="20"/>
        <v>360934.92836363643</v>
      </c>
      <c r="M154" s="14">
        <f t="shared" si="21"/>
        <v>0</v>
      </c>
      <c r="N154" s="2">
        <f t="shared" si="22"/>
        <v>0</v>
      </c>
      <c r="O154" s="136">
        <f t="shared" si="23"/>
        <v>0</v>
      </c>
      <c r="P154" s="34">
        <f>O154/'D) Ecrêtage'!C154</f>
        <v>0</v>
      </c>
      <c r="Q154" s="132"/>
    </row>
    <row r="155" spans="1:17" x14ac:dyDescent="0.25">
      <c r="A155" s="50">
        <f>+'A) Base RI'!A157</f>
        <v>5649</v>
      </c>
      <c r="B155" s="308" t="str">
        <f>+'A) Base RI'!B157</f>
        <v>Tolochenaz</v>
      </c>
      <c r="C155" s="322">
        <f>+'D) Ecrêtage'!C155</f>
        <v>176105.76399999997</v>
      </c>
      <c r="D155" s="300">
        <v>353481</v>
      </c>
      <c r="E155" s="322">
        <v>548275</v>
      </c>
      <c r="F155" s="300">
        <v>31652</v>
      </c>
      <c r="G155" s="322">
        <f t="shared" si="16"/>
        <v>933408</v>
      </c>
      <c r="H155" s="300">
        <f t="shared" si="17"/>
        <v>1408846.1119999997</v>
      </c>
      <c r="I155" s="10">
        <f t="shared" si="18"/>
        <v>0</v>
      </c>
      <c r="J155" s="319">
        <f t="shared" si="19"/>
        <v>0</v>
      </c>
      <c r="K155" s="14">
        <v>16582</v>
      </c>
      <c r="L155" s="10">
        <f t="shared" si="20"/>
        <v>176105.76399999997</v>
      </c>
      <c r="M155" s="14">
        <f t="shared" si="21"/>
        <v>0</v>
      </c>
      <c r="N155" s="2">
        <f t="shared" si="22"/>
        <v>0</v>
      </c>
      <c r="O155" s="136">
        <f t="shared" si="23"/>
        <v>0</v>
      </c>
      <c r="P155" s="34">
        <f>O155/'D) Ecrêtage'!C155</f>
        <v>0</v>
      </c>
      <c r="Q155" s="132"/>
    </row>
    <row r="156" spans="1:17" x14ac:dyDescent="0.25">
      <c r="A156" s="50">
        <f>+'A) Base RI'!A158</f>
        <v>5650</v>
      </c>
      <c r="B156" s="308" t="str">
        <f>+'A) Base RI'!B158</f>
        <v>Vaux-sur-Morges</v>
      </c>
      <c r="C156" s="322">
        <f>+'D) Ecrêtage'!C156</f>
        <v>169595.47750000004</v>
      </c>
      <c r="D156" s="300">
        <v>30681</v>
      </c>
      <c r="E156" s="322">
        <v>6950</v>
      </c>
      <c r="F156" s="300">
        <v>21084</v>
      </c>
      <c r="G156" s="322">
        <f t="shared" si="16"/>
        <v>58715</v>
      </c>
      <c r="H156" s="300">
        <f t="shared" si="17"/>
        <v>1356763.8200000003</v>
      </c>
      <c r="I156" s="10">
        <f t="shared" si="18"/>
        <v>0</v>
      </c>
      <c r="J156" s="319">
        <f t="shared" si="19"/>
        <v>0</v>
      </c>
      <c r="K156" s="14">
        <v>-6</v>
      </c>
      <c r="L156" s="10">
        <f t="shared" si="20"/>
        <v>169595.47750000004</v>
      </c>
      <c r="M156" s="14">
        <f t="shared" si="21"/>
        <v>0</v>
      </c>
      <c r="N156" s="2">
        <f t="shared" si="22"/>
        <v>0</v>
      </c>
      <c r="O156" s="136">
        <f t="shared" si="23"/>
        <v>0</v>
      </c>
      <c r="P156" s="34">
        <f>O156/'D) Ecrêtage'!C156</f>
        <v>0</v>
      </c>
      <c r="Q156" s="132"/>
    </row>
    <row r="157" spans="1:17" x14ac:dyDescent="0.25">
      <c r="A157" s="50">
        <f>+'A) Base RI'!A159</f>
        <v>5651</v>
      </c>
      <c r="B157" s="308" t="str">
        <f>+'A) Base RI'!B159</f>
        <v>Villars-Sainte-Croix</v>
      </c>
      <c r="C157" s="322">
        <f>+'D) Ecrêtage'!C157</f>
        <v>47710.277796610164</v>
      </c>
      <c r="D157" s="300">
        <v>127645</v>
      </c>
      <c r="E157" s="322">
        <v>125622</v>
      </c>
      <c r="F157" s="300">
        <v>24677</v>
      </c>
      <c r="G157" s="322">
        <f t="shared" si="16"/>
        <v>277944</v>
      </c>
      <c r="H157" s="300">
        <f t="shared" si="17"/>
        <v>381682.22237288131</v>
      </c>
      <c r="I157" s="10">
        <f t="shared" si="18"/>
        <v>0</v>
      </c>
      <c r="J157" s="319">
        <f t="shared" si="19"/>
        <v>0</v>
      </c>
      <c r="K157" s="14">
        <v>15166</v>
      </c>
      <c r="L157" s="10">
        <f t="shared" si="20"/>
        <v>47710.277796610164</v>
      </c>
      <c r="M157" s="14">
        <f t="shared" si="21"/>
        <v>0</v>
      </c>
      <c r="N157" s="2">
        <f t="shared" si="22"/>
        <v>0</v>
      </c>
      <c r="O157" s="136">
        <f t="shared" si="23"/>
        <v>0</v>
      </c>
      <c r="P157" s="34">
        <f>O157/'D) Ecrêtage'!C157</f>
        <v>0</v>
      </c>
      <c r="Q157" s="132"/>
    </row>
    <row r="158" spans="1:17" x14ac:dyDescent="0.25">
      <c r="A158" s="50">
        <f>+'A) Base RI'!A160</f>
        <v>5652</v>
      </c>
      <c r="B158" s="308" t="str">
        <f>+'A) Base RI'!B160</f>
        <v>Villars-sous-Yens</v>
      </c>
      <c r="C158" s="322">
        <f>+'D) Ecrêtage'!C158</f>
        <v>25794.085109649121</v>
      </c>
      <c r="D158" s="300">
        <v>99537</v>
      </c>
      <c r="E158" s="322">
        <v>47819</v>
      </c>
      <c r="F158" s="300">
        <v>63157</v>
      </c>
      <c r="G158" s="322">
        <f t="shared" si="16"/>
        <v>210513</v>
      </c>
      <c r="H158" s="300">
        <f t="shared" si="17"/>
        <v>206352.68087719296</v>
      </c>
      <c r="I158" s="10">
        <f t="shared" si="18"/>
        <v>4160.3191228070355</v>
      </c>
      <c r="J158" s="319">
        <f t="shared" si="19"/>
        <v>-3120.2393421052766</v>
      </c>
      <c r="K158" s="14">
        <v>10163</v>
      </c>
      <c r="L158" s="10">
        <f t="shared" si="20"/>
        <v>25794.085109649121</v>
      </c>
      <c r="M158" s="14">
        <f t="shared" si="21"/>
        <v>0</v>
      </c>
      <c r="N158" s="2">
        <f t="shared" si="22"/>
        <v>0</v>
      </c>
      <c r="O158" s="136">
        <f t="shared" si="23"/>
        <v>-3120.2393421052766</v>
      </c>
      <c r="P158" s="34">
        <f>O158/'D) Ecrêtage'!C158</f>
        <v>-0.12096724225113334</v>
      </c>
      <c r="Q158" s="132"/>
    </row>
    <row r="159" spans="1:17" x14ac:dyDescent="0.25">
      <c r="A159" s="50">
        <f>+'A) Base RI'!A161</f>
        <v>5653</v>
      </c>
      <c r="B159" s="308" t="str">
        <f>+'A) Base RI'!B161</f>
        <v>Vufflens-le-Château</v>
      </c>
      <c r="C159" s="322">
        <f>+'D) Ecrêtage'!C159</f>
        <v>58104.710727272715</v>
      </c>
      <c r="D159" s="300">
        <v>100916</v>
      </c>
      <c r="E159" s="322">
        <v>73057</v>
      </c>
      <c r="F159" s="300">
        <v>11580</v>
      </c>
      <c r="G159" s="322">
        <f t="shared" si="16"/>
        <v>185553</v>
      </c>
      <c r="H159" s="300">
        <f t="shared" si="17"/>
        <v>464837.68581818172</v>
      </c>
      <c r="I159" s="10">
        <f t="shared" si="18"/>
        <v>0</v>
      </c>
      <c r="J159" s="319">
        <f t="shared" si="19"/>
        <v>0</v>
      </c>
      <c r="K159" s="14">
        <v>13338</v>
      </c>
      <c r="L159" s="10">
        <f t="shared" si="20"/>
        <v>58104.710727272715</v>
      </c>
      <c r="M159" s="14">
        <f t="shared" si="21"/>
        <v>0</v>
      </c>
      <c r="N159" s="2">
        <f t="shared" si="22"/>
        <v>0</v>
      </c>
      <c r="O159" s="136">
        <f t="shared" si="23"/>
        <v>0</v>
      </c>
      <c r="P159" s="34">
        <f>O159/'D) Ecrêtage'!C159</f>
        <v>0</v>
      </c>
      <c r="Q159" s="132"/>
    </row>
    <row r="160" spans="1:17" x14ac:dyDescent="0.25">
      <c r="A160" s="50">
        <f>+'A) Base RI'!A162</f>
        <v>5654</v>
      </c>
      <c r="B160" s="308" t="str">
        <f>+'A) Base RI'!B162</f>
        <v>Vullierens</v>
      </c>
      <c r="C160" s="322">
        <f>+'D) Ecrêtage'!C160</f>
        <v>18548.379210526316</v>
      </c>
      <c r="D160" s="300">
        <v>99072</v>
      </c>
      <c r="E160" s="322">
        <v>16019</v>
      </c>
      <c r="F160" s="300">
        <v>41284</v>
      </c>
      <c r="G160" s="322">
        <f t="shared" si="16"/>
        <v>156375</v>
      </c>
      <c r="H160" s="300">
        <f t="shared" si="17"/>
        <v>148387.03368421053</v>
      </c>
      <c r="I160" s="10">
        <f t="shared" si="18"/>
        <v>7987.9663157894684</v>
      </c>
      <c r="J160" s="319">
        <f t="shared" si="19"/>
        <v>-5990.9747368421013</v>
      </c>
      <c r="K160" s="14">
        <v>13039</v>
      </c>
      <c r="L160" s="10">
        <f t="shared" si="20"/>
        <v>18548.379210526316</v>
      </c>
      <c r="M160" s="14">
        <f t="shared" si="21"/>
        <v>0</v>
      </c>
      <c r="N160" s="2">
        <f t="shared" si="22"/>
        <v>0</v>
      </c>
      <c r="O160" s="136">
        <f t="shared" si="23"/>
        <v>-5990.9747368421013</v>
      </c>
      <c r="P160" s="34">
        <f>O160/'D) Ecrêtage'!C160</f>
        <v>-0.32299181879148703</v>
      </c>
      <c r="Q160" s="132"/>
    </row>
    <row r="161" spans="1:17" x14ac:dyDescent="0.25">
      <c r="A161" s="50">
        <f>+'A) Base RI'!A163</f>
        <v>5655</v>
      </c>
      <c r="B161" s="308" t="str">
        <f>+'A) Base RI'!B163</f>
        <v>Yens</v>
      </c>
      <c r="C161" s="322">
        <f>+'D) Ecrêtage'!C161</f>
        <v>71567.801506849311</v>
      </c>
      <c r="D161" s="300">
        <v>299946</v>
      </c>
      <c r="E161" s="322">
        <v>120574</v>
      </c>
      <c r="F161" s="300">
        <v>155703</v>
      </c>
      <c r="G161" s="322">
        <f t="shared" si="16"/>
        <v>576223</v>
      </c>
      <c r="H161" s="300">
        <f t="shared" si="17"/>
        <v>572542.41205479449</v>
      </c>
      <c r="I161" s="10">
        <f t="shared" si="18"/>
        <v>3680.5879452055087</v>
      </c>
      <c r="J161" s="319">
        <f t="shared" si="19"/>
        <v>-2760.4409589041315</v>
      </c>
      <c r="K161" s="14">
        <v>67348</v>
      </c>
      <c r="L161" s="10">
        <f t="shared" si="20"/>
        <v>71567.801506849311</v>
      </c>
      <c r="M161" s="14">
        <f t="shared" si="21"/>
        <v>0</v>
      </c>
      <c r="N161" s="2">
        <f t="shared" si="22"/>
        <v>0</v>
      </c>
      <c r="O161" s="136">
        <f t="shared" si="23"/>
        <v>-2760.4409589041315</v>
      </c>
      <c r="P161" s="34">
        <f>O161/'D) Ecrêtage'!C161</f>
        <v>-3.8570990037187981E-2</v>
      </c>
      <c r="Q161" s="132"/>
    </row>
    <row r="162" spans="1:17" x14ac:dyDescent="0.25">
      <c r="A162" s="50">
        <f>+'A) Base RI'!A164</f>
        <v>5661</v>
      </c>
      <c r="B162" s="308" t="str">
        <f>+'A) Base RI'!B164</f>
        <v>Boulens</v>
      </c>
      <c r="C162" s="322">
        <f>+'D) Ecrêtage'!C162</f>
        <v>9056.8577215189871</v>
      </c>
      <c r="D162" s="300">
        <v>9644</v>
      </c>
      <c r="E162" s="322">
        <v>11173</v>
      </c>
      <c r="F162" s="300">
        <v>33282</v>
      </c>
      <c r="G162" s="322">
        <f t="shared" si="16"/>
        <v>54099</v>
      </c>
      <c r="H162" s="300">
        <f t="shared" si="17"/>
        <v>72454.861772151897</v>
      </c>
      <c r="I162" s="10">
        <f t="shared" si="18"/>
        <v>0</v>
      </c>
      <c r="J162" s="319">
        <f t="shared" si="19"/>
        <v>0</v>
      </c>
      <c r="K162" s="14">
        <v>30886</v>
      </c>
      <c r="L162" s="10">
        <f t="shared" si="20"/>
        <v>9056.8577215189871</v>
      </c>
      <c r="M162" s="14">
        <f t="shared" si="21"/>
        <v>21829.142278481013</v>
      </c>
      <c r="N162" s="2">
        <f t="shared" si="22"/>
        <v>-16371.85670886076</v>
      </c>
      <c r="O162" s="136">
        <f t="shared" si="23"/>
        <v>-16371.85670886076</v>
      </c>
      <c r="P162" s="34">
        <f>O162/'D) Ecrêtage'!C162</f>
        <v>-1.8076751575727441</v>
      </c>
      <c r="Q162" s="132"/>
    </row>
    <row r="163" spans="1:17" x14ac:dyDescent="0.25">
      <c r="A163" s="50">
        <f>+'A) Base RI'!A165</f>
        <v>5663</v>
      </c>
      <c r="B163" s="308" t="str">
        <f>+'A) Base RI'!B165</f>
        <v>Bussy-sur-Moudon</v>
      </c>
      <c r="C163" s="322">
        <f>+'D) Ecrêtage'!C163</f>
        <v>5655.1166249999997</v>
      </c>
      <c r="D163" s="300">
        <v>103093</v>
      </c>
      <c r="E163" s="322">
        <v>6315</v>
      </c>
      <c r="F163" s="300">
        <v>12248</v>
      </c>
      <c r="G163" s="322">
        <f t="shared" si="16"/>
        <v>121656</v>
      </c>
      <c r="H163" s="300">
        <f t="shared" si="17"/>
        <v>45240.932999999997</v>
      </c>
      <c r="I163" s="10">
        <f t="shared" si="18"/>
        <v>76415.06700000001</v>
      </c>
      <c r="J163" s="319">
        <f t="shared" si="19"/>
        <v>-57311.300250000008</v>
      </c>
      <c r="K163" s="14">
        <v>25695</v>
      </c>
      <c r="L163" s="10">
        <f t="shared" si="20"/>
        <v>5655.1166249999997</v>
      </c>
      <c r="M163" s="14">
        <f t="shared" si="21"/>
        <v>20039.883375000001</v>
      </c>
      <c r="N163" s="2">
        <f t="shared" si="22"/>
        <v>-15029.91253125</v>
      </c>
      <c r="O163" s="136">
        <f t="shared" si="23"/>
        <v>-72341.212781250011</v>
      </c>
      <c r="P163" s="34">
        <f>O163/'D) Ecrêtage'!C163</f>
        <v>-12.792169919439994</v>
      </c>
      <c r="Q163" s="132"/>
    </row>
    <row r="164" spans="1:17" x14ac:dyDescent="0.25">
      <c r="A164" s="50">
        <f>+'A) Base RI'!A166</f>
        <v>5665</v>
      </c>
      <c r="B164" s="308" t="str">
        <f>+'A) Base RI'!B166</f>
        <v>Chavannes-sur-Moudon</v>
      </c>
      <c r="C164" s="322">
        <f>+'D) Ecrêtage'!C164</f>
        <v>5028.5345205479452</v>
      </c>
      <c r="D164" s="300">
        <v>28676</v>
      </c>
      <c r="E164" s="322">
        <v>6801</v>
      </c>
      <c r="F164" s="300">
        <v>12147</v>
      </c>
      <c r="G164" s="322">
        <f t="shared" si="16"/>
        <v>47624</v>
      </c>
      <c r="H164" s="300">
        <f t="shared" si="17"/>
        <v>40228.276164383562</v>
      </c>
      <c r="I164" s="10">
        <f t="shared" si="18"/>
        <v>7395.723835616438</v>
      </c>
      <c r="J164" s="319">
        <f t="shared" si="19"/>
        <v>-5546.7928767123285</v>
      </c>
      <c r="K164" s="14">
        <v>3195</v>
      </c>
      <c r="L164" s="10">
        <f t="shared" si="20"/>
        <v>5028.5345205479452</v>
      </c>
      <c r="M164" s="14">
        <f t="shared" si="21"/>
        <v>0</v>
      </c>
      <c r="N164" s="2">
        <f t="shared" si="22"/>
        <v>0</v>
      </c>
      <c r="O164" s="136">
        <f t="shared" si="23"/>
        <v>-5546.7928767123285</v>
      </c>
      <c r="P164" s="34">
        <f>O164/'D) Ecrêtage'!C164</f>
        <v>-1.1030634977341092</v>
      </c>
      <c r="Q164" s="132"/>
    </row>
    <row r="165" spans="1:17" x14ac:dyDescent="0.25">
      <c r="A165" s="50">
        <f>+'A) Base RI'!A167</f>
        <v>5669</v>
      </c>
      <c r="B165" s="308" t="str">
        <f>+'A) Base RI'!B167</f>
        <v>Curtilles</v>
      </c>
      <c r="C165" s="322">
        <f>+'D) Ecrêtage'!C165</f>
        <v>9029.3026666666665</v>
      </c>
      <c r="D165" s="300">
        <v>44085</v>
      </c>
      <c r="E165" s="322">
        <v>18764</v>
      </c>
      <c r="F165" s="300">
        <v>18399</v>
      </c>
      <c r="G165" s="322">
        <f t="shared" si="16"/>
        <v>81248</v>
      </c>
      <c r="H165" s="300">
        <f t="shared" si="17"/>
        <v>72234.421333333332</v>
      </c>
      <c r="I165" s="10">
        <f t="shared" si="18"/>
        <v>9013.5786666666681</v>
      </c>
      <c r="J165" s="319">
        <f t="shared" si="19"/>
        <v>-6760.1840000000011</v>
      </c>
      <c r="K165" s="14">
        <v>147</v>
      </c>
      <c r="L165" s="10">
        <f t="shared" si="20"/>
        <v>9029.3026666666665</v>
      </c>
      <c r="M165" s="14">
        <f t="shared" si="21"/>
        <v>0</v>
      </c>
      <c r="N165" s="2">
        <f t="shared" si="22"/>
        <v>0</v>
      </c>
      <c r="O165" s="136">
        <f t="shared" si="23"/>
        <v>-6760.1840000000011</v>
      </c>
      <c r="P165" s="34">
        <f>O165/'D) Ecrêtage'!C165</f>
        <v>-0.74869391907267269</v>
      </c>
      <c r="Q165" s="132"/>
    </row>
    <row r="166" spans="1:17" x14ac:dyDescent="0.25">
      <c r="A166" s="50">
        <f>+'A) Base RI'!A168</f>
        <v>5671</v>
      </c>
      <c r="B166" s="308" t="str">
        <f>+'A) Base RI'!B168</f>
        <v>Dompierre</v>
      </c>
      <c r="C166" s="322">
        <f>+'D) Ecrêtage'!C166</f>
        <v>6333.6785</v>
      </c>
      <c r="D166" s="300">
        <v>80023</v>
      </c>
      <c r="E166" s="322">
        <v>7347</v>
      </c>
      <c r="F166" s="300">
        <v>34903</v>
      </c>
      <c r="G166" s="322">
        <f t="shared" si="16"/>
        <v>122273</v>
      </c>
      <c r="H166" s="300">
        <f t="shared" si="17"/>
        <v>50669.428</v>
      </c>
      <c r="I166" s="10">
        <f t="shared" si="18"/>
        <v>71603.572</v>
      </c>
      <c r="J166" s="319">
        <f t="shared" si="19"/>
        <v>-53702.679000000004</v>
      </c>
      <c r="K166" s="14">
        <v>13491</v>
      </c>
      <c r="L166" s="10">
        <f t="shared" si="20"/>
        <v>6333.6785</v>
      </c>
      <c r="M166" s="14">
        <f t="shared" si="21"/>
        <v>7157.3215</v>
      </c>
      <c r="N166" s="2">
        <f t="shared" si="22"/>
        <v>-5367.9911250000005</v>
      </c>
      <c r="O166" s="136">
        <f t="shared" si="23"/>
        <v>-59070.670125000004</v>
      </c>
      <c r="P166" s="34">
        <f>O166/'D) Ecrêtage'!C166</f>
        <v>-9.3264396235142026</v>
      </c>
      <c r="Q166" s="132"/>
    </row>
    <row r="167" spans="1:17" x14ac:dyDescent="0.25">
      <c r="A167" s="50">
        <f>+'A) Base RI'!A169</f>
        <v>5673</v>
      </c>
      <c r="B167" s="308" t="str">
        <f>+'A) Base RI'!B169</f>
        <v>Hermenches</v>
      </c>
      <c r="C167" s="322">
        <f>+'D) Ecrêtage'!C167</f>
        <v>8912.655777777778</v>
      </c>
      <c r="D167" s="300">
        <v>76651</v>
      </c>
      <c r="E167" s="322">
        <v>11507</v>
      </c>
      <c r="F167" s="300">
        <v>23526</v>
      </c>
      <c r="G167" s="322">
        <f t="shared" si="16"/>
        <v>111684</v>
      </c>
      <c r="H167" s="300">
        <f t="shared" si="17"/>
        <v>71301.246222222224</v>
      </c>
      <c r="I167" s="10">
        <f t="shared" si="18"/>
        <v>40382.753777777776</v>
      </c>
      <c r="J167" s="319">
        <f t="shared" si="19"/>
        <v>-30287.065333333332</v>
      </c>
      <c r="K167" s="14">
        <v>42906</v>
      </c>
      <c r="L167" s="10">
        <f t="shared" si="20"/>
        <v>8912.655777777778</v>
      </c>
      <c r="M167" s="14">
        <f t="shared" si="21"/>
        <v>33993.344222222222</v>
      </c>
      <c r="N167" s="2">
        <f t="shared" si="22"/>
        <v>-25495.008166666667</v>
      </c>
      <c r="O167" s="136">
        <f t="shared" si="23"/>
        <v>-55782.073499999999</v>
      </c>
      <c r="P167" s="34">
        <f>O167/'D) Ecrêtage'!C167</f>
        <v>-6.2587487827234733</v>
      </c>
      <c r="Q167" s="132"/>
    </row>
    <row r="168" spans="1:17" x14ac:dyDescent="0.25">
      <c r="A168" s="50">
        <f>+'A) Base RI'!A170</f>
        <v>5674</v>
      </c>
      <c r="B168" s="308" t="str">
        <f>+'A) Base RI'!B170</f>
        <v>Lovatens</v>
      </c>
      <c r="C168" s="322">
        <f>+'D) Ecrêtage'!C168</f>
        <v>3614.9058666666665</v>
      </c>
      <c r="D168" s="300">
        <v>41184</v>
      </c>
      <c r="E168" s="322">
        <v>4342</v>
      </c>
      <c r="F168" s="300">
        <v>7126</v>
      </c>
      <c r="G168" s="322">
        <f t="shared" si="16"/>
        <v>52652</v>
      </c>
      <c r="H168" s="300">
        <f t="shared" si="17"/>
        <v>28919.246933333332</v>
      </c>
      <c r="I168" s="10">
        <f t="shared" si="18"/>
        <v>23732.753066666668</v>
      </c>
      <c r="J168" s="319">
        <f t="shared" si="19"/>
        <v>-17799.5648</v>
      </c>
      <c r="K168" s="14">
        <v>2991</v>
      </c>
      <c r="L168" s="10">
        <f t="shared" si="20"/>
        <v>3614.9058666666665</v>
      </c>
      <c r="M168" s="14">
        <f t="shared" si="21"/>
        <v>0</v>
      </c>
      <c r="N168" s="2">
        <f t="shared" si="22"/>
        <v>0</v>
      </c>
      <c r="O168" s="136">
        <f t="shared" si="23"/>
        <v>-17799.5648</v>
      </c>
      <c r="P168" s="34">
        <f>O168/'D) Ecrêtage'!C168</f>
        <v>-4.9239359077455367</v>
      </c>
      <c r="Q168" s="132"/>
    </row>
    <row r="169" spans="1:17" x14ac:dyDescent="0.25">
      <c r="A169" s="50">
        <f>+'A) Base RI'!A171</f>
        <v>5675</v>
      </c>
      <c r="B169" s="308" t="str">
        <f>+'A) Base RI'!B171</f>
        <v>Lucens</v>
      </c>
      <c r="C169" s="322">
        <f>+'D) Ecrêtage'!C169</f>
        <v>84285.039641873256</v>
      </c>
      <c r="D169" s="300">
        <v>742175</v>
      </c>
      <c r="E169" s="322">
        <v>304301</v>
      </c>
      <c r="F169" s="300">
        <v>245559</v>
      </c>
      <c r="G169" s="322">
        <f t="shared" si="16"/>
        <v>1292035</v>
      </c>
      <c r="H169" s="300">
        <f t="shared" si="17"/>
        <v>674280.31713498605</v>
      </c>
      <c r="I169" s="10">
        <f t="shared" si="18"/>
        <v>617754.68286501395</v>
      </c>
      <c r="J169" s="319">
        <f t="shared" si="19"/>
        <v>-463316.01214876049</v>
      </c>
      <c r="K169" s="14">
        <v>76016</v>
      </c>
      <c r="L169" s="10">
        <f t="shared" si="20"/>
        <v>84285.039641873256</v>
      </c>
      <c r="M169" s="14">
        <f t="shared" si="21"/>
        <v>0</v>
      </c>
      <c r="N169" s="2">
        <f t="shared" si="22"/>
        <v>0</v>
      </c>
      <c r="O169" s="136">
        <f t="shared" si="23"/>
        <v>-463316.01214876049</v>
      </c>
      <c r="P169" s="34">
        <f>O169/'D) Ecrêtage'!C169</f>
        <v>-5.4970136351289396</v>
      </c>
      <c r="Q169" s="132"/>
    </row>
    <row r="170" spans="1:17" x14ac:dyDescent="0.25">
      <c r="A170" s="50">
        <f>+'A) Base RI'!A172</f>
        <v>5678</v>
      </c>
      <c r="B170" s="308" t="str">
        <f>+'A) Base RI'!B172</f>
        <v>Moudon</v>
      </c>
      <c r="C170" s="322">
        <f>+'D) Ecrêtage'!C170</f>
        <v>115802.40466666668</v>
      </c>
      <c r="D170" s="300">
        <v>1654463</v>
      </c>
      <c r="E170" s="322">
        <v>455654</v>
      </c>
      <c r="F170" s="300">
        <v>389733</v>
      </c>
      <c r="G170" s="322">
        <f t="shared" si="16"/>
        <v>2499850</v>
      </c>
      <c r="H170" s="300">
        <f t="shared" si="17"/>
        <v>926419.23733333347</v>
      </c>
      <c r="I170" s="10">
        <f t="shared" si="18"/>
        <v>1573430.7626666664</v>
      </c>
      <c r="J170" s="319">
        <f t="shared" si="19"/>
        <v>-1180073.0719999997</v>
      </c>
      <c r="K170" s="14">
        <v>180366</v>
      </c>
      <c r="L170" s="10">
        <f t="shared" si="20"/>
        <v>115802.40466666668</v>
      </c>
      <c r="M170" s="14">
        <f t="shared" si="21"/>
        <v>64563.595333333316</v>
      </c>
      <c r="N170" s="2">
        <f t="shared" si="22"/>
        <v>-48422.696499999991</v>
      </c>
      <c r="O170" s="136">
        <f t="shared" si="23"/>
        <v>-1228495.7684999998</v>
      </c>
      <c r="P170" s="34">
        <f>O170/'D) Ecrêtage'!C170</f>
        <v>-10.608551454835359</v>
      </c>
      <c r="Q170" s="132"/>
    </row>
    <row r="171" spans="1:17" x14ac:dyDescent="0.25">
      <c r="A171" s="50">
        <f>+'A) Base RI'!A173</f>
        <v>5680</v>
      </c>
      <c r="B171" s="308" t="str">
        <f>+'A) Base RI'!B173</f>
        <v>Ogens</v>
      </c>
      <c r="C171" s="322">
        <f>+'D) Ecrêtage'!C171</f>
        <v>7404.4946581196582</v>
      </c>
      <c r="D171" s="300">
        <v>31327</v>
      </c>
      <c r="E171" s="322">
        <v>11996</v>
      </c>
      <c r="F171" s="300">
        <v>26770</v>
      </c>
      <c r="G171" s="322">
        <f t="shared" si="16"/>
        <v>70093</v>
      </c>
      <c r="H171" s="300">
        <f t="shared" si="17"/>
        <v>59235.957264957266</v>
      </c>
      <c r="I171" s="10">
        <f t="shared" si="18"/>
        <v>10857.042735042734</v>
      </c>
      <c r="J171" s="319">
        <f t="shared" si="19"/>
        <v>-8142.7820512820508</v>
      </c>
      <c r="K171" s="14">
        <v>19613</v>
      </c>
      <c r="L171" s="10">
        <f t="shared" si="20"/>
        <v>7404.4946581196582</v>
      </c>
      <c r="M171" s="14">
        <f t="shared" si="21"/>
        <v>12208.505341880342</v>
      </c>
      <c r="N171" s="2">
        <f t="shared" si="22"/>
        <v>-9156.3790064102559</v>
      </c>
      <c r="O171" s="136">
        <f t="shared" si="23"/>
        <v>-17299.161057692305</v>
      </c>
      <c r="P171" s="34">
        <f>O171/'D) Ecrêtage'!C171</f>
        <v>-2.3363054275044015</v>
      </c>
      <c r="Q171" s="132"/>
    </row>
    <row r="172" spans="1:17" x14ac:dyDescent="0.25">
      <c r="A172" s="50">
        <f>+'A) Base RI'!A174</f>
        <v>5683</v>
      </c>
      <c r="B172" s="308" t="str">
        <f>+'A) Base RI'!B174</f>
        <v>Prévonloup</v>
      </c>
      <c r="C172" s="322">
        <f>+'D) Ecrêtage'!C172</f>
        <v>3876.1695945945944</v>
      </c>
      <c r="D172" s="300">
        <v>148212</v>
      </c>
      <c r="E172" s="322">
        <v>7560</v>
      </c>
      <c r="F172" s="300">
        <v>9012</v>
      </c>
      <c r="G172" s="322">
        <f t="shared" si="16"/>
        <v>164784</v>
      </c>
      <c r="H172" s="300">
        <f t="shared" si="17"/>
        <v>31009.356756756755</v>
      </c>
      <c r="I172" s="10">
        <f t="shared" si="18"/>
        <v>133774.64324324325</v>
      </c>
      <c r="J172" s="319">
        <f t="shared" si="19"/>
        <v>-100330.98243243244</v>
      </c>
      <c r="K172" s="14">
        <v>3219</v>
      </c>
      <c r="L172" s="10">
        <f t="shared" si="20"/>
        <v>3876.1695945945944</v>
      </c>
      <c r="M172" s="14">
        <f t="shared" si="21"/>
        <v>0</v>
      </c>
      <c r="N172" s="2">
        <f t="shared" si="22"/>
        <v>0</v>
      </c>
      <c r="O172" s="136">
        <f t="shared" si="23"/>
        <v>-100330.98243243244</v>
      </c>
      <c r="P172" s="34">
        <f>O172/'D) Ecrêtage'!C172</f>
        <v>-25.884053827868176</v>
      </c>
      <c r="Q172" s="132"/>
    </row>
    <row r="173" spans="1:17" x14ac:dyDescent="0.25">
      <c r="A173" s="50">
        <f>+'A) Base RI'!A175</f>
        <v>5684</v>
      </c>
      <c r="B173" s="308" t="str">
        <f>+'A) Base RI'!B175</f>
        <v>Rossenges</v>
      </c>
      <c r="C173" s="322">
        <f>+'D) Ecrêtage'!C173</f>
        <v>2934.7781666666665</v>
      </c>
      <c r="D173" s="300">
        <v>5237</v>
      </c>
      <c r="E173" s="322">
        <v>1821</v>
      </c>
      <c r="F173" s="300">
        <v>3443</v>
      </c>
      <c r="G173" s="322">
        <f t="shared" si="16"/>
        <v>10501</v>
      </c>
      <c r="H173" s="300">
        <f t="shared" si="17"/>
        <v>23478.225333333332</v>
      </c>
      <c r="I173" s="10">
        <f t="shared" si="18"/>
        <v>0</v>
      </c>
      <c r="J173" s="319">
        <f t="shared" si="19"/>
        <v>0</v>
      </c>
      <c r="K173" s="14">
        <v>0</v>
      </c>
      <c r="L173" s="10">
        <f t="shared" si="20"/>
        <v>2934.7781666666665</v>
      </c>
      <c r="M173" s="14">
        <f t="shared" si="21"/>
        <v>0</v>
      </c>
      <c r="N173" s="2">
        <f t="shared" si="22"/>
        <v>0</v>
      </c>
      <c r="O173" s="136">
        <f t="shared" si="23"/>
        <v>0</v>
      </c>
      <c r="P173" s="34">
        <f>O173/'D) Ecrêtage'!C173</f>
        <v>0</v>
      </c>
      <c r="Q173" s="132"/>
    </row>
    <row r="174" spans="1:17" x14ac:dyDescent="0.25">
      <c r="A174" s="50">
        <f>+'A) Base RI'!A176</f>
        <v>5688</v>
      </c>
      <c r="B174" s="308" t="str">
        <f>+'A) Base RI'!B176</f>
        <v>Syens</v>
      </c>
      <c r="C174" s="322">
        <f>+'D) Ecrêtage'!C174</f>
        <v>6079.6888888888907</v>
      </c>
      <c r="D174" s="300">
        <v>48585</v>
      </c>
      <c r="E174" s="322">
        <v>6604</v>
      </c>
      <c r="F174" s="300">
        <v>16996</v>
      </c>
      <c r="G174" s="322">
        <f t="shared" si="16"/>
        <v>72185</v>
      </c>
      <c r="H174" s="300">
        <f t="shared" si="17"/>
        <v>48637.511111111126</v>
      </c>
      <c r="I174" s="10">
        <f t="shared" si="18"/>
        <v>23547.488888888874</v>
      </c>
      <c r="J174" s="319">
        <f t="shared" si="19"/>
        <v>-17660.616666666654</v>
      </c>
      <c r="K174" s="14">
        <v>5387</v>
      </c>
      <c r="L174" s="10">
        <f t="shared" si="20"/>
        <v>6079.6888888888907</v>
      </c>
      <c r="M174" s="14">
        <f t="shared" si="21"/>
        <v>0</v>
      </c>
      <c r="N174" s="2">
        <f t="shared" si="22"/>
        <v>0</v>
      </c>
      <c r="O174" s="136">
        <f t="shared" si="23"/>
        <v>-17660.616666666654</v>
      </c>
      <c r="P174" s="34">
        <f>O174/'D) Ecrêtage'!C174</f>
        <v>-2.9048553288545436</v>
      </c>
      <c r="Q174" s="132"/>
    </row>
    <row r="175" spans="1:17" x14ac:dyDescent="0.25">
      <c r="A175" s="50">
        <f>+'A) Base RI'!A177</f>
        <v>5690</v>
      </c>
      <c r="B175" s="308" t="str">
        <f>+'A) Base RI'!B177</f>
        <v>Villars-le-Comte</v>
      </c>
      <c r="C175" s="322">
        <f>+'D) Ecrêtage'!C175</f>
        <v>3585.4957380952383</v>
      </c>
      <c r="D175" s="300">
        <v>20282</v>
      </c>
      <c r="E175" s="322">
        <v>4342</v>
      </c>
      <c r="F175" s="300">
        <v>8028</v>
      </c>
      <c r="G175" s="322">
        <f t="shared" si="16"/>
        <v>32652</v>
      </c>
      <c r="H175" s="300">
        <f t="shared" si="17"/>
        <v>28683.965904761906</v>
      </c>
      <c r="I175" s="10">
        <f t="shared" si="18"/>
        <v>3968.0340952380939</v>
      </c>
      <c r="J175" s="319">
        <f t="shared" si="19"/>
        <v>-2976.0255714285704</v>
      </c>
      <c r="K175" s="14">
        <v>4050</v>
      </c>
      <c r="L175" s="10">
        <f t="shared" si="20"/>
        <v>3585.4957380952383</v>
      </c>
      <c r="M175" s="14">
        <f t="shared" si="21"/>
        <v>464.50426190476173</v>
      </c>
      <c r="N175" s="2">
        <f t="shared" si="22"/>
        <v>-348.3781964285713</v>
      </c>
      <c r="O175" s="136">
        <f t="shared" si="23"/>
        <v>-3324.4037678571417</v>
      </c>
      <c r="P175" s="34">
        <f>O175/'D) Ecrêtage'!C175</f>
        <v>-0.92718106802804368</v>
      </c>
      <c r="Q175" s="132"/>
    </row>
    <row r="176" spans="1:17" x14ac:dyDescent="0.25">
      <c r="A176" s="50">
        <f>+'A) Base RI'!A178</f>
        <v>5692</v>
      </c>
      <c r="B176" s="308" t="str">
        <f>+'A) Base RI'!B178</f>
        <v>Vucherens</v>
      </c>
      <c r="C176" s="322">
        <f>+'D) Ecrêtage'!C176</f>
        <v>17261.954936708858</v>
      </c>
      <c r="D176" s="300">
        <v>112563</v>
      </c>
      <c r="E176" s="322">
        <v>25367</v>
      </c>
      <c r="F176" s="300">
        <v>66511</v>
      </c>
      <c r="G176" s="322">
        <f t="shared" si="16"/>
        <v>204441</v>
      </c>
      <c r="H176" s="300">
        <f t="shared" si="17"/>
        <v>138095.63949367087</v>
      </c>
      <c r="I176" s="10">
        <f t="shared" si="18"/>
        <v>66345.360506329132</v>
      </c>
      <c r="J176" s="319">
        <f t="shared" si="19"/>
        <v>-49759.020379746849</v>
      </c>
      <c r="K176" s="14">
        <v>5133</v>
      </c>
      <c r="L176" s="10">
        <f t="shared" si="20"/>
        <v>17261.954936708858</v>
      </c>
      <c r="M176" s="14">
        <f t="shared" si="21"/>
        <v>0</v>
      </c>
      <c r="N176" s="2">
        <f t="shared" si="22"/>
        <v>0</v>
      </c>
      <c r="O176" s="136">
        <f t="shared" si="23"/>
        <v>-49759.020379746849</v>
      </c>
      <c r="P176" s="34">
        <f>O176/'D) Ecrêtage'!C176</f>
        <v>-2.882583146705505</v>
      </c>
      <c r="Q176" s="132"/>
    </row>
    <row r="177" spans="1:17" x14ac:dyDescent="0.25">
      <c r="A177" s="50">
        <f>+'A) Base RI'!A179</f>
        <v>5693</v>
      </c>
      <c r="B177" s="308" t="str">
        <f>+'A) Base RI'!B179</f>
        <v>Montanaire</v>
      </c>
      <c r="C177" s="322">
        <f>+'D) Ecrêtage'!C177</f>
        <v>70163.69902777778</v>
      </c>
      <c r="D177" s="300">
        <v>797111</v>
      </c>
      <c r="E177" s="322">
        <v>75904</v>
      </c>
      <c r="F177" s="300">
        <v>226100</v>
      </c>
      <c r="G177" s="322">
        <f t="shared" si="16"/>
        <v>1099115</v>
      </c>
      <c r="H177" s="300">
        <f t="shared" si="17"/>
        <v>561309.59222222224</v>
      </c>
      <c r="I177" s="10">
        <f t="shared" si="18"/>
        <v>537805.40777777776</v>
      </c>
      <c r="J177" s="319">
        <f t="shared" si="19"/>
        <v>-403354.05583333329</v>
      </c>
      <c r="K177" s="14">
        <v>109824</v>
      </c>
      <c r="L177" s="10">
        <f t="shared" si="20"/>
        <v>70163.69902777778</v>
      </c>
      <c r="M177" s="14">
        <f t="shared" si="21"/>
        <v>39660.30097222222</v>
      </c>
      <c r="N177" s="2">
        <f t="shared" si="22"/>
        <v>-29745.225729166665</v>
      </c>
      <c r="O177" s="136">
        <f t="shared" si="23"/>
        <v>-433099.28156249993</v>
      </c>
      <c r="P177" s="34">
        <f>O177/'D) Ecrêtage'!C177</f>
        <v>-6.1726973857384015</v>
      </c>
      <c r="Q177" s="132"/>
    </row>
    <row r="178" spans="1:17" x14ac:dyDescent="0.25">
      <c r="A178" s="50">
        <f>+'A) Base RI'!A180</f>
        <v>5701</v>
      </c>
      <c r="B178" s="308" t="str">
        <f>+'A) Base RI'!B180</f>
        <v>Arnex-sur-Nyon</v>
      </c>
      <c r="C178" s="322">
        <f>+'D) Ecrêtage'!C178</f>
        <v>14485.916142857144</v>
      </c>
      <c r="D178" s="300">
        <v>18909</v>
      </c>
      <c r="E178" s="322">
        <v>7686</v>
      </c>
      <c r="F178" s="300">
        <v>44028</v>
      </c>
      <c r="G178" s="322">
        <f t="shared" si="16"/>
        <v>70623</v>
      </c>
      <c r="H178" s="300">
        <f t="shared" si="17"/>
        <v>115887.32914285715</v>
      </c>
      <c r="I178" s="10">
        <f t="shared" si="18"/>
        <v>0</v>
      </c>
      <c r="J178" s="319">
        <f t="shared" si="19"/>
        <v>0</v>
      </c>
      <c r="K178" s="14">
        <v>6536</v>
      </c>
      <c r="L178" s="10">
        <f t="shared" si="20"/>
        <v>14485.916142857144</v>
      </c>
      <c r="M178" s="14">
        <f t="shared" si="21"/>
        <v>0</v>
      </c>
      <c r="N178" s="2">
        <f t="shared" si="22"/>
        <v>0</v>
      </c>
      <c r="O178" s="136">
        <f t="shared" si="23"/>
        <v>0</v>
      </c>
      <c r="P178" s="34">
        <f>O178/'D) Ecrêtage'!C178</f>
        <v>0</v>
      </c>
      <c r="Q178" s="132"/>
    </row>
    <row r="179" spans="1:17" x14ac:dyDescent="0.25">
      <c r="A179" s="50">
        <f>+'A) Base RI'!A181</f>
        <v>5702</v>
      </c>
      <c r="B179" s="308" t="str">
        <f>+'A) Base RI'!B181</f>
        <v>Arzier-Le Muids</v>
      </c>
      <c r="C179" s="322">
        <f>+'D) Ecrêtage'!C179</f>
        <v>155554.60781250003</v>
      </c>
      <c r="D179" s="300">
        <v>709760</v>
      </c>
      <c r="E179" s="322">
        <v>153541</v>
      </c>
      <c r="F179" s="300">
        <v>104495</v>
      </c>
      <c r="G179" s="322">
        <f t="shared" si="16"/>
        <v>967796</v>
      </c>
      <c r="H179" s="300">
        <f t="shared" si="17"/>
        <v>1244436.8625000003</v>
      </c>
      <c r="I179" s="10">
        <f t="shared" si="18"/>
        <v>0</v>
      </c>
      <c r="J179" s="319">
        <f t="shared" si="19"/>
        <v>0</v>
      </c>
      <c r="K179" s="14">
        <v>557540</v>
      </c>
      <c r="L179" s="10">
        <f t="shared" si="20"/>
        <v>155554.60781250003</v>
      </c>
      <c r="M179" s="14">
        <f t="shared" si="21"/>
        <v>401985.39218749997</v>
      </c>
      <c r="N179" s="2">
        <f t="shared" si="22"/>
        <v>-301489.04414062499</v>
      </c>
      <c r="O179" s="136">
        <f t="shared" si="23"/>
        <v>-301489.04414062499</v>
      </c>
      <c r="P179" s="34">
        <f>O179/'D) Ecrêtage'!C179</f>
        <v>-1.9381556636626869</v>
      </c>
      <c r="Q179" s="132"/>
    </row>
    <row r="180" spans="1:17" x14ac:dyDescent="0.25">
      <c r="A180" s="50">
        <f>+'A) Base RI'!A182</f>
        <v>5703</v>
      </c>
      <c r="B180" s="308" t="str">
        <f>+'A) Base RI'!B182</f>
        <v>Bassins</v>
      </c>
      <c r="C180" s="322">
        <f>+'D) Ecrêtage'!C180</f>
        <v>56619.784440154435</v>
      </c>
      <c r="D180" s="300">
        <v>277707</v>
      </c>
      <c r="E180" s="322">
        <v>83086</v>
      </c>
      <c r="F180" s="300">
        <v>148157</v>
      </c>
      <c r="G180" s="322">
        <f t="shared" si="16"/>
        <v>508950</v>
      </c>
      <c r="H180" s="300">
        <f t="shared" si="17"/>
        <v>452958.27552123548</v>
      </c>
      <c r="I180" s="10">
        <f t="shared" si="18"/>
        <v>55991.724478764518</v>
      </c>
      <c r="J180" s="319">
        <f t="shared" si="19"/>
        <v>-41993.793359073388</v>
      </c>
      <c r="K180" s="14">
        <v>307010</v>
      </c>
      <c r="L180" s="10">
        <f t="shared" si="20"/>
        <v>56619.784440154435</v>
      </c>
      <c r="M180" s="14">
        <f t="shared" si="21"/>
        <v>250390.21555984556</v>
      </c>
      <c r="N180" s="2">
        <f t="shared" si="22"/>
        <v>-187792.66166988417</v>
      </c>
      <c r="O180" s="136">
        <f t="shared" si="23"/>
        <v>-229786.45502895757</v>
      </c>
      <c r="P180" s="34">
        <f>O180/'D) Ecrêtage'!C180</f>
        <v>-4.0584127492013957</v>
      </c>
      <c r="Q180" s="132"/>
    </row>
    <row r="181" spans="1:17" x14ac:dyDescent="0.25">
      <c r="A181" s="50">
        <f>+'A) Base RI'!A183</f>
        <v>5704</v>
      </c>
      <c r="B181" s="308" t="str">
        <f>+'A) Base RI'!B183</f>
        <v>Begnins</v>
      </c>
      <c r="C181" s="322">
        <f>+'D) Ecrêtage'!C181</f>
        <v>127181.77029850746</v>
      </c>
      <c r="D181" s="300">
        <v>542184</v>
      </c>
      <c r="E181" s="322">
        <v>72030</v>
      </c>
      <c r="F181" s="300">
        <v>183676</v>
      </c>
      <c r="G181" s="322">
        <f t="shared" si="16"/>
        <v>797890</v>
      </c>
      <c r="H181" s="300">
        <f t="shared" si="17"/>
        <v>1017454.1623880597</v>
      </c>
      <c r="I181" s="10">
        <f t="shared" si="18"/>
        <v>0</v>
      </c>
      <c r="J181" s="319">
        <f t="shared" si="19"/>
        <v>0</v>
      </c>
      <c r="K181" s="14">
        <v>11902</v>
      </c>
      <c r="L181" s="10">
        <f t="shared" si="20"/>
        <v>127181.77029850746</v>
      </c>
      <c r="M181" s="14">
        <f t="shared" si="21"/>
        <v>0</v>
      </c>
      <c r="N181" s="2">
        <f t="shared" si="22"/>
        <v>0</v>
      </c>
      <c r="O181" s="136">
        <f t="shared" si="23"/>
        <v>0</v>
      </c>
      <c r="P181" s="34">
        <f>O181/'D) Ecrêtage'!C181</f>
        <v>0</v>
      </c>
      <c r="Q181" s="132"/>
    </row>
    <row r="182" spans="1:17" x14ac:dyDescent="0.25">
      <c r="A182" s="50">
        <f>+'A) Base RI'!A184</f>
        <v>5705</v>
      </c>
      <c r="B182" s="308" t="str">
        <f>+'A) Base RI'!B184</f>
        <v>Bogis-Bossey</v>
      </c>
      <c r="C182" s="322">
        <f>+'D) Ecrêtage'!C182</f>
        <v>54965.953000000009</v>
      </c>
      <c r="D182" s="300">
        <v>187665</v>
      </c>
      <c r="E182" s="322">
        <v>29703</v>
      </c>
      <c r="F182" s="300">
        <v>56967</v>
      </c>
      <c r="G182" s="322">
        <f t="shared" si="16"/>
        <v>274335</v>
      </c>
      <c r="H182" s="300">
        <f t="shared" si="17"/>
        <v>439727.62400000007</v>
      </c>
      <c r="I182" s="10">
        <f t="shared" si="18"/>
        <v>0</v>
      </c>
      <c r="J182" s="319">
        <f t="shared" si="19"/>
        <v>0</v>
      </c>
      <c r="K182" s="14">
        <v>16032</v>
      </c>
      <c r="L182" s="10">
        <f t="shared" si="20"/>
        <v>54965.953000000009</v>
      </c>
      <c r="M182" s="14">
        <f t="shared" si="21"/>
        <v>0</v>
      </c>
      <c r="N182" s="2">
        <f t="shared" si="22"/>
        <v>0</v>
      </c>
      <c r="O182" s="136">
        <f t="shared" si="23"/>
        <v>0</v>
      </c>
      <c r="P182" s="34">
        <f>O182/'D) Ecrêtage'!C182</f>
        <v>0</v>
      </c>
      <c r="Q182" s="132"/>
    </row>
    <row r="183" spans="1:17" x14ac:dyDescent="0.25">
      <c r="A183" s="50">
        <f>+'A) Base RI'!A185</f>
        <v>5706</v>
      </c>
      <c r="B183" s="308" t="str">
        <f>+'A) Base RI'!B185</f>
        <v>Borex</v>
      </c>
      <c r="C183" s="322">
        <f>+'D) Ecrêtage'!C183</f>
        <v>71857.063735632182</v>
      </c>
      <c r="D183" s="300">
        <v>200245</v>
      </c>
      <c r="E183" s="322">
        <v>39471</v>
      </c>
      <c r="F183" s="300">
        <v>194463</v>
      </c>
      <c r="G183" s="322">
        <f t="shared" si="16"/>
        <v>434179</v>
      </c>
      <c r="H183" s="300">
        <f t="shared" si="17"/>
        <v>574856.50988505746</v>
      </c>
      <c r="I183" s="10">
        <f t="shared" si="18"/>
        <v>0</v>
      </c>
      <c r="J183" s="319">
        <f t="shared" si="19"/>
        <v>0</v>
      </c>
      <c r="K183" s="14">
        <v>0</v>
      </c>
      <c r="L183" s="10">
        <f t="shared" si="20"/>
        <v>71857.063735632182</v>
      </c>
      <c r="M183" s="14">
        <f t="shared" si="21"/>
        <v>0</v>
      </c>
      <c r="N183" s="2">
        <f t="shared" si="22"/>
        <v>0</v>
      </c>
      <c r="O183" s="136">
        <f t="shared" si="23"/>
        <v>0</v>
      </c>
      <c r="P183" s="34">
        <f>O183/'D) Ecrêtage'!C183</f>
        <v>0</v>
      </c>
      <c r="Q183" s="132"/>
    </row>
    <row r="184" spans="1:17" x14ac:dyDescent="0.25">
      <c r="A184" s="50">
        <f>+'A) Base RI'!A186</f>
        <v>5707</v>
      </c>
      <c r="B184" s="308" t="str">
        <f>+'A) Base RI'!B186</f>
        <v>Chavannes-de-Bogis</v>
      </c>
      <c r="C184" s="322">
        <f>+'D) Ecrêtage'!C184</f>
        <v>84087.690451977411</v>
      </c>
      <c r="D184" s="300">
        <v>187309</v>
      </c>
      <c r="E184" s="322">
        <v>44770</v>
      </c>
      <c r="F184" s="300">
        <v>79430</v>
      </c>
      <c r="G184" s="322">
        <f t="shared" si="16"/>
        <v>311509</v>
      </c>
      <c r="H184" s="300">
        <f t="shared" si="17"/>
        <v>672701.52361581929</v>
      </c>
      <c r="I184" s="10">
        <f t="shared" si="18"/>
        <v>0</v>
      </c>
      <c r="J184" s="319">
        <f t="shared" si="19"/>
        <v>0</v>
      </c>
      <c r="K184" s="14">
        <v>7106</v>
      </c>
      <c r="L184" s="10">
        <f t="shared" si="20"/>
        <v>84087.690451977411</v>
      </c>
      <c r="M184" s="14">
        <f t="shared" si="21"/>
        <v>0</v>
      </c>
      <c r="N184" s="2">
        <f t="shared" si="22"/>
        <v>0</v>
      </c>
      <c r="O184" s="136">
        <f t="shared" si="23"/>
        <v>0</v>
      </c>
      <c r="P184" s="34">
        <f>O184/'D) Ecrêtage'!C184</f>
        <v>0</v>
      </c>
      <c r="Q184" s="132"/>
    </row>
    <row r="185" spans="1:17" x14ac:dyDescent="0.25">
      <c r="A185" s="50">
        <f>+'A) Base RI'!A187</f>
        <v>5708</v>
      </c>
      <c r="B185" s="308" t="str">
        <f>+'A) Base RI'!B187</f>
        <v>Chavannes-des-Bois</v>
      </c>
      <c r="C185" s="322">
        <f>+'D) Ecrêtage'!C185</f>
        <v>57555.435593220333</v>
      </c>
      <c r="D185" s="300">
        <v>172111</v>
      </c>
      <c r="E185" s="322">
        <v>123840</v>
      </c>
      <c r="F185" s="300">
        <v>71249</v>
      </c>
      <c r="G185" s="322">
        <f t="shared" si="16"/>
        <v>367200</v>
      </c>
      <c r="H185" s="300">
        <f t="shared" si="17"/>
        <v>460443.48474576266</v>
      </c>
      <c r="I185" s="10">
        <f t="shared" si="18"/>
        <v>0</v>
      </c>
      <c r="J185" s="319">
        <f t="shared" si="19"/>
        <v>0</v>
      </c>
      <c r="K185" s="14">
        <v>0</v>
      </c>
      <c r="L185" s="10">
        <f t="shared" si="20"/>
        <v>57555.435593220333</v>
      </c>
      <c r="M185" s="14">
        <f t="shared" si="21"/>
        <v>0</v>
      </c>
      <c r="N185" s="2">
        <f t="shared" si="22"/>
        <v>0</v>
      </c>
      <c r="O185" s="136">
        <f t="shared" si="23"/>
        <v>0</v>
      </c>
      <c r="P185" s="34">
        <f>O185/'D) Ecrêtage'!C185</f>
        <v>0</v>
      </c>
      <c r="Q185" s="132"/>
    </row>
    <row r="186" spans="1:17" x14ac:dyDescent="0.25">
      <c r="A186" s="50">
        <f>+'A) Base RI'!A188</f>
        <v>5709</v>
      </c>
      <c r="B186" s="308" t="str">
        <f>+'A) Base RI'!B188</f>
        <v>Chéserex</v>
      </c>
      <c r="C186" s="322">
        <f>+'D) Ecrêtage'!C186</f>
        <v>76627.19473684211</v>
      </c>
      <c r="D186" s="300">
        <v>311421</v>
      </c>
      <c r="E186" s="322">
        <v>43889</v>
      </c>
      <c r="F186" s="300">
        <v>209759</v>
      </c>
      <c r="G186" s="322">
        <f t="shared" si="16"/>
        <v>565069</v>
      </c>
      <c r="H186" s="300">
        <f t="shared" si="17"/>
        <v>613017.55789473688</v>
      </c>
      <c r="I186" s="10">
        <f t="shared" si="18"/>
        <v>0</v>
      </c>
      <c r="J186" s="319">
        <f t="shared" si="19"/>
        <v>0</v>
      </c>
      <c r="K186" s="14">
        <v>55455</v>
      </c>
      <c r="L186" s="10">
        <f t="shared" si="20"/>
        <v>76627.19473684211</v>
      </c>
      <c r="M186" s="14">
        <f t="shared" si="21"/>
        <v>0</v>
      </c>
      <c r="N186" s="2">
        <f t="shared" si="22"/>
        <v>0</v>
      </c>
      <c r="O186" s="136">
        <f t="shared" si="23"/>
        <v>0</v>
      </c>
      <c r="P186" s="34">
        <f>O186/'D) Ecrêtage'!C186</f>
        <v>0</v>
      </c>
      <c r="Q186" s="132"/>
    </row>
    <row r="187" spans="1:17" x14ac:dyDescent="0.25">
      <c r="A187" s="50">
        <f>+'A) Base RI'!A189</f>
        <v>5710</v>
      </c>
      <c r="B187" s="308" t="str">
        <f>+'A) Base RI'!B189</f>
        <v>Coinsins</v>
      </c>
      <c r="C187" s="322">
        <f>+'D) Ecrêtage'!C187</f>
        <v>93255.286470588253</v>
      </c>
      <c r="D187" s="300">
        <v>101361</v>
      </c>
      <c r="E187" s="322">
        <v>17599</v>
      </c>
      <c r="F187" s="300">
        <v>48007</v>
      </c>
      <c r="G187" s="322">
        <f t="shared" si="16"/>
        <v>166967</v>
      </c>
      <c r="H187" s="300">
        <f t="shared" si="17"/>
        <v>746042.29176470602</v>
      </c>
      <c r="I187" s="10">
        <f t="shared" si="18"/>
        <v>0</v>
      </c>
      <c r="J187" s="319">
        <f t="shared" si="19"/>
        <v>0</v>
      </c>
      <c r="K187" s="14">
        <v>1091</v>
      </c>
      <c r="L187" s="10">
        <f t="shared" si="20"/>
        <v>93255.286470588253</v>
      </c>
      <c r="M187" s="14">
        <f t="shared" si="21"/>
        <v>0</v>
      </c>
      <c r="N187" s="2">
        <f t="shared" si="22"/>
        <v>0</v>
      </c>
      <c r="O187" s="136">
        <f t="shared" si="23"/>
        <v>0</v>
      </c>
      <c r="P187" s="34">
        <f>O187/'D) Ecrêtage'!C187</f>
        <v>0</v>
      </c>
      <c r="Q187" s="132"/>
    </row>
    <row r="188" spans="1:17" x14ac:dyDescent="0.25">
      <c r="A188" s="50">
        <f>+'A) Base RI'!A190</f>
        <v>5711</v>
      </c>
      <c r="B188" s="308" t="str">
        <f>+'A) Base RI'!B190</f>
        <v>Commugny</v>
      </c>
      <c r="C188" s="322">
        <f>+'D) Ecrêtage'!C188</f>
        <v>252725.09392712548</v>
      </c>
      <c r="D188" s="300">
        <v>492679</v>
      </c>
      <c r="E188" s="322">
        <v>188147</v>
      </c>
      <c r="F188" s="300">
        <v>171627</v>
      </c>
      <c r="G188" s="322">
        <f t="shared" si="16"/>
        <v>852453</v>
      </c>
      <c r="H188" s="300">
        <f t="shared" si="17"/>
        <v>2021800.7514170038</v>
      </c>
      <c r="I188" s="10">
        <f t="shared" si="18"/>
        <v>0</v>
      </c>
      <c r="J188" s="319">
        <f t="shared" si="19"/>
        <v>0</v>
      </c>
      <c r="K188" s="14">
        <v>5808</v>
      </c>
      <c r="L188" s="10">
        <f t="shared" si="20"/>
        <v>252725.09392712548</v>
      </c>
      <c r="M188" s="14">
        <f t="shared" si="21"/>
        <v>0</v>
      </c>
      <c r="N188" s="2">
        <f t="shared" si="22"/>
        <v>0</v>
      </c>
      <c r="O188" s="136">
        <f t="shared" si="23"/>
        <v>0</v>
      </c>
      <c r="P188" s="34">
        <f>O188/'D) Ecrêtage'!C188</f>
        <v>0</v>
      </c>
      <c r="Q188" s="132"/>
    </row>
    <row r="189" spans="1:17" x14ac:dyDescent="0.25">
      <c r="A189" s="50">
        <f>+'A) Base RI'!A191</f>
        <v>5712</v>
      </c>
      <c r="B189" s="308" t="str">
        <f>+'A) Base RI'!B191</f>
        <v>Coppet</v>
      </c>
      <c r="C189" s="322">
        <f>+'D) Ecrêtage'!C189</f>
        <v>325058.64591194969</v>
      </c>
      <c r="D189" s="300">
        <v>588028</v>
      </c>
      <c r="E189" s="322">
        <v>249757</v>
      </c>
      <c r="F189" s="300">
        <v>194989</v>
      </c>
      <c r="G189" s="322">
        <f t="shared" si="16"/>
        <v>1032774</v>
      </c>
      <c r="H189" s="300">
        <f t="shared" si="17"/>
        <v>2600469.1672955975</v>
      </c>
      <c r="I189" s="10">
        <f t="shared" si="18"/>
        <v>0</v>
      </c>
      <c r="J189" s="319">
        <f t="shared" si="19"/>
        <v>0</v>
      </c>
      <c r="K189" s="14">
        <v>0</v>
      </c>
      <c r="L189" s="10">
        <f t="shared" si="20"/>
        <v>325058.64591194969</v>
      </c>
      <c r="M189" s="14">
        <f t="shared" si="21"/>
        <v>0</v>
      </c>
      <c r="N189" s="2">
        <f t="shared" si="22"/>
        <v>0</v>
      </c>
      <c r="O189" s="136">
        <f t="shared" si="23"/>
        <v>0</v>
      </c>
      <c r="P189" s="34">
        <f>O189/'D) Ecrêtage'!C189</f>
        <v>0</v>
      </c>
      <c r="Q189" s="132"/>
    </row>
    <row r="190" spans="1:17" x14ac:dyDescent="0.25">
      <c r="A190" s="50">
        <f>+'A) Base RI'!A192</f>
        <v>5713</v>
      </c>
      <c r="B190" s="308" t="str">
        <f>+'A) Base RI'!B192</f>
        <v>Crans-près-Céligny</v>
      </c>
      <c r="C190" s="322">
        <f>+'D) Ecrêtage'!C190</f>
        <v>238982.42094339622</v>
      </c>
      <c r="D190" s="300">
        <v>1260289</v>
      </c>
      <c r="E190" s="322">
        <v>79164</v>
      </c>
      <c r="F190" s="300">
        <v>145658</v>
      </c>
      <c r="G190" s="322">
        <f t="shared" si="16"/>
        <v>1485111</v>
      </c>
      <c r="H190" s="300">
        <f t="shared" si="17"/>
        <v>1911859.3675471698</v>
      </c>
      <c r="I190" s="10">
        <f t="shared" si="18"/>
        <v>0</v>
      </c>
      <c r="J190" s="319">
        <f t="shared" si="19"/>
        <v>0</v>
      </c>
      <c r="K190" s="14">
        <v>31131</v>
      </c>
      <c r="L190" s="10">
        <f t="shared" si="20"/>
        <v>238982.42094339622</v>
      </c>
      <c r="M190" s="14">
        <f t="shared" si="21"/>
        <v>0</v>
      </c>
      <c r="N190" s="2">
        <f t="shared" si="22"/>
        <v>0</v>
      </c>
      <c r="O190" s="136">
        <f t="shared" si="23"/>
        <v>0</v>
      </c>
      <c r="P190" s="34">
        <f>O190/'D) Ecrêtage'!C190</f>
        <v>0</v>
      </c>
      <c r="Q190" s="132"/>
    </row>
    <row r="191" spans="1:17" x14ac:dyDescent="0.25">
      <c r="A191" s="50">
        <f>+'A) Base RI'!A193</f>
        <v>5714</v>
      </c>
      <c r="B191" s="308" t="str">
        <f>+'A) Base RI'!B193</f>
        <v>Crassier</v>
      </c>
      <c r="C191" s="322">
        <f>+'D) Ecrêtage'!C191</f>
        <v>81379.304374999992</v>
      </c>
      <c r="D191" s="300">
        <v>239195</v>
      </c>
      <c r="E191" s="322">
        <v>42093</v>
      </c>
      <c r="F191" s="300">
        <v>223822</v>
      </c>
      <c r="G191" s="322">
        <f t="shared" si="16"/>
        <v>505110</v>
      </c>
      <c r="H191" s="300">
        <f t="shared" si="17"/>
        <v>651034.43499999994</v>
      </c>
      <c r="I191" s="10">
        <f t="shared" si="18"/>
        <v>0</v>
      </c>
      <c r="J191" s="319">
        <f t="shared" si="19"/>
        <v>0</v>
      </c>
      <c r="K191" s="14">
        <v>2525</v>
      </c>
      <c r="L191" s="10">
        <f t="shared" si="20"/>
        <v>81379.304374999992</v>
      </c>
      <c r="M191" s="14">
        <f t="shared" si="21"/>
        <v>0</v>
      </c>
      <c r="N191" s="2">
        <f t="shared" si="22"/>
        <v>0</v>
      </c>
      <c r="O191" s="136">
        <f t="shared" si="23"/>
        <v>0</v>
      </c>
      <c r="P191" s="34">
        <f>O191/'D) Ecrêtage'!C191</f>
        <v>0</v>
      </c>
      <c r="Q191" s="132"/>
    </row>
    <row r="192" spans="1:17" x14ac:dyDescent="0.25">
      <c r="A192" s="50">
        <f>+'A) Base RI'!A194</f>
        <v>5715</v>
      </c>
      <c r="B192" s="308" t="str">
        <f>+'A) Base RI'!B194</f>
        <v>Duillier</v>
      </c>
      <c r="C192" s="322">
        <f>+'D) Ecrêtage'!C192</f>
        <v>59220.850303030304</v>
      </c>
      <c r="D192" s="300">
        <v>145987</v>
      </c>
      <c r="E192" s="322">
        <v>37317</v>
      </c>
      <c r="F192" s="300">
        <v>104562</v>
      </c>
      <c r="G192" s="322">
        <f t="shared" si="16"/>
        <v>287866</v>
      </c>
      <c r="H192" s="300">
        <f t="shared" si="17"/>
        <v>473766.80242424243</v>
      </c>
      <c r="I192" s="10">
        <f t="shared" si="18"/>
        <v>0</v>
      </c>
      <c r="J192" s="319">
        <f t="shared" si="19"/>
        <v>0</v>
      </c>
      <c r="K192" s="14">
        <v>11161</v>
      </c>
      <c r="L192" s="10">
        <f t="shared" si="20"/>
        <v>59220.850303030304</v>
      </c>
      <c r="M192" s="14">
        <f t="shared" si="21"/>
        <v>0</v>
      </c>
      <c r="N192" s="2">
        <f t="shared" si="22"/>
        <v>0</v>
      </c>
      <c r="O192" s="136">
        <f t="shared" si="23"/>
        <v>0</v>
      </c>
      <c r="P192" s="34">
        <f>O192/'D) Ecrêtage'!C192</f>
        <v>0</v>
      </c>
      <c r="Q192" s="132"/>
    </row>
    <row r="193" spans="1:17" x14ac:dyDescent="0.25">
      <c r="A193" s="50">
        <f>+'A) Base RI'!A195</f>
        <v>5716</v>
      </c>
      <c r="B193" s="308" t="str">
        <f>+'A) Base RI'!B195</f>
        <v>Eysins</v>
      </c>
      <c r="C193" s="322">
        <f>+'D) Ecrêtage'!C193</f>
        <v>124151.91836065573</v>
      </c>
      <c r="D193" s="300">
        <v>322845</v>
      </c>
      <c r="E193" s="322">
        <v>53228</v>
      </c>
      <c r="F193" s="300">
        <v>314423</v>
      </c>
      <c r="G193" s="322">
        <f t="shared" si="16"/>
        <v>690496</v>
      </c>
      <c r="H193" s="300">
        <f t="shared" si="17"/>
        <v>993215.34688524588</v>
      </c>
      <c r="I193" s="10">
        <f t="shared" si="18"/>
        <v>0</v>
      </c>
      <c r="J193" s="319">
        <f t="shared" si="19"/>
        <v>0</v>
      </c>
      <c r="K193" s="14">
        <v>3595</v>
      </c>
      <c r="L193" s="10">
        <f t="shared" si="20"/>
        <v>124151.91836065573</v>
      </c>
      <c r="M193" s="14">
        <f t="shared" si="21"/>
        <v>0</v>
      </c>
      <c r="N193" s="2">
        <f t="shared" si="22"/>
        <v>0</v>
      </c>
      <c r="O193" s="136">
        <f t="shared" si="23"/>
        <v>0</v>
      </c>
      <c r="P193" s="34">
        <f>O193/'D) Ecrêtage'!C193</f>
        <v>0</v>
      </c>
      <c r="Q193" s="132"/>
    </row>
    <row r="194" spans="1:17" x14ac:dyDescent="0.25">
      <c r="A194" s="50">
        <f>+'A) Base RI'!A196</f>
        <v>5717</v>
      </c>
      <c r="B194" s="308" t="str">
        <f>+'A) Base RI'!B196</f>
        <v>Founex</v>
      </c>
      <c r="C194" s="322">
        <f>+'D) Ecrêtage'!C194</f>
        <v>339342.81578947371</v>
      </c>
      <c r="D194" s="300">
        <v>1106893</v>
      </c>
      <c r="E194" s="322">
        <v>122474</v>
      </c>
      <c r="F194" s="300">
        <v>231417</v>
      </c>
      <c r="G194" s="322">
        <f t="shared" si="16"/>
        <v>1460784</v>
      </c>
      <c r="H194" s="300">
        <f t="shared" si="17"/>
        <v>2714742.5263157897</v>
      </c>
      <c r="I194" s="10">
        <f t="shared" si="18"/>
        <v>0</v>
      </c>
      <c r="J194" s="319">
        <f t="shared" si="19"/>
        <v>0</v>
      </c>
      <c r="K194" s="14">
        <v>987</v>
      </c>
      <c r="L194" s="10">
        <f t="shared" si="20"/>
        <v>339342.81578947371</v>
      </c>
      <c r="M194" s="14">
        <f t="shared" si="21"/>
        <v>0</v>
      </c>
      <c r="N194" s="2">
        <f t="shared" si="22"/>
        <v>0</v>
      </c>
      <c r="O194" s="136">
        <f t="shared" si="23"/>
        <v>0</v>
      </c>
      <c r="P194" s="34">
        <f>O194/'D) Ecrêtage'!C194</f>
        <v>0</v>
      </c>
      <c r="Q194" s="132"/>
    </row>
    <row r="195" spans="1:17" s="272" customFormat="1" x14ac:dyDescent="0.25">
      <c r="A195" s="50">
        <f>+'A) Base RI'!A197</f>
        <v>5718</v>
      </c>
      <c r="B195" s="308" t="str">
        <f>+'A) Base RI'!B197</f>
        <v>Genolier</v>
      </c>
      <c r="C195" s="322">
        <f>+'D) Ecrêtage'!C195</f>
        <v>176672.45218181823</v>
      </c>
      <c r="D195" s="300">
        <v>371946</v>
      </c>
      <c r="E195" s="322">
        <v>116685</v>
      </c>
      <c r="F195" s="300">
        <v>117002</v>
      </c>
      <c r="G195" s="322">
        <f t="shared" si="16"/>
        <v>605633</v>
      </c>
      <c r="H195" s="300">
        <f t="shared" si="17"/>
        <v>1413379.6174545458</v>
      </c>
      <c r="I195" s="10">
        <f t="shared" si="18"/>
        <v>0</v>
      </c>
      <c r="J195" s="319">
        <f t="shared" si="19"/>
        <v>0</v>
      </c>
      <c r="K195" s="1">
        <v>104364</v>
      </c>
      <c r="L195" s="270">
        <f t="shared" si="20"/>
        <v>176672.45218181823</v>
      </c>
      <c r="M195" s="1">
        <f t="shared" si="21"/>
        <v>0</v>
      </c>
      <c r="N195" s="2">
        <f t="shared" si="22"/>
        <v>0</v>
      </c>
      <c r="O195" s="136">
        <f t="shared" si="23"/>
        <v>0</v>
      </c>
      <c r="P195" s="34">
        <f>O195/'D) Ecrêtage'!C195</f>
        <v>0</v>
      </c>
      <c r="Q195" s="271"/>
    </row>
    <row r="196" spans="1:17" x14ac:dyDescent="0.25">
      <c r="A196" s="50">
        <f>+'A) Base RI'!A198</f>
        <v>5719</v>
      </c>
      <c r="B196" s="308" t="str">
        <f>+'A) Base RI'!B198</f>
        <v>Gingins</v>
      </c>
      <c r="C196" s="322">
        <f>+'D) Ecrêtage'!C196</f>
        <v>130825.37064327484</v>
      </c>
      <c r="D196" s="300">
        <v>184683</v>
      </c>
      <c r="E196" s="322">
        <v>42920</v>
      </c>
      <c r="F196" s="300">
        <v>203733</v>
      </c>
      <c r="G196" s="322">
        <f t="shared" si="16"/>
        <v>431336</v>
      </c>
      <c r="H196" s="300">
        <f t="shared" si="17"/>
        <v>1046602.9651461988</v>
      </c>
      <c r="I196" s="10">
        <f t="shared" si="18"/>
        <v>0</v>
      </c>
      <c r="J196" s="319">
        <f t="shared" si="19"/>
        <v>0</v>
      </c>
      <c r="K196" s="14">
        <v>23936</v>
      </c>
      <c r="L196" s="10">
        <f t="shared" si="20"/>
        <v>130825.37064327484</v>
      </c>
      <c r="M196" s="14">
        <f t="shared" si="21"/>
        <v>0</v>
      </c>
      <c r="N196" s="2">
        <f t="shared" si="22"/>
        <v>0</v>
      </c>
      <c r="O196" s="136">
        <f t="shared" si="23"/>
        <v>0</v>
      </c>
      <c r="P196" s="34">
        <f>O196/'D) Ecrêtage'!C196</f>
        <v>0</v>
      </c>
      <c r="Q196" s="132"/>
    </row>
    <row r="197" spans="1:17" x14ac:dyDescent="0.25">
      <c r="A197" s="50">
        <f>+'A) Base RI'!A199</f>
        <v>5720</v>
      </c>
      <c r="B197" s="308" t="str">
        <f>+'A) Base RI'!B199</f>
        <v>Givrins</v>
      </c>
      <c r="C197" s="322">
        <f>+'D) Ecrêtage'!C197</f>
        <v>72642.976593806918</v>
      </c>
      <c r="D197" s="300">
        <v>315150</v>
      </c>
      <c r="E197" s="322">
        <v>74583</v>
      </c>
      <c r="F197" s="300">
        <v>59371</v>
      </c>
      <c r="G197" s="322">
        <f t="shared" si="16"/>
        <v>449104</v>
      </c>
      <c r="H197" s="300">
        <f t="shared" si="17"/>
        <v>581143.81275045534</v>
      </c>
      <c r="I197" s="10">
        <f t="shared" si="18"/>
        <v>0</v>
      </c>
      <c r="J197" s="319">
        <f t="shared" si="19"/>
        <v>0</v>
      </c>
      <c r="K197" s="14">
        <v>130471</v>
      </c>
      <c r="L197" s="10">
        <f t="shared" si="20"/>
        <v>72642.976593806918</v>
      </c>
      <c r="M197" s="14">
        <f t="shared" si="21"/>
        <v>57828.023406193082</v>
      </c>
      <c r="N197" s="2">
        <f t="shared" si="22"/>
        <v>-43371.017554644815</v>
      </c>
      <c r="O197" s="136">
        <f t="shared" si="23"/>
        <v>-43371.017554644815</v>
      </c>
      <c r="P197" s="34">
        <f>O197/'D) Ecrêtage'!C197</f>
        <v>-0.5970435076904923</v>
      </c>
      <c r="Q197" s="132"/>
    </row>
    <row r="198" spans="1:17" x14ac:dyDescent="0.25">
      <c r="A198" s="50">
        <f>+'A) Base RI'!A200</f>
        <v>5721</v>
      </c>
      <c r="B198" s="308" t="str">
        <f>+'A) Base RI'!B200</f>
        <v>Gland</v>
      </c>
      <c r="C198" s="322">
        <f>+'D) Ecrêtage'!C198</f>
        <v>599217.55248000007</v>
      </c>
      <c r="D198" s="300">
        <v>2212957</v>
      </c>
      <c r="E198" s="322">
        <v>1288524</v>
      </c>
      <c r="F198" s="300">
        <v>51149</v>
      </c>
      <c r="G198" s="322">
        <f t="shared" ref="G198:G261" si="24">SUM(D198:F198)</f>
        <v>3552630</v>
      </c>
      <c r="H198" s="300">
        <f t="shared" ref="H198:H261" si="25">+C198*$I$4</f>
        <v>4793740.4198400006</v>
      </c>
      <c r="I198" s="10">
        <f t="shared" ref="I198:I261" si="26">IF(G198&gt;H198,G198-H198,0)</f>
        <v>0</v>
      </c>
      <c r="J198" s="319">
        <f t="shared" ref="J198:J261" si="27">-I198*J$4</f>
        <v>0</v>
      </c>
      <c r="K198" s="14">
        <v>-1360</v>
      </c>
      <c r="L198" s="10">
        <f t="shared" ref="L198:L261" si="28">C198*M$4</f>
        <v>599217.55248000007</v>
      </c>
      <c r="M198" s="14">
        <f t="shared" ref="M198:M261" si="29">IF(K198&gt;L198,K198-L198,0)</f>
        <v>0</v>
      </c>
      <c r="N198" s="2">
        <f t="shared" ref="N198:N261" si="30">-M198*N$4</f>
        <v>0</v>
      </c>
      <c r="O198" s="136">
        <f t="shared" ref="O198:O261" si="31">N198+J198</f>
        <v>0</v>
      </c>
      <c r="P198" s="34">
        <f>O198/'D) Ecrêtage'!C198</f>
        <v>0</v>
      </c>
      <c r="Q198" s="132"/>
    </row>
    <row r="199" spans="1:17" x14ac:dyDescent="0.25">
      <c r="A199" s="50">
        <f>+'A) Base RI'!A201</f>
        <v>5722</v>
      </c>
      <c r="B199" s="308" t="str">
        <f>+'A) Base RI'!B201</f>
        <v>Grens</v>
      </c>
      <c r="C199" s="322">
        <f>+'D) Ecrêtage'!C199</f>
        <v>25282.227903225812</v>
      </c>
      <c r="D199" s="300">
        <v>19545</v>
      </c>
      <c r="E199" s="322">
        <v>42405</v>
      </c>
      <c r="F199" s="300">
        <v>70560</v>
      </c>
      <c r="G199" s="322">
        <f t="shared" si="24"/>
        <v>132510</v>
      </c>
      <c r="H199" s="300">
        <f t="shared" si="25"/>
        <v>202257.8232258065</v>
      </c>
      <c r="I199" s="10">
        <f t="shared" si="26"/>
        <v>0</v>
      </c>
      <c r="J199" s="319">
        <f t="shared" si="27"/>
        <v>0</v>
      </c>
      <c r="K199" s="14">
        <v>-17583</v>
      </c>
      <c r="L199" s="10">
        <f t="shared" si="28"/>
        <v>25282.227903225812</v>
      </c>
      <c r="M199" s="14">
        <f t="shared" si="29"/>
        <v>0</v>
      </c>
      <c r="N199" s="2">
        <f t="shared" si="30"/>
        <v>0</v>
      </c>
      <c r="O199" s="136">
        <f t="shared" si="31"/>
        <v>0</v>
      </c>
      <c r="P199" s="34">
        <f>O199/'D) Ecrêtage'!C199</f>
        <v>0</v>
      </c>
      <c r="Q199" s="132"/>
    </row>
    <row r="200" spans="1:17" x14ac:dyDescent="0.25">
      <c r="A200" s="50">
        <f>+'A) Base RI'!A202</f>
        <v>5723</v>
      </c>
      <c r="B200" s="308" t="str">
        <f>+'A) Base RI'!B202</f>
        <v>Mies</v>
      </c>
      <c r="C200" s="322">
        <f>+'D) Ecrêtage'!C200</f>
        <v>442357.54510204075</v>
      </c>
      <c r="D200" s="300">
        <v>133644</v>
      </c>
      <c r="E200" s="322">
        <v>112542</v>
      </c>
      <c r="F200" s="300">
        <v>118824</v>
      </c>
      <c r="G200" s="322">
        <f t="shared" si="24"/>
        <v>365010</v>
      </c>
      <c r="H200" s="300">
        <f t="shared" si="25"/>
        <v>3538860.360816326</v>
      </c>
      <c r="I200" s="10">
        <f t="shared" si="26"/>
        <v>0</v>
      </c>
      <c r="J200" s="319">
        <f t="shared" si="27"/>
        <v>0</v>
      </c>
      <c r="K200" s="14">
        <v>0</v>
      </c>
      <c r="L200" s="10">
        <f t="shared" si="28"/>
        <v>442357.54510204075</v>
      </c>
      <c r="M200" s="14">
        <f t="shared" si="29"/>
        <v>0</v>
      </c>
      <c r="N200" s="2">
        <f t="shared" si="30"/>
        <v>0</v>
      </c>
      <c r="O200" s="136">
        <f t="shared" si="31"/>
        <v>0</v>
      </c>
      <c r="P200" s="34">
        <f>O200/'D) Ecrêtage'!C200</f>
        <v>0</v>
      </c>
      <c r="Q200" s="132"/>
    </row>
    <row r="201" spans="1:17" x14ac:dyDescent="0.25">
      <c r="A201" s="50">
        <f>+'A) Base RI'!A203</f>
        <v>5724</v>
      </c>
      <c r="B201" s="308" t="str">
        <f>+'A) Base RI'!B203</f>
        <v>Nyon</v>
      </c>
      <c r="C201" s="322">
        <f>+'D) Ecrêtage'!C201</f>
        <v>1295846.4763430012</v>
      </c>
      <c r="D201" s="300">
        <v>6942131</v>
      </c>
      <c r="E201" s="322">
        <v>3850639</v>
      </c>
      <c r="F201" s="300">
        <v>167154</v>
      </c>
      <c r="G201" s="322">
        <f t="shared" si="24"/>
        <v>10959924</v>
      </c>
      <c r="H201" s="300">
        <f t="shared" si="25"/>
        <v>10366771.81074401</v>
      </c>
      <c r="I201" s="10">
        <f t="shared" si="26"/>
        <v>593152.18925599009</v>
      </c>
      <c r="J201" s="319">
        <f t="shared" si="27"/>
        <v>-444864.14194199257</v>
      </c>
      <c r="K201" s="14">
        <v>439803</v>
      </c>
      <c r="L201" s="10">
        <f t="shared" si="28"/>
        <v>1295846.4763430012</v>
      </c>
      <c r="M201" s="14">
        <f t="shared" si="29"/>
        <v>0</v>
      </c>
      <c r="N201" s="2">
        <f t="shared" si="30"/>
        <v>0</v>
      </c>
      <c r="O201" s="136">
        <f t="shared" si="31"/>
        <v>-444864.14194199257</v>
      </c>
      <c r="P201" s="34">
        <f>O201/'D) Ecrêtage'!C201</f>
        <v>-0.34330003597142184</v>
      </c>
      <c r="Q201" s="132"/>
    </row>
    <row r="202" spans="1:17" x14ac:dyDescent="0.25">
      <c r="A202" s="50">
        <f>+'A) Base RI'!A204</f>
        <v>5725</v>
      </c>
      <c r="B202" s="308" t="str">
        <f>+'A) Base RI'!B204</f>
        <v>Prangins</v>
      </c>
      <c r="C202" s="322">
        <f>+'D) Ecrêtage'!C202</f>
        <v>297756.63698979589</v>
      </c>
      <c r="D202" s="300">
        <v>574751</v>
      </c>
      <c r="E202" s="322">
        <v>934040</v>
      </c>
      <c r="F202" s="300">
        <v>82861</v>
      </c>
      <c r="G202" s="322">
        <f t="shared" si="24"/>
        <v>1591652</v>
      </c>
      <c r="H202" s="300">
        <f t="shared" si="25"/>
        <v>2382053.0959183672</v>
      </c>
      <c r="I202" s="10">
        <f t="shared" si="26"/>
        <v>0</v>
      </c>
      <c r="J202" s="319">
        <f t="shared" si="27"/>
        <v>0</v>
      </c>
      <c r="K202" s="14">
        <v>34120</v>
      </c>
      <c r="L202" s="10">
        <f t="shared" si="28"/>
        <v>297756.63698979589</v>
      </c>
      <c r="M202" s="14">
        <f t="shared" si="29"/>
        <v>0</v>
      </c>
      <c r="N202" s="2">
        <f t="shared" si="30"/>
        <v>0</v>
      </c>
      <c r="O202" s="136">
        <f t="shared" si="31"/>
        <v>0</v>
      </c>
      <c r="P202" s="34">
        <f>O202/'D) Ecrêtage'!C202</f>
        <v>0</v>
      </c>
      <c r="Q202" s="132"/>
    </row>
    <row r="203" spans="1:17" x14ac:dyDescent="0.25">
      <c r="A203" s="50">
        <f>+'A) Base RI'!A205</f>
        <v>5726</v>
      </c>
      <c r="B203" s="308" t="str">
        <f>+'A) Base RI'!B205</f>
        <v>La Rippe</v>
      </c>
      <c r="C203" s="322">
        <f>+'D) Ecrêtage'!C203</f>
        <v>56821.794000000002</v>
      </c>
      <c r="D203" s="300">
        <v>186013</v>
      </c>
      <c r="E203" s="322">
        <v>56514</v>
      </c>
      <c r="F203" s="300">
        <v>204046</v>
      </c>
      <c r="G203" s="322">
        <f t="shared" si="24"/>
        <v>446573</v>
      </c>
      <c r="H203" s="300">
        <f t="shared" si="25"/>
        <v>454574.35200000001</v>
      </c>
      <c r="I203" s="10">
        <f t="shared" si="26"/>
        <v>0</v>
      </c>
      <c r="J203" s="319">
        <f t="shared" si="27"/>
        <v>0</v>
      </c>
      <c r="K203" s="14">
        <v>16955</v>
      </c>
      <c r="L203" s="10">
        <f t="shared" si="28"/>
        <v>56821.794000000002</v>
      </c>
      <c r="M203" s="14">
        <f t="shared" si="29"/>
        <v>0</v>
      </c>
      <c r="N203" s="2">
        <f t="shared" si="30"/>
        <v>0</v>
      </c>
      <c r="O203" s="136">
        <f t="shared" si="31"/>
        <v>0</v>
      </c>
      <c r="P203" s="34">
        <f>O203/'D) Ecrêtage'!C203</f>
        <v>0</v>
      </c>
      <c r="Q203" s="132"/>
    </row>
    <row r="204" spans="1:17" x14ac:dyDescent="0.25">
      <c r="A204" s="50">
        <f>+'A) Base RI'!A206</f>
        <v>5727</v>
      </c>
      <c r="B204" s="308" t="str">
        <f>+'A) Base RI'!B206</f>
        <v>Saint-Cergue</v>
      </c>
      <c r="C204" s="322">
        <f>+'D) Ecrêtage'!C204</f>
        <v>100367.45777777779</v>
      </c>
      <c r="D204" s="300">
        <v>875132</v>
      </c>
      <c r="E204" s="322">
        <v>148513</v>
      </c>
      <c r="F204" s="300">
        <v>83453</v>
      </c>
      <c r="G204" s="322">
        <f t="shared" si="24"/>
        <v>1107098</v>
      </c>
      <c r="H204" s="300">
        <f t="shared" si="25"/>
        <v>802939.66222222231</v>
      </c>
      <c r="I204" s="10">
        <f t="shared" si="26"/>
        <v>304158.33777777769</v>
      </c>
      <c r="J204" s="319">
        <f t="shared" si="27"/>
        <v>-228118.75333333327</v>
      </c>
      <c r="K204" s="14">
        <v>171005</v>
      </c>
      <c r="L204" s="10">
        <f t="shared" si="28"/>
        <v>100367.45777777779</v>
      </c>
      <c r="M204" s="14">
        <f t="shared" si="29"/>
        <v>70637.542222222211</v>
      </c>
      <c r="N204" s="2">
        <f t="shared" si="30"/>
        <v>-52978.156666666662</v>
      </c>
      <c r="O204" s="136">
        <f t="shared" si="31"/>
        <v>-281096.90999999992</v>
      </c>
      <c r="P204" s="34">
        <f>O204/'D) Ecrêtage'!C204</f>
        <v>-2.8006777916241807</v>
      </c>
      <c r="Q204" s="132"/>
    </row>
    <row r="205" spans="1:17" x14ac:dyDescent="0.25">
      <c r="A205" s="50">
        <f>+'A) Base RI'!A207</f>
        <v>5728</v>
      </c>
      <c r="B205" s="308" t="str">
        <f>+'A) Base RI'!B207</f>
        <v>Signy-Avenex</v>
      </c>
      <c r="C205" s="322">
        <f>+'D) Ecrêtage'!C205</f>
        <v>36550.556034482761</v>
      </c>
      <c r="D205" s="300">
        <v>100396</v>
      </c>
      <c r="E205" s="322">
        <v>18533</v>
      </c>
      <c r="F205" s="300">
        <v>91038</v>
      </c>
      <c r="G205" s="322">
        <f t="shared" si="24"/>
        <v>209967</v>
      </c>
      <c r="H205" s="300">
        <f t="shared" si="25"/>
        <v>292404.44827586209</v>
      </c>
      <c r="I205" s="10">
        <f t="shared" si="26"/>
        <v>0</v>
      </c>
      <c r="J205" s="319">
        <f t="shared" si="27"/>
        <v>0</v>
      </c>
      <c r="K205" s="14">
        <v>0</v>
      </c>
      <c r="L205" s="10">
        <f t="shared" si="28"/>
        <v>36550.556034482761</v>
      </c>
      <c r="M205" s="14">
        <f t="shared" si="29"/>
        <v>0</v>
      </c>
      <c r="N205" s="2">
        <f t="shared" si="30"/>
        <v>0</v>
      </c>
      <c r="O205" s="136">
        <f t="shared" si="31"/>
        <v>0</v>
      </c>
      <c r="P205" s="34">
        <f>O205/'D) Ecrêtage'!C205</f>
        <v>0</v>
      </c>
      <c r="Q205" s="132"/>
    </row>
    <row r="206" spans="1:17" x14ac:dyDescent="0.25">
      <c r="A206" s="50">
        <f>+'A) Base RI'!A208</f>
        <v>5729</v>
      </c>
      <c r="B206" s="308" t="str">
        <f>+'A) Base RI'!B208</f>
        <v>Tannay</v>
      </c>
      <c r="C206" s="322">
        <f>+'D) Ecrêtage'!C206</f>
        <v>172823.24043715847</v>
      </c>
      <c r="D206" s="300">
        <v>244335</v>
      </c>
      <c r="E206" s="322">
        <v>89630</v>
      </c>
      <c r="F206" s="300">
        <v>93673</v>
      </c>
      <c r="G206" s="322">
        <f t="shared" si="24"/>
        <v>427638</v>
      </c>
      <c r="H206" s="300">
        <f t="shared" si="25"/>
        <v>1382585.9234972678</v>
      </c>
      <c r="I206" s="10">
        <f t="shared" si="26"/>
        <v>0</v>
      </c>
      <c r="J206" s="319">
        <f t="shared" si="27"/>
        <v>0</v>
      </c>
      <c r="K206" s="14">
        <v>0</v>
      </c>
      <c r="L206" s="10">
        <f t="shared" si="28"/>
        <v>172823.24043715847</v>
      </c>
      <c r="M206" s="14">
        <f t="shared" si="29"/>
        <v>0</v>
      </c>
      <c r="N206" s="2">
        <f t="shared" si="30"/>
        <v>0</v>
      </c>
      <c r="O206" s="136">
        <f t="shared" si="31"/>
        <v>0</v>
      </c>
      <c r="P206" s="34">
        <f>O206/'D) Ecrêtage'!C206</f>
        <v>0</v>
      </c>
      <c r="Q206" s="132"/>
    </row>
    <row r="207" spans="1:17" x14ac:dyDescent="0.25">
      <c r="A207" s="50">
        <f>+'A) Base RI'!A209</f>
        <v>5730</v>
      </c>
      <c r="B207" s="308" t="str">
        <f>+'A) Base RI'!B209</f>
        <v>Trélex</v>
      </c>
      <c r="C207" s="322">
        <f>+'D) Ecrêtage'!C207</f>
        <v>103185.50284600389</v>
      </c>
      <c r="D207" s="300">
        <v>303502</v>
      </c>
      <c r="E207" s="322">
        <v>84642</v>
      </c>
      <c r="F207" s="300">
        <v>84580</v>
      </c>
      <c r="G207" s="322">
        <f t="shared" si="24"/>
        <v>472724</v>
      </c>
      <c r="H207" s="300">
        <f t="shared" si="25"/>
        <v>825484.02276803111</v>
      </c>
      <c r="I207" s="10">
        <f t="shared" si="26"/>
        <v>0</v>
      </c>
      <c r="J207" s="319">
        <f t="shared" si="27"/>
        <v>0</v>
      </c>
      <c r="K207" s="14">
        <v>125381</v>
      </c>
      <c r="L207" s="10">
        <f t="shared" si="28"/>
        <v>103185.50284600389</v>
      </c>
      <c r="M207" s="14">
        <f t="shared" si="29"/>
        <v>22195.497153996112</v>
      </c>
      <c r="N207" s="2">
        <f t="shared" si="30"/>
        <v>-16646.622865497084</v>
      </c>
      <c r="O207" s="136">
        <f t="shared" si="31"/>
        <v>-16646.622865497084</v>
      </c>
      <c r="P207" s="34">
        <f>O207/'D) Ecrêtage'!C207</f>
        <v>-0.16132714777133797</v>
      </c>
      <c r="Q207" s="132"/>
    </row>
    <row r="208" spans="1:17" x14ac:dyDescent="0.25">
      <c r="A208" s="50">
        <f>+'A) Base RI'!A210</f>
        <v>5731</v>
      </c>
      <c r="B208" s="308" t="str">
        <f>+'A) Base RI'!B210</f>
        <v>Le Vaud</v>
      </c>
      <c r="C208" s="322">
        <f>+'D) Ecrêtage'!C208</f>
        <v>50829.361333333334</v>
      </c>
      <c r="D208" s="300">
        <v>358187</v>
      </c>
      <c r="E208" s="322">
        <v>45254</v>
      </c>
      <c r="F208" s="300">
        <v>148939</v>
      </c>
      <c r="G208" s="322">
        <f t="shared" si="24"/>
        <v>552380</v>
      </c>
      <c r="H208" s="300">
        <f t="shared" si="25"/>
        <v>406634.89066666667</v>
      </c>
      <c r="I208" s="10">
        <f t="shared" si="26"/>
        <v>145745.10933333333</v>
      </c>
      <c r="J208" s="319">
        <f t="shared" si="27"/>
        <v>-109308.83199999999</v>
      </c>
      <c r="K208" s="14">
        <v>-131234</v>
      </c>
      <c r="L208" s="10">
        <f t="shared" si="28"/>
        <v>50829.361333333334</v>
      </c>
      <c r="M208" s="14">
        <f t="shared" si="29"/>
        <v>0</v>
      </c>
      <c r="N208" s="2">
        <f t="shared" si="30"/>
        <v>0</v>
      </c>
      <c r="O208" s="136">
        <f t="shared" si="31"/>
        <v>-109308.83199999999</v>
      </c>
      <c r="P208" s="34">
        <f>O208/'D) Ecrêtage'!C208</f>
        <v>-2.1505057142694506</v>
      </c>
      <c r="Q208" s="132"/>
    </row>
    <row r="209" spans="1:17" x14ac:dyDescent="0.25">
      <c r="A209" s="50">
        <f>+'A) Base RI'!A211</f>
        <v>5732</v>
      </c>
      <c r="B209" s="308" t="str">
        <f>+'A) Base RI'!B211</f>
        <v>Vich</v>
      </c>
      <c r="C209" s="322">
        <f>+'D) Ecrêtage'!C209</f>
        <v>61037.471029411761</v>
      </c>
      <c r="D209" s="300">
        <v>1368065</v>
      </c>
      <c r="E209" s="322">
        <v>55984</v>
      </c>
      <c r="F209" s="300">
        <v>102711</v>
      </c>
      <c r="G209" s="322">
        <f t="shared" si="24"/>
        <v>1526760</v>
      </c>
      <c r="H209" s="300">
        <f t="shared" si="25"/>
        <v>488299.76823529409</v>
      </c>
      <c r="I209" s="10">
        <f t="shared" si="26"/>
        <v>1038460.2317647059</v>
      </c>
      <c r="J209" s="319">
        <f t="shared" si="27"/>
        <v>-778845.17382352939</v>
      </c>
      <c r="K209" s="14">
        <v>19763</v>
      </c>
      <c r="L209" s="10">
        <f t="shared" si="28"/>
        <v>61037.471029411761</v>
      </c>
      <c r="M209" s="14">
        <f t="shared" si="29"/>
        <v>0</v>
      </c>
      <c r="N209" s="2">
        <f t="shared" si="30"/>
        <v>0</v>
      </c>
      <c r="O209" s="136">
        <f t="shared" si="31"/>
        <v>-778845.17382352939</v>
      </c>
      <c r="P209" s="34">
        <f>O209/'D) Ecrêtage'!C209</f>
        <v>-12.760115396134809</v>
      </c>
      <c r="Q209" s="132"/>
    </row>
    <row r="210" spans="1:17" x14ac:dyDescent="0.25">
      <c r="A210" s="50">
        <f>+'A) Base RI'!A212</f>
        <v>5741</v>
      </c>
      <c r="B210" s="308" t="str">
        <f>+'A) Base RI'!B212</f>
        <v>L'Abergement</v>
      </c>
      <c r="C210" s="322">
        <f>+'D) Ecrêtage'!C210</f>
        <v>6619.5511522633742</v>
      </c>
      <c r="D210" s="300">
        <v>121207</v>
      </c>
      <c r="E210" s="322">
        <v>9726</v>
      </c>
      <c r="F210" s="300">
        <v>24027</v>
      </c>
      <c r="G210" s="322">
        <f t="shared" si="24"/>
        <v>154960</v>
      </c>
      <c r="H210" s="300">
        <f t="shared" si="25"/>
        <v>52956.409218106994</v>
      </c>
      <c r="I210" s="10">
        <f t="shared" si="26"/>
        <v>102003.590781893</v>
      </c>
      <c r="J210" s="319">
        <f t="shared" si="27"/>
        <v>-76502.693086419749</v>
      </c>
      <c r="K210" s="14">
        <v>23871</v>
      </c>
      <c r="L210" s="10">
        <f t="shared" si="28"/>
        <v>6619.5511522633742</v>
      </c>
      <c r="M210" s="14">
        <f t="shared" si="29"/>
        <v>17251.448847736625</v>
      </c>
      <c r="N210" s="2">
        <f t="shared" si="30"/>
        <v>-12938.586635802469</v>
      </c>
      <c r="O210" s="136">
        <f t="shared" si="31"/>
        <v>-89441.279722222214</v>
      </c>
      <c r="P210" s="34">
        <f>O210/'D) Ecrêtage'!C210</f>
        <v>-13.511683445733359</v>
      </c>
      <c r="Q210" s="132"/>
    </row>
    <row r="211" spans="1:17" x14ac:dyDescent="0.25">
      <c r="A211" s="50">
        <f>+'A) Base RI'!A213</f>
        <v>5742</v>
      </c>
      <c r="B211" s="308" t="str">
        <f>+'A) Base RI'!B213</f>
        <v>Agiez</v>
      </c>
      <c r="C211" s="322">
        <f>+'D) Ecrêtage'!C211</f>
        <v>9354.2819736842121</v>
      </c>
      <c r="D211" s="300">
        <v>42994</v>
      </c>
      <c r="E211" s="322">
        <v>11874</v>
      </c>
      <c r="F211" s="300">
        <v>32906</v>
      </c>
      <c r="G211" s="322">
        <f t="shared" si="24"/>
        <v>87774</v>
      </c>
      <c r="H211" s="300">
        <f t="shared" si="25"/>
        <v>74834.255789473696</v>
      </c>
      <c r="I211" s="10">
        <f t="shared" si="26"/>
        <v>12939.744210526304</v>
      </c>
      <c r="J211" s="319">
        <f t="shared" si="27"/>
        <v>-9704.8081578947276</v>
      </c>
      <c r="K211" s="14">
        <v>12615</v>
      </c>
      <c r="L211" s="10">
        <f t="shared" si="28"/>
        <v>9354.2819736842121</v>
      </c>
      <c r="M211" s="14">
        <f t="shared" si="29"/>
        <v>3260.7180263157879</v>
      </c>
      <c r="N211" s="2">
        <f t="shared" si="30"/>
        <v>-2445.538519736841</v>
      </c>
      <c r="O211" s="136">
        <f t="shared" si="31"/>
        <v>-12150.346677631569</v>
      </c>
      <c r="P211" s="34">
        <f>O211/'D) Ecrêtage'!C211</f>
        <v>-1.2989074641766565</v>
      </c>
      <c r="Q211" s="132"/>
    </row>
    <row r="212" spans="1:17" x14ac:dyDescent="0.25">
      <c r="A212" s="50">
        <f>+'A) Base RI'!A214</f>
        <v>5743</v>
      </c>
      <c r="B212" s="308" t="str">
        <f>+'A) Base RI'!B214</f>
        <v>Arnex-sur-Orbe</v>
      </c>
      <c r="C212" s="322">
        <f>+'D) Ecrêtage'!C212</f>
        <v>17594.003904109592</v>
      </c>
      <c r="D212" s="300">
        <v>153318</v>
      </c>
      <c r="E212" s="322">
        <v>64030</v>
      </c>
      <c r="F212" s="300">
        <v>73034</v>
      </c>
      <c r="G212" s="322">
        <f t="shared" si="24"/>
        <v>290382</v>
      </c>
      <c r="H212" s="300">
        <f t="shared" si="25"/>
        <v>140752.03123287673</v>
      </c>
      <c r="I212" s="10">
        <f t="shared" si="26"/>
        <v>149629.96876712327</v>
      </c>
      <c r="J212" s="319">
        <f t="shared" si="27"/>
        <v>-112222.47657534244</v>
      </c>
      <c r="K212" s="14">
        <v>-1149</v>
      </c>
      <c r="L212" s="10">
        <f t="shared" si="28"/>
        <v>17594.003904109592</v>
      </c>
      <c r="M212" s="14">
        <f t="shared" si="29"/>
        <v>0</v>
      </c>
      <c r="N212" s="2">
        <f t="shared" si="30"/>
        <v>0</v>
      </c>
      <c r="O212" s="136">
        <f t="shared" si="31"/>
        <v>-112222.47657534244</v>
      </c>
      <c r="P212" s="34">
        <f>O212/'D) Ecrêtage'!C212</f>
        <v>-6.378450134885421</v>
      </c>
      <c r="Q212" s="132"/>
    </row>
    <row r="213" spans="1:17" x14ac:dyDescent="0.25">
      <c r="A213" s="50">
        <f>+'A) Base RI'!A215</f>
        <v>5744</v>
      </c>
      <c r="B213" s="308" t="str">
        <f>+'A) Base RI'!B215</f>
        <v>Ballaigues</v>
      </c>
      <c r="C213" s="322">
        <f>+'D) Ecrêtage'!C213</f>
        <v>49791.438333333339</v>
      </c>
      <c r="D213" s="300">
        <v>725008</v>
      </c>
      <c r="E213" s="322">
        <v>44618</v>
      </c>
      <c r="F213" s="300">
        <v>134258</v>
      </c>
      <c r="G213" s="322">
        <f t="shared" si="24"/>
        <v>903884</v>
      </c>
      <c r="H213" s="300">
        <f t="shared" si="25"/>
        <v>398331.50666666671</v>
      </c>
      <c r="I213" s="10">
        <f t="shared" si="26"/>
        <v>505552.49333333329</v>
      </c>
      <c r="J213" s="319">
        <f t="shared" si="27"/>
        <v>-379164.37</v>
      </c>
      <c r="K213" s="14">
        <v>10831</v>
      </c>
      <c r="L213" s="10">
        <f t="shared" si="28"/>
        <v>49791.438333333339</v>
      </c>
      <c r="M213" s="14">
        <f t="shared" si="29"/>
        <v>0</v>
      </c>
      <c r="N213" s="2">
        <f t="shared" si="30"/>
        <v>0</v>
      </c>
      <c r="O213" s="136">
        <f t="shared" si="31"/>
        <v>-379164.37</v>
      </c>
      <c r="P213" s="34">
        <f>O213/'D) Ecrêtage'!C213</f>
        <v>-7.6150515568891466</v>
      </c>
      <c r="Q213" s="132"/>
    </row>
    <row r="214" spans="1:17" x14ac:dyDescent="0.25">
      <c r="A214" s="50">
        <f>+'A) Base RI'!A216</f>
        <v>5745</v>
      </c>
      <c r="B214" s="308" t="str">
        <f>+'A) Base RI'!B216</f>
        <v>Baulmes</v>
      </c>
      <c r="C214" s="322">
        <f>+'D) Ecrêtage'!C214</f>
        <v>25375.775641025641</v>
      </c>
      <c r="D214" s="300">
        <v>242565</v>
      </c>
      <c r="E214" s="322">
        <v>106885</v>
      </c>
      <c r="F214" s="300">
        <v>79222</v>
      </c>
      <c r="G214" s="322">
        <f t="shared" si="24"/>
        <v>428672</v>
      </c>
      <c r="H214" s="300">
        <f t="shared" si="25"/>
        <v>203006.20512820513</v>
      </c>
      <c r="I214" s="10">
        <f t="shared" si="26"/>
        <v>225665.79487179487</v>
      </c>
      <c r="J214" s="319">
        <f t="shared" si="27"/>
        <v>-169249.34615384616</v>
      </c>
      <c r="K214" s="14">
        <v>62679</v>
      </c>
      <c r="L214" s="10">
        <f t="shared" si="28"/>
        <v>25375.775641025641</v>
      </c>
      <c r="M214" s="14">
        <f t="shared" si="29"/>
        <v>37303.224358974359</v>
      </c>
      <c r="N214" s="2">
        <f t="shared" si="30"/>
        <v>-27977.41826923077</v>
      </c>
      <c r="O214" s="136">
        <f t="shared" si="31"/>
        <v>-197226.76442307694</v>
      </c>
      <c r="P214" s="34">
        <f>O214/'D) Ecrêtage'!C214</f>
        <v>-7.7722457517403161</v>
      </c>
      <c r="Q214" s="132"/>
    </row>
    <row r="215" spans="1:17" x14ac:dyDescent="0.25">
      <c r="A215" s="50">
        <f>+'A) Base RI'!A217</f>
        <v>5746</v>
      </c>
      <c r="B215" s="308" t="str">
        <f>+'A) Base RI'!B217</f>
        <v>Bavois</v>
      </c>
      <c r="C215" s="322">
        <f>+'D) Ecrêtage'!C215</f>
        <v>25508.009041095891</v>
      </c>
      <c r="D215" s="300">
        <v>216658</v>
      </c>
      <c r="E215" s="322">
        <v>95133</v>
      </c>
      <c r="F215" s="300">
        <v>110538</v>
      </c>
      <c r="G215" s="322">
        <f t="shared" si="24"/>
        <v>422329</v>
      </c>
      <c r="H215" s="300">
        <f t="shared" si="25"/>
        <v>204064.07232876713</v>
      </c>
      <c r="I215" s="10">
        <f t="shared" si="26"/>
        <v>218264.92767123287</v>
      </c>
      <c r="J215" s="319">
        <f t="shared" si="27"/>
        <v>-163698.69575342466</v>
      </c>
      <c r="K215" s="14">
        <v>77106</v>
      </c>
      <c r="L215" s="10">
        <f t="shared" si="28"/>
        <v>25508.009041095891</v>
      </c>
      <c r="M215" s="14">
        <f t="shared" si="29"/>
        <v>51597.990958904105</v>
      </c>
      <c r="N215" s="2">
        <f t="shared" si="30"/>
        <v>-38698.493219178083</v>
      </c>
      <c r="O215" s="136">
        <f t="shared" si="31"/>
        <v>-202397.18897260274</v>
      </c>
      <c r="P215" s="34">
        <f>O215/'D) Ecrêtage'!C215</f>
        <v>-7.9346525495784919</v>
      </c>
      <c r="Q215" s="132"/>
    </row>
    <row r="216" spans="1:17" x14ac:dyDescent="0.25">
      <c r="A216" s="50">
        <f>+'A) Base RI'!A218</f>
        <v>5747</v>
      </c>
      <c r="B216" s="308" t="str">
        <f>+'A) Base RI'!B218</f>
        <v>Bofflens</v>
      </c>
      <c r="C216" s="322">
        <f>+'D) Ecrêtage'!C216</f>
        <v>5402.2208695652162</v>
      </c>
      <c r="D216" s="300">
        <v>20743</v>
      </c>
      <c r="E216" s="322">
        <v>7619</v>
      </c>
      <c r="F216" s="300">
        <v>23106</v>
      </c>
      <c r="G216" s="322">
        <f t="shared" si="24"/>
        <v>51468</v>
      </c>
      <c r="H216" s="300">
        <f t="shared" si="25"/>
        <v>43217.766956521729</v>
      </c>
      <c r="I216" s="10">
        <f t="shared" si="26"/>
        <v>8250.2330434782707</v>
      </c>
      <c r="J216" s="319">
        <f t="shared" si="27"/>
        <v>-6187.674782608703</v>
      </c>
      <c r="K216" s="14">
        <v>-14967</v>
      </c>
      <c r="L216" s="10">
        <f t="shared" si="28"/>
        <v>5402.2208695652162</v>
      </c>
      <c r="M216" s="14">
        <f t="shared" si="29"/>
        <v>0</v>
      </c>
      <c r="N216" s="2">
        <f t="shared" si="30"/>
        <v>0</v>
      </c>
      <c r="O216" s="136">
        <f t="shared" si="31"/>
        <v>-6187.674782608703</v>
      </c>
      <c r="P216" s="34">
        <f>O216/'D) Ecrêtage'!C216</f>
        <v>-1.145394631579864</v>
      </c>
      <c r="Q216" s="132"/>
    </row>
    <row r="217" spans="1:17" x14ac:dyDescent="0.25">
      <c r="A217" s="50">
        <f>+'A) Base RI'!A219</f>
        <v>5748</v>
      </c>
      <c r="B217" s="308" t="str">
        <f>+'A) Base RI'!B219</f>
        <v>Bretonnières</v>
      </c>
      <c r="C217" s="322">
        <f>+'D) Ecrêtage'!C217</f>
        <v>7661.0479629629635</v>
      </c>
      <c r="D217" s="300">
        <v>60848</v>
      </c>
      <c r="E217" s="322">
        <v>26139</v>
      </c>
      <c r="F217" s="300">
        <v>32040</v>
      </c>
      <c r="G217" s="322">
        <f t="shared" si="24"/>
        <v>119027</v>
      </c>
      <c r="H217" s="300">
        <f t="shared" si="25"/>
        <v>61288.383703703708</v>
      </c>
      <c r="I217" s="10">
        <f t="shared" si="26"/>
        <v>57738.616296296292</v>
      </c>
      <c r="J217" s="319">
        <f t="shared" si="27"/>
        <v>-43303.962222222217</v>
      </c>
      <c r="K217" s="14">
        <v>-9480</v>
      </c>
      <c r="L217" s="10">
        <f t="shared" si="28"/>
        <v>7661.0479629629635</v>
      </c>
      <c r="M217" s="14">
        <f t="shared" si="29"/>
        <v>0</v>
      </c>
      <c r="N217" s="2">
        <f t="shared" si="30"/>
        <v>0</v>
      </c>
      <c r="O217" s="136">
        <f t="shared" si="31"/>
        <v>-43303.962222222217</v>
      </c>
      <c r="P217" s="34">
        <f>O217/'D) Ecrêtage'!C217</f>
        <v>-5.6524854604191912</v>
      </c>
      <c r="Q217" s="132"/>
    </row>
    <row r="218" spans="1:17" x14ac:dyDescent="0.25">
      <c r="A218" s="50">
        <f>+'A) Base RI'!A220</f>
        <v>5749</v>
      </c>
      <c r="B218" s="308" t="str">
        <f>+'A) Base RI'!B220</f>
        <v>Chavornay</v>
      </c>
      <c r="C218" s="322">
        <f>+'D) Ecrêtage'!C218</f>
        <v>134740.63065656566</v>
      </c>
      <c r="D218" s="300">
        <v>717012</v>
      </c>
      <c r="E218" s="322">
        <v>488025</v>
      </c>
      <c r="F218" s="300">
        <v>637503</v>
      </c>
      <c r="G218" s="322">
        <f t="shared" si="24"/>
        <v>1842540</v>
      </c>
      <c r="H218" s="300">
        <f t="shared" si="25"/>
        <v>1077925.0452525252</v>
      </c>
      <c r="I218" s="10">
        <f t="shared" si="26"/>
        <v>764614.95474747475</v>
      </c>
      <c r="J218" s="319">
        <f t="shared" si="27"/>
        <v>-573461.21606060606</v>
      </c>
      <c r="K218" s="14">
        <v>142473</v>
      </c>
      <c r="L218" s="10">
        <f t="shared" si="28"/>
        <v>134740.63065656566</v>
      </c>
      <c r="M218" s="14">
        <f t="shared" si="29"/>
        <v>7732.369343434344</v>
      </c>
      <c r="N218" s="2">
        <f t="shared" si="30"/>
        <v>-5799.277007575758</v>
      </c>
      <c r="O218" s="136">
        <f t="shared" si="31"/>
        <v>-579260.49306818179</v>
      </c>
      <c r="P218" s="34">
        <f>O218/'D) Ecrêtage'!C218</f>
        <v>-4.2990780898497709</v>
      </c>
      <c r="Q218" s="132"/>
    </row>
    <row r="219" spans="1:17" x14ac:dyDescent="0.25">
      <c r="A219" s="50">
        <f>+'A) Base RI'!A221</f>
        <v>5750</v>
      </c>
      <c r="B219" s="308" t="str">
        <f>+'A) Base RI'!B221</f>
        <v>Les Clées</v>
      </c>
      <c r="C219" s="322">
        <f>+'D) Ecrêtage'!C219</f>
        <v>5020.8349583333338</v>
      </c>
      <c r="D219" s="300">
        <v>33300</v>
      </c>
      <c r="E219" s="322">
        <v>0</v>
      </c>
      <c r="F219" s="300">
        <v>18322</v>
      </c>
      <c r="G219" s="322">
        <f t="shared" si="24"/>
        <v>51622</v>
      </c>
      <c r="H219" s="300">
        <f t="shared" si="25"/>
        <v>40166.679666666671</v>
      </c>
      <c r="I219" s="10">
        <f t="shared" si="26"/>
        <v>11455.320333333329</v>
      </c>
      <c r="J219" s="319">
        <f t="shared" si="27"/>
        <v>-8591.4902499999971</v>
      </c>
      <c r="K219" s="14">
        <v>-169999</v>
      </c>
      <c r="L219" s="10">
        <f t="shared" si="28"/>
        <v>5020.8349583333338</v>
      </c>
      <c r="M219" s="14">
        <f t="shared" si="29"/>
        <v>0</v>
      </c>
      <c r="N219" s="2">
        <f t="shared" si="30"/>
        <v>0</v>
      </c>
      <c r="O219" s="136">
        <f t="shared" si="31"/>
        <v>-8591.4902499999971</v>
      </c>
      <c r="P219" s="34">
        <f>O219/'D) Ecrêtage'!C219</f>
        <v>-1.7111676287507251</v>
      </c>
      <c r="Q219" s="132"/>
    </row>
    <row r="220" spans="1:17" x14ac:dyDescent="0.25">
      <c r="A220" s="50">
        <f>+'A) Base RI'!A222</f>
        <v>5752</v>
      </c>
      <c r="B220" s="308" t="str">
        <f>+'A) Base RI'!B222</f>
        <v>Croy</v>
      </c>
      <c r="C220" s="322">
        <f>+'D) Ecrêtage'!C220</f>
        <v>11140.896486486487</v>
      </c>
      <c r="D220" s="300">
        <v>150565</v>
      </c>
      <c r="E220" s="322">
        <v>34852</v>
      </c>
      <c r="F220" s="300">
        <v>36289</v>
      </c>
      <c r="G220" s="322">
        <f t="shared" si="24"/>
        <v>221706</v>
      </c>
      <c r="H220" s="300">
        <f t="shared" si="25"/>
        <v>89127.171891891892</v>
      </c>
      <c r="I220" s="10">
        <f t="shared" si="26"/>
        <v>132578.82810810811</v>
      </c>
      <c r="J220" s="319">
        <f t="shared" si="27"/>
        <v>-99434.121081081073</v>
      </c>
      <c r="K220" s="14">
        <v>867</v>
      </c>
      <c r="L220" s="10">
        <f t="shared" si="28"/>
        <v>11140.896486486487</v>
      </c>
      <c r="M220" s="14">
        <f t="shared" si="29"/>
        <v>0</v>
      </c>
      <c r="N220" s="2">
        <f t="shared" si="30"/>
        <v>0</v>
      </c>
      <c r="O220" s="136">
        <f t="shared" si="31"/>
        <v>-99434.121081081073</v>
      </c>
      <c r="P220" s="34">
        <f>O220/'D) Ecrêtage'!C220</f>
        <v>-8.9251454047428904</v>
      </c>
      <c r="Q220" s="132"/>
    </row>
    <row r="221" spans="1:17" x14ac:dyDescent="0.25">
      <c r="A221" s="50">
        <f>+'A) Base RI'!A223</f>
        <v>5754</v>
      </c>
      <c r="B221" s="308" t="str">
        <f>+'A) Base RI'!B223</f>
        <v>Juriens</v>
      </c>
      <c r="C221" s="322">
        <f>+'D) Ecrêtage'!C221</f>
        <v>8138.4883785546344</v>
      </c>
      <c r="D221" s="300">
        <v>74528</v>
      </c>
      <c r="E221" s="322">
        <v>12239</v>
      </c>
      <c r="F221" s="300">
        <v>30825</v>
      </c>
      <c r="G221" s="322">
        <f t="shared" si="24"/>
        <v>117592</v>
      </c>
      <c r="H221" s="300">
        <f t="shared" si="25"/>
        <v>65107.907028437075</v>
      </c>
      <c r="I221" s="10">
        <f t="shared" si="26"/>
        <v>52484.092971562925</v>
      </c>
      <c r="J221" s="319">
        <f t="shared" si="27"/>
        <v>-39363.069728672192</v>
      </c>
      <c r="K221" s="14">
        <v>33320</v>
      </c>
      <c r="L221" s="10">
        <f t="shared" si="28"/>
        <v>8138.4883785546344</v>
      </c>
      <c r="M221" s="14">
        <f t="shared" si="29"/>
        <v>25181.511621445366</v>
      </c>
      <c r="N221" s="2">
        <f t="shared" si="30"/>
        <v>-18886.133716084027</v>
      </c>
      <c r="O221" s="136">
        <f t="shared" si="31"/>
        <v>-58249.203444756218</v>
      </c>
      <c r="P221" s="34">
        <f>O221/'D) Ecrêtage'!C221</f>
        <v>-7.1572509212209576</v>
      </c>
      <c r="Q221" s="132"/>
    </row>
    <row r="222" spans="1:17" x14ac:dyDescent="0.25">
      <c r="A222" s="50">
        <f>+'A) Base RI'!A224</f>
        <v>5755</v>
      </c>
      <c r="B222" s="308" t="str">
        <f>+'A) Base RI'!B224</f>
        <v>Lignerolle</v>
      </c>
      <c r="C222" s="322">
        <f>+'D) Ecrêtage'!C222</f>
        <v>9320.3381401087972</v>
      </c>
      <c r="D222" s="300">
        <v>156628</v>
      </c>
      <c r="E222" s="322">
        <v>16413</v>
      </c>
      <c r="F222" s="300">
        <v>43838</v>
      </c>
      <c r="G222" s="322">
        <f t="shared" si="24"/>
        <v>216879</v>
      </c>
      <c r="H222" s="300">
        <f t="shared" si="25"/>
        <v>74562.705120870378</v>
      </c>
      <c r="I222" s="10">
        <f t="shared" si="26"/>
        <v>142316.29487912962</v>
      </c>
      <c r="J222" s="319">
        <f t="shared" si="27"/>
        <v>-106737.22115934722</v>
      </c>
      <c r="K222" s="14">
        <v>106151</v>
      </c>
      <c r="L222" s="10">
        <f t="shared" si="28"/>
        <v>9320.3381401087972</v>
      </c>
      <c r="M222" s="14">
        <f t="shared" si="29"/>
        <v>96830.661859891203</v>
      </c>
      <c r="N222" s="2">
        <f t="shared" si="30"/>
        <v>-72622.996394918402</v>
      </c>
      <c r="O222" s="136">
        <f t="shared" si="31"/>
        <v>-179360.21755426563</v>
      </c>
      <c r="P222" s="34">
        <f>O222/'D) Ecrêtage'!C222</f>
        <v>-19.243960343285565</v>
      </c>
      <c r="Q222" s="132"/>
    </row>
    <row r="223" spans="1:17" x14ac:dyDescent="0.25">
      <c r="A223" s="50">
        <f>+'A) Base RI'!A225</f>
        <v>5756</v>
      </c>
      <c r="B223" s="308" t="str">
        <f>+'A) Base RI'!B225</f>
        <v>Montcherand</v>
      </c>
      <c r="C223" s="322">
        <f>+'D) Ecrêtage'!C223</f>
        <v>18436.632028742581</v>
      </c>
      <c r="D223" s="300">
        <v>123429</v>
      </c>
      <c r="E223" s="322">
        <v>19006</v>
      </c>
      <c r="F223" s="300">
        <v>60079</v>
      </c>
      <c r="G223" s="322">
        <f t="shared" si="24"/>
        <v>202514</v>
      </c>
      <c r="H223" s="300">
        <f t="shared" si="25"/>
        <v>147493.05622994064</v>
      </c>
      <c r="I223" s="10">
        <f t="shared" si="26"/>
        <v>55020.943770059355</v>
      </c>
      <c r="J223" s="319">
        <f t="shared" si="27"/>
        <v>-41265.707827544516</v>
      </c>
      <c r="K223" s="14">
        <v>11884</v>
      </c>
      <c r="L223" s="10">
        <f t="shared" si="28"/>
        <v>18436.632028742581</v>
      </c>
      <c r="M223" s="14">
        <f t="shared" si="29"/>
        <v>0</v>
      </c>
      <c r="N223" s="2">
        <f t="shared" si="30"/>
        <v>0</v>
      </c>
      <c r="O223" s="136">
        <f t="shared" si="31"/>
        <v>-41265.707827544516</v>
      </c>
      <c r="P223" s="34">
        <f>O223/'D) Ecrêtage'!C223</f>
        <v>-2.2382454541161079</v>
      </c>
      <c r="Q223" s="132"/>
    </row>
    <row r="224" spans="1:17" x14ac:dyDescent="0.25">
      <c r="A224" s="50">
        <f>+'A) Base RI'!A226</f>
        <v>5757</v>
      </c>
      <c r="B224" s="308" t="str">
        <f>+'A) Base RI'!B226</f>
        <v>Orbe</v>
      </c>
      <c r="C224" s="322">
        <f>+'D) Ecrêtage'!C224</f>
        <v>195350.61852415255</v>
      </c>
      <c r="D224" s="300">
        <v>2018690</v>
      </c>
      <c r="E224" s="322">
        <v>1010863</v>
      </c>
      <c r="F224" s="300">
        <v>760135</v>
      </c>
      <c r="G224" s="322">
        <f t="shared" si="24"/>
        <v>3789688</v>
      </c>
      <c r="H224" s="300">
        <f t="shared" si="25"/>
        <v>1562804.9481932204</v>
      </c>
      <c r="I224" s="10">
        <f t="shared" si="26"/>
        <v>2226883.0518067796</v>
      </c>
      <c r="J224" s="319">
        <f t="shared" si="27"/>
        <v>-1670162.2888550847</v>
      </c>
      <c r="K224" s="14">
        <v>22635</v>
      </c>
      <c r="L224" s="10">
        <f t="shared" si="28"/>
        <v>195350.61852415255</v>
      </c>
      <c r="M224" s="14">
        <f t="shared" si="29"/>
        <v>0</v>
      </c>
      <c r="N224" s="2">
        <f t="shared" si="30"/>
        <v>0</v>
      </c>
      <c r="O224" s="136">
        <f t="shared" si="31"/>
        <v>-1670162.2888550847</v>
      </c>
      <c r="P224" s="34">
        <f>O224/'D) Ecrêtage'!C224</f>
        <v>-8.5495623278438249</v>
      </c>
      <c r="Q224" s="132"/>
    </row>
    <row r="225" spans="1:17" x14ac:dyDescent="0.25">
      <c r="A225" s="50">
        <f>+'A) Base RI'!A227</f>
        <v>5758</v>
      </c>
      <c r="B225" s="308" t="str">
        <f>+'A) Base RI'!B227</f>
        <v>La Praz</v>
      </c>
      <c r="C225" s="322">
        <f>+'D) Ecrêtage'!C225</f>
        <v>3217.0835405215335</v>
      </c>
      <c r="D225" s="300">
        <v>30720</v>
      </c>
      <c r="E225" s="322">
        <v>6444</v>
      </c>
      <c r="F225" s="300">
        <v>15483</v>
      </c>
      <c r="G225" s="322">
        <f t="shared" si="24"/>
        <v>52647</v>
      </c>
      <c r="H225" s="300">
        <f t="shared" si="25"/>
        <v>25736.668324172268</v>
      </c>
      <c r="I225" s="10">
        <f t="shared" si="26"/>
        <v>26910.331675827732</v>
      </c>
      <c r="J225" s="319">
        <f t="shared" si="27"/>
        <v>-20182.748756870798</v>
      </c>
      <c r="K225" s="14">
        <v>-4237</v>
      </c>
      <c r="L225" s="10">
        <f t="shared" si="28"/>
        <v>3217.0835405215335</v>
      </c>
      <c r="M225" s="14">
        <f t="shared" si="29"/>
        <v>0</v>
      </c>
      <c r="N225" s="2">
        <f t="shared" si="30"/>
        <v>0</v>
      </c>
      <c r="O225" s="136">
        <f t="shared" si="31"/>
        <v>-20182.748756870798</v>
      </c>
      <c r="P225" s="34">
        <f>O225/'D) Ecrêtage'!C225</f>
        <v>-6.273616616620064</v>
      </c>
      <c r="Q225" s="132"/>
    </row>
    <row r="226" spans="1:17" x14ac:dyDescent="0.25">
      <c r="A226" s="50">
        <f>+'A) Base RI'!A228</f>
        <v>5759</v>
      </c>
      <c r="B226" s="308" t="str">
        <f>+'A) Base RI'!B228</f>
        <v>Premier</v>
      </c>
      <c r="C226" s="322">
        <f>+'D) Ecrêtage'!C226</f>
        <v>4730.0976887452725</v>
      </c>
      <c r="D226" s="300">
        <v>48830</v>
      </c>
      <c r="E226" s="322">
        <v>7943</v>
      </c>
      <c r="F226" s="300">
        <v>21266</v>
      </c>
      <c r="G226" s="322">
        <f t="shared" si="24"/>
        <v>78039</v>
      </c>
      <c r="H226" s="300">
        <f t="shared" si="25"/>
        <v>37840.78150996218</v>
      </c>
      <c r="I226" s="10">
        <f t="shared" si="26"/>
        <v>40198.21849003782</v>
      </c>
      <c r="J226" s="319">
        <f t="shared" si="27"/>
        <v>-30148.663867528365</v>
      </c>
      <c r="K226" s="14">
        <v>5979</v>
      </c>
      <c r="L226" s="10">
        <f t="shared" si="28"/>
        <v>4730.0976887452725</v>
      </c>
      <c r="M226" s="14">
        <f t="shared" si="29"/>
        <v>1248.9023112547275</v>
      </c>
      <c r="N226" s="2">
        <f t="shared" si="30"/>
        <v>-936.6767334410456</v>
      </c>
      <c r="O226" s="136">
        <f t="shared" si="31"/>
        <v>-31085.340600969412</v>
      </c>
      <c r="P226" s="34">
        <f>O226/'D) Ecrêtage'!C226</f>
        <v>-6.5718178875953095</v>
      </c>
      <c r="Q226" s="132"/>
    </row>
    <row r="227" spans="1:17" x14ac:dyDescent="0.25">
      <c r="A227" s="50">
        <f>+'A) Base RI'!A229</f>
        <v>5760</v>
      </c>
      <c r="B227" s="308" t="str">
        <f>+'A) Base RI'!B229</f>
        <v>Rances</v>
      </c>
      <c r="C227" s="322">
        <f>+'D) Ecrêtage'!C227</f>
        <v>10427.733324716695</v>
      </c>
      <c r="D227" s="300">
        <v>265439</v>
      </c>
      <c r="E227" s="322">
        <v>28753</v>
      </c>
      <c r="F227" s="300">
        <v>50189</v>
      </c>
      <c r="G227" s="322">
        <f t="shared" si="24"/>
        <v>344381</v>
      </c>
      <c r="H227" s="300">
        <f t="shared" si="25"/>
        <v>83421.866597733562</v>
      </c>
      <c r="I227" s="10">
        <f t="shared" si="26"/>
        <v>260959.13340226642</v>
      </c>
      <c r="J227" s="319">
        <f t="shared" si="27"/>
        <v>-195719.35005169982</v>
      </c>
      <c r="K227" s="14">
        <v>91689</v>
      </c>
      <c r="L227" s="10">
        <f t="shared" si="28"/>
        <v>10427.733324716695</v>
      </c>
      <c r="M227" s="14">
        <f t="shared" si="29"/>
        <v>81261.266675283303</v>
      </c>
      <c r="N227" s="2">
        <f t="shared" si="30"/>
        <v>-60945.950006462474</v>
      </c>
      <c r="O227" s="136">
        <f t="shared" si="31"/>
        <v>-256665.30005816231</v>
      </c>
      <c r="P227" s="34">
        <f>O227/'D) Ecrêtage'!C227</f>
        <v>-24.613719210654583</v>
      </c>
      <c r="Q227" s="132"/>
    </row>
    <row r="228" spans="1:17" x14ac:dyDescent="0.25">
      <c r="A228" s="50">
        <f>+'A) Base RI'!A230</f>
        <v>5761</v>
      </c>
      <c r="B228" s="308" t="str">
        <f>+'A) Base RI'!B230</f>
        <v>Romainmôtier-Envy</v>
      </c>
      <c r="C228" s="322">
        <f>+'D) Ecrêtage'!C228</f>
        <v>12825.466828901401</v>
      </c>
      <c r="D228" s="300">
        <v>85254</v>
      </c>
      <c r="E228" s="322">
        <v>44254</v>
      </c>
      <c r="F228" s="300">
        <v>57579</v>
      </c>
      <c r="G228" s="322">
        <f t="shared" si="24"/>
        <v>187087</v>
      </c>
      <c r="H228" s="300">
        <f t="shared" si="25"/>
        <v>102603.73463121121</v>
      </c>
      <c r="I228" s="10">
        <f t="shared" si="26"/>
        <v>84483.265368788794</v>
      </c>
      <c r="J228" s="319">
        <f t="shared" si="27"/>
        <v>-63362.449026591596</v>
      </c>
      <c r="K228" s="14">
        <v>34721</v>
      </c>
      <c r="L228" s="10">
        <f t="shared" si="28"/>
        <v>12825.466828901401</v>
      </c>
      <c r="M228" s="14">
        <f t="shared" si="29"/>
        <v>21895.533171098599</v>
      </c>
      <c r="N228" s="2">
        <f t="shared" si="30"/>
        <v>-16421.649878323951</v>
      </c>
      <c r="O228" s="136">
        <f t="shared" si="31"/>
        <v>-79784.098904915547</v>
      </c>
      <c r="P228" s="34">
        <f>O228/'D) Ecrêtage'!C228</f>
        <v>-6.2207559357704616</v>
      </c>
      <c r="Q228" s="132"/>
    </row>
    <row r="229" spans="1:17" x14ac:dyDescent="0.25">
      <c r="A229" s="50">
        <f>+'A) Base RI'!A231</f>
        <v>5762</v>
      </c>
      <c r="B229" s="308" t="str">
        <f>+'A) Base RI'!B231</f>
        <v>Sergey</v>
      </c>
      <c r="C229" s="322">
        <f>+'D) Ecrêtage'!C229</f>
        <v>3985.6390801086227</v>
      </c>
      <c r="D229" s="300">
        <v>6385</v>
      </c>
      <c r="E229" s="322">
        <v>5674</v>
      </c>
      <c r="F229" s="300">
        <v>17984</v>
      </c>
      <c r="G229" s="322">
        <f t="shared" si="24"/>
        <v>30043</v>
      </c>
      <c r="H229" s="300">
        <f t="shared" si="25"/>
        <v>31885.112640868982</v>
      </c>
      <c r="I229" s="10">
        <f t="shared" si="26"/>
        <v>0</v>
      </c>
      <c r="J229" s="319">
        <f t="shared" si="27"/>
        <v>0</v>
      </c>
      <c r="K229" s="14">
        <v>6260</v>
      </c>
      <c r="L229" s="10">
        <f t="shared" si="28"/>
        <v>3985.6390801086227</v>
      </c>
      <c r="M229" s="14">
        <f t="shared" si="29"/>
        <v>2274.3609198913773</v>
      </c>
      <c r="N229" s="2">
        <f t="shared" si="30"/>
        <v>-1705.770689918533</v>
      </c>
      <c r="O229" s="136">
        <f t="shared" si="31"/>
        <v>-1705.770689918533</v>
      </c>
      <c r="P229" s="34">
        <f>O229/'D) Ecrêtage'!C229</f>
        <v>-0.42797921628971097</v>
      </c>
      <c r="Q229" s="132"/>
    </row>
    <row r="230" spans="1:17" x14ac:dyDescent="0.25">
      <c r="A230" s="50">
        <f>+'A) Base RI'!A232</f>
        <v>5763</v>
      </c>
      <c r="B230" s="308" t="str">
        <f>+'A) Base RI'!B232</f>
        <v>Valeyres-sous-Rances</v>
      </c>
      <c r="C230" s="322">
        <f>+'D) Ecrêtage'!C230</f>
        <v>20114.818063776223</v>
      </c>
      <c r="D230" s="300">
        <v>198126</v>
      </c>
      <c r="E230" s="322">
        <v>37870</v>
      </c>
      <c r="F230" s="300">
        <v>72528</v>
      </c>
      <c r="G230" s="322">
        <f t="shared" si="24"/>
        <v>308524</v>
      </c>
      <c r="H230" s="300">
        <f t="shared" si="25"/>
        <v>160918.54451020979</v>
      </c>
      <c r="I230" s="10">
        <f t="shared" si="26"/>
        <v>147605.45548979021</v>
      </c>
      <c r="J230" s="319">
        <f t="shared" si="27"/>
        <v>-110704.09161734267</v>
      </c>
      <c r="K230" s="14">
        <v>33659</v>
      </c>
      <c r="L230" s="10">
        <f t="shared" si="28"/>
        <v>20114.818063776223</v>
      </c>
      <c r="M230" s="14">
        <f t="shared" si="29"/>
        <v>13544.181936223777</v>
      </c>
      <c r="N230" s="2">
        <f t="shared" si="30"/>
        <v>-10158.136452167833</v>
      </c>
      <c r="O230" s="136">
        <f t="shared" si="31"/>
        <v>-120862.2280695105</v>
      </c>
      <c r="P230" s="34">
        <f>O230/'D) Ecrêtage'!C230</f>
        <v>-6.0086165177484396</v>
      </c>
      <c r="Q230" s="132"/>
    </row>
    <row r="231" spans="1:17" x14ac:dyDescent="0.25">
      <c r="A231" s="50">
        <f>+'A) Base RI'!A233</f>
        <v>5764</v>
      </c>
      <c r="B231" s="308" t="str">
        <f>+'A) Base RI'!B233</f>
        <v>Vallorbe</v>
      </c>
      <c r="C231" s="322">
        <f>+'D) Ecrêtage'!C231</f>
        <v>81234.457849579077</v>
      </c>
      <c r="D231" s="300">
        <v>1836435</v>
      </c>
      <c r="E231" s="322">
        <v>379620</v>
      </c>
      <c r="F231" s="300">
        <v>443411</v>
      </c>
      <c r="G231" s="322">
        <f t="shared" si="24"/>
        <v>2659466</v>
      </c>
      <c r="H231" s="300">
        <f t="shared" si="25"/>
        <v>649875.66279663262</v>
      </c>
      <c r="I231" s="10">
        <f t="shared" si="26"/>
        <v>2009590.3372033674</v>
      </c>
      <c r="J231" s="319">
        <f t="shared" si="27"/>
        <v>-1507192.7529025255</v>
      </c>
      <c r="K231" s="14">
        <v>884297</v>
      </c>
      <c r="L231" s="10">
        <f t="shared" si="28"/>
        <v>81234.457849579077</v>
      </c>
      <c r="M231" s="14">
        <f t="shared" si="29"/>
        <v>803062.54215042095</v>
      </c>
      <c r="N231" s="2">
        <f t="shared" si="30"/>
        <v>-602296.90661281568</v>
      </c>
      <c r="O231" s="136">
        <f t="shared" si="31"/>
        <v>-2109489.6595153413</v>
      </c>
      <c r="P231" s="34">
        <f>O231/'D) Ecrêtage'!C231</f>
        <v>-25.967917006616322</v>
      </c>
      <c r="Q231" s="132"/>
    </row>
    <row r="232" spans="1:17" x14ac:dyDescent="0.25">
      <c r="A232" s="50">
        <f>+'A) Base RI'!A234</f>
        <v>5765</v>
      </c>
      <c r="B232" s="308" t="str">
        <f>+'A) Base RI'!B234</f>
        <v>Vaulion</v>
      </c>
      <c r="C232" s="322">
        <f>+'D) Ecrêtage'!C232</f>
        <v>9570.1875488405149</v>
      </c>
      <c r="D232" s="300">
        <v>214742</v>
      </c>
      <c r="E232" s="322">
        <v>20265</v>
      </c>
      <c r="F232" s="300">
        <v>52415</v>
      </c>
      <c r="G232" s="322">
        <f t="shared" si="24"/>
        <v>287422</v>
      </c>
      <c r="H232" s="300">
        <f t="shared" si="25"/>
        <v>76561.500390724119</v>
      </c>
      <c r="I232" s="10">
        <f t="shared" si="26"/>
        <v>210860.4996092759</v>
      </c>
      <c r="J232" s="319">
        <f t="shared" si="27"/>
        <v>-158145.37470695691</v>
      </c>
      <c r="K232" s="14">
        <v>31466</v>
      </c>
      <c r="L232" s="10">
        <f t="shared" si="28"/>
        <v>9570.1875488405149</v>
      </c>
      <c r="M232" s="14">
        <f t="shared" si="29"/>
        <v>21895.812451159487</v>
      </c>
      <c r="N232" s="2">
        <f t="shared" si="30"/>
        <v>-16421.859338369613</v>
      </c>
      <c r="O232" s="136">
        <f t="shared" si="31"/>
        <v>-174567.23404532654</v>
      </c>
      <c r="P232" s="34">
        <f>O232/'D) Ecrêtage'!C232</f>
        <v>-18.240732812647586</v>
      </c>
      <c r="Q232" s="132"/>
    </row>
    <row r="233" spans="1:17" x14ac:dyDescent="0.25">
      <c r="A233" s="50">
        <f>+'A) Base RI'!A235</f>
        <v>5766</v>
      </c>
      <c r="B233" s="308" t="str">
        <f>+'A) Base RI'!B235</f>
        <v>Vuiteboeuf</v>
      </c>
      <c r="C233" s="322">
        <f>+'D) Ecrêtage'!C233</f>
        <v>12893.801548266167</v>
      </c>
      <c r="D233" s="300">
        <v>109195</v>
      </c>
      <c r="E233" s="322">
        <v>56330</v>
      </c>
      <c r="F233" s="300">
        <v>46966</v>
      </c>
      <c r="G233" s="322">
        <f t="shared" si="24"/>
        <v>212491</v>
      </c>
      <c r="H233" s="300">
        <f t="shared" si="25"/>
        <v>103150.41238612933</v>
      </c>
      <c r="I233" s="10">
        <f t="shared" si="26"/>
        <v>109340.58761387067</v>
      </c>
      <c r="J233" s="319">
        <f t="shared" si="27"/>
        <v>-82005.440710402996</v>
      </c>
      <c r="K233" s="14">
        <v>24486</v>
      </c>
      <c r="L233" s="10">
        <f t="shared" si="28"/>
        <v>12893.801548266167</v>
      </c>
      <c r="M233" s="14">
        <f t="shared" si="29"/>
        <v>11592.198451733833</v>
      </c>
      <c r="N233" s="2">
        <f t="shared" si="30"/>
        <v>-8694.1488388003745</v>
      </c>
      <c r="O233" s="136">
        <f t="shared" si="31"/>
        <v>-90699.589549203374</v>
      </c>
      <c r="P233" s="34">
        <f>O233/'D) Ecrêtage'!C233</f>
        <v>-7.0343559430228533</v>
      </c>
      <c r="Q233" s="132"/>
    </row>
    <row r="234" spans="1:17" x14ac:dyDescent="0.25">
      <c r="A234" s="50">
        <f>+'A) Base RI'!A236</f>
        <v>5785</v>
      </c>
      <c r="B234" s="308" t="str">
        <f>+'A) Base RI'!B236</f>
        <v>Corcelles-le-Jorat</v>
      </c>
      <c r="C234" s="322">
        <f>+'D) Ecrêtage'!C234</f>
        <v>15470.207510777882</v>
      </c>
      <c r="D234" s="300">
        <v>63471</v>
      </c>
      <c r="E234" s="322">
        <v>12523</v>
      </c>
      <c r="F234" s="300">
        <v>53520</v>
      </c>
      <c r="G234" s="322">
        <f t="shared" si="24"/>
        <v>129514</v>
      </c>
      <c r="H234" s="300">
        <f t="shared" si="25"/>
        <v>123761.66008622306</v>
      </c>
      <c r="I234" s="10">
        <f t="shared" si="26"/>
        <v>5752.3399137769447</v>
      </c>
      <c r="J234" s="319">
        <f t="shared" si="27"/>
        <v>-4314.2549353327086</v>
      </c>
      <c r="K234" s="14">
        <v>-21500</v>
      </c>
      <c r="L234" s="10">
        <f t="shared" si="28"/>
        <v>15470.207510777882</v>
      </c>
      <c r="M234" s="14">
        <f t="shared" si="29"/>
        <v>0</v>
      </c>
      <c r="N234" s="2">
        <f t="shared" si="30"/>
        <v>0</v>
      </c>
      <c r="O234" s="136">
        <f t="shared" si="31"/>
        <v>-4314.2549353327086</v>
      </c>
      <c r="P234" s="34">
        <f>O234/'D) Ecrêtage'!C234</f>
        <v>-0.27887505273132412</v>
      </c>
      <c r="Q234" s="132"/>
    </row>
    <row r="235" spans="1:17" x14ac:dyDescent="0.25">
      <c r="A235" s="50">
        <f>+'A) Base RI'!A237</f>
        <v>5788</v>
      </c>
      <c r="B235" s="308" t="str">
        <f>+'A) Base RI'!B237</f>
        <v>Essertes</v>
      </c>
      <c r="C235" s="322">
        <f>+'D) Ecrêtage'!C235</f>
        <v>11538.273586899442</v>
      </c>
      <c r="D235" s="300">
        <v>56341</v>
      </c>
      <c r="E235" s="322">
        <v>14807</v>
      </c>
      <c r="F235" s="300">
        <v>42397</v>
      </c>
      <c r="G235" s="322">
        <f t="shared" si="24"/>
        <v>113545</v>
      </c>
      <c r="H235" s="300">
        <f t="shared" si="25"/>
        <v>92306.188695195538</v>
      </c>
      <c r="I235" s="10">
        <f t="shared" si="26"/>
        <v>21238.811304804462</v>
      </c>
      <c r="J235" s="319">
        <f t="shared" si="27"/>
        <v>-15929.108478603346</v>
      </c>
      <c r="K235" s="14">
        <v>5006</v>
      </c>
      <c r="L235" s="10">
        <f t="shared" si="28"/>
        <v>11538.273586899442</v>
      </c>
      <c r="M235" s="14">
        <f t="shared" si="29"/>
        <v>0</v>
      </c>
      <c r="N235" s="2">
        <f t="shared" si="30"/>
        <v>0</v>
      </c>
      <c r="O235" s="136">
        <f t="shared" si="31"/>
        <v>-15929.108478603346</v>
      </c>
      <c r="P235" s="34">
        <f>O235/'D) Ecrêtage'!C235</f>
        <v>-1.380545222700323</v>
      </c>
      <c r="Q235" s="132"/>
    </row>
    <row r="236" spans="1:17" x14ac:dyDescent="0.25">
      <c r="A236" s="50">
        <f>+'A) Base RI'!A238</f>
        <v>5790</v>
      </c>
      <c r="B236" s="308" t="str">
        <f>+'A) Base RI'!B238</f>
        <v>Maracon</v>
      </c>
      <c r="C236" s="322">
        <f>+'D) Ecrêtage'!C236</f>
        <v>12104.202592846941</v>
      </c>
      <c r="D236" s="300">
        <v>182401</v>
      </c>
      <c r="E236" s="322">
        <v>13231</v>
      </c>
      <c r="F236" s="300">
        <v>57758</v>
      </c>
      <c r="G236" s="322">
        <f t="shared" si="24"/>
        <v>253390</v>
      </c>
      <c r="H236" s="300">
        <f t="shared" si="25"/>
        <v>96833.620742775529</v>
      </c>
      <c r="I236" s="10">
        <f t="shared" si="26"/>
        <v>156556.37925722447</v>
      </c>
      <c r="J236" s="319">
        <f t="shared" si="27"/>
        <v>-117417.28444291835</v>
      </c>
      <c r="K236" s="14">
        <v>7870</v>
      </c>
      <c r="L236" s="10">
        <f t="shared" si="28"/>
        <v>12104.202592846941</v>
      </c>
      <c r="M236" s="14">
        <f t="shared" si="29"/>
        <v>0</v>
      </c>
      <c r="N236" s="2">
        <f t="shared" si="30"/>
        <v>0</v>
      </c>
      <c r="O236" s="136">
        <f t="shared" si="31"/>
        <v>-117417.28444291835</v>
      </c>
      <c r="P236" s="34">
        <f>O236/'D) Ecrêtage'!C236</f>
        <v>-9.7005385974212679</v>
      </c>
      <c r="Q236" s="132"/>
    </row>
    <row r="237" spans="1:17" x14ac:dyDescent="0.25">
      <c r="A237" s="50">
        <f>+'A) Base RI'!A239</f>
        <v>5792</v>
      </c>
      <c r="B237" s="308" t="str">
        <f>+'A) Base RI'!B239</f>
        <v>Montpreveyres</v>
      </c>
      <c r="C237" s="322">
        <f>+'D) Ecrêtage'!C237</f>
        <v>17389.927760878301</v>
      </c>
      <c r="D237" s="300">
        <v>163178</v>
      </c>
      <c r="E237" s="322">
        <v>27449</v>
      </c>
      <c r="F237" s="300">
        <v>76624</v>
      </c>
      <c r="G237" s="322">
        <f t="shared" si="24"/>
        <v>267251</v>
      </c>
      <c r="H237" s="300">
        <f t="shared" si="25"/>
        <v>139119.42208702641</v>
      </c>
      <c r="I237" s="10">
        <f t="shared" si="26"/>
        <v>128131.57791297359</v>
      </c>
      <c r="J237" s="319">
        <f t="shared" si="27"/>
        <v>-96098.683434730192</v>
      </c>
      <c r="K237" s="14">
        <v>-10049</v>
      </c>
      <c r="L237" s="10">
        <f t="shared" si="28"/>
        <v>17389.927760878301</v>
      </c>
      <c r="M237" s="14">
        <f t="shared" si="29"/>
        <v>0</v>
      </c>
      <c r="N237" s="2">
        <f t="shared" si="30"/>
        <v>0</v>
      </c>
      <c r="O237" s="136">
        <f t="shared" si="31"/>
        <v>-96098.683434730192</v>
      </c>
      <c r="P237" s="34">
        <f>O237/'D) Ecrêtage'!C237</f>
        <v>-5.5261117099589727</v>
      </c>
      <c r="Q237" s="132"/>
    </row>
    <row r="238" spans="1:17" x14ac:dyDescent="0.25">
      <c r="A238" s="50">
        <f>+'A) Base RI'!A240</f>
        <v>5798</v>
      </c>
      <c r="B238" s="308" t="str">
        <f>+'A) Base RI'!B240</f>
        <v>Ropraz</v>
      </c>
      <c r="C238" s="322">
        <f>+'D) Ecrêtage'!C238</f>
        <v>13992.205782654681</v>
      </c>
      <c r="D238" s="300">
        <v>113034</v>
      </c>
      <c r="E238" s="322">
        <v>12906</v>
      </c>
      <c r="F238" s="300">
        <v>49525</v>
      </c>
      <c r="G238" s="322">
        <f t="shared" si="24"/>
        <v>175465</v>
      </c>
      <c r="H238" s="300">
        <f t="shared" si="25"/>
        <v>111937.64626123745</v>
      </c>
      <c r="I238" s="10">
        <f t="shared" si="26"/>
        <v>63527.353738762555</v>
      </c>
      <c r="J238" s="319">
        <f t="shared" si="27"/>
        <v>-47645.515304071916</v>
      </c>
      <c r="K238" s="14">
        <v>62848</v>
      </c>
      <c r="L238" s="10">
        <f t="shared" si="28"/>
        <v>13992.205782654681</v>
      </c>
      <c r="M238" s="14">
        <f t="shared" si="29"/>
        <v>48855.794217345319</v>
      </c>
      <c r="N238" s="2">
        <f t="shared" si="30"/>
        <v>-36641.845663008993</v>
      </c>
      <c r="O238" s="136">
        <f t="shared" si="31"/>
        <v>-84287.360967080909</v>
      </c>
      <c r="P238" s="34">
        <f>O238/'D) Ecrêtage'!C238</f>
        <v>-6.0238794566305636</v>
      </c>
      <c r="Q238" s="132"/>
    </row>
    <row r="239" spans="1:17" x14ac:dyDescent="0.25">
      <c r="A239" s="50">
        <f>+'A) Base RI'!A241</f>
        <v>5799</v>
      </c>
      <c r="B239" s="308" t="str">
        <f>+'A) Base RI'!B241</f>
        <v>Servion</v>
      </c>
      <c r="C239" s="322">
        <f>+'D) Ecrêtage'!C239</f>
        <v>65260.062669214836</v>
      </c>
      <c r="D239" s="300">
        <v>480942</v>
      </c>
      <c r="E239" s="322">
        <v>84776</v>
      </c>
      <c r="F239" s="300">
        <v>223160</v>
      </c>
      <c r="G239" s="322">
        <f t="shared" si="24"/>
        <v>788878</v>
      </c>
      <c r="H239" s="300">
        <f t="shared" si="25"/>
        <v>522080.50135371869</v>
      </c>
      <c r="I239" s="10">
        <f t="shared" si="26"/>
        <v>266797.49864628131</v>
      </c>
      <c r="J239" s="319">
        <f t="shared" si="27"/>
        <v>-200098.12398471098</v>
      </c>
      <c r="K239" s="14">
        <v>-8734</v>
      </c>
      <c r="L239" s="10">
        <f t="shared" si="28"/>
        <v>65260.062669214836</v>
      </c>
      <c r="M239" s="14">
        <f t="shared" si="29"/>
        <v>0</v>
      </c>
      <c r="N239" s="2">
        <f t="shared" si="30"/>
        <v>0</v>
      </c>
      <c r="O239" s="136">
        <f t="shared" si="31"/>
        <v>-200098.12398471098</v>
      </c>
      <c r="P239" s="34">
        <f>O239/'D) Ecrêtage'!C239</f>
        <v>-3.0661650602291464</v>
      </c>
      <c r="Q239" s="132"/>
    </row>
    <row r="240" spans="1:17" x14ac:dyDescent="0.25">
      <c r="A240" s="50">
        <f>+'A) Base RI'!A242</f>
        <v>5803</v>
      </c>
      <c r="B240" s="308" t="str">
        <f>+'A) Base RI'!B242</f>
        <v>Vulliens</v>
      </c>
      <c r="C240" s="322">
        <f>+'D) Ecrêtage'!C240</f>
        <v>15516.870988563373</v>
      </c>
      <c r="D240" s="300">
        <v>80111</v>
      </c>
      <c r="E240" s="322">
        <v>13732</v>
      </c>
      <c r="F240" s="300">
        <v>54323</v>
      </c>
      <c r="G240" s="322">
        <f t="shared" si="24"/>
        <v>148166</v>
      </c>
      <c r="H240" s="300">
        <f t="shared" si="25"/>
        <v>124134.96790850698</v>
      </c>
      <c r="I240" s="10">
        <f t="shared" si="26"/>
        <v>24031.03209149302</v>
      </c>
      <c r="J240" s="319">
        <f t="shared" si="27"/>
        <v>-18023.274068619765</v>
      </c>
      <c r="K240" s="14">
        <v>4862</v>
      </c>
      <c r="L240" s="10">
        <f t="shared" si="28"/>
        <v>15516.870988563373</v>
      </c>
      <c r="M240" s="14">
        <f t="shared" si="29"/>
        <v>0</v>
      </c>
      <c r="N240" s="2">
        <f t="shared" si="30"/>
        <v>0</v>
      </c>
      <c r="O240" s="136">
        <f t="shared" si="31"/>
        <v>-18023.274068619765</v>
      </c>
      <c r="P240" s="34">
        <f>O240/'D) Ecrêtage'!C240</f>
        <v>-1.1615276096516962</v>
      </c>
      <c r="Q240" s="132"/>
    </row>
    <row r="241" spans="1:17" x14ac:dyDescent="0.25">
      <c r="A241" s="50">
        <f>+'A) Base RI'!A243</f>
        <v>5804</v>
      </c>
      <c r="B241" s="308" t="str">
        <f>+'A) Base RI'!B243</f>
        <v>Jorat-Menthue</v>
      </c>
      <c r="C241" s="322">
        <f>+'D) Ecrêtage'!C241</f>
        <v>47010.590890855121</v>
      </c>
      <c r="D241" s="300">
        <v>838452</v>
      </c>
      <c r="E241" s="322">
        <v>45526</v>
      </c>
      <c r="F241" s="300">
        <v>139730</v>
      </c>
      <c r="G241" s="322">
        <f t="shared" si="24"/>
        <v>1023708</v>
      </c>
      <c r="H241" s="300">
        <f t="shared" si="25"/>
        <v>376084.72712684097</v>
      </c>
      <c r="I241" s="10">
        <f t="shared" si="26"/>
        <v>647623.27287315903</v>
      </c>
      <c r="J241" s="319">
        <f t="shared" si="27"/>
        <v>-485717.45465486927</v>
      </c>
      <c r="K241" s="14">
        <v>200520</v>
      </c>
      <c r="L241" s="10">
        <f t="shared" si="28"/>
        <v>47010.590890855121</v>
      </c>
      <c r="M241" s="14">
        <f t="shared" si="29"/>
        <v>153509.40910914488</v>
      </c>
      <c r="N241" s="2">
        <f t="shared" si="30"/>
        <v>-115132.05683185866</v>
      </c>
      <c r="O241" s="136">
        <f t="shared" si="31"/>
        <v>-600849.51148672798</v>
      </c>
      <c r="P241" s="34">
        <f>O241/'D) Ecrêtage'!C241</f>
        <v>-12.78115207872467</v>
      </c>
      <c r="Q241" s="132"/>
    </row>
    <row r="242" spans="1:17" x14ac:dyDescent="0.25">
      <c r="A242" s="50">
        <f>+'A) Base RI'!A244</f>
        <v>5805</v>
      </c>
      <c r="B242" s="308" t="str">
        <f>+'A) Base RI'!B244</f>
        <v>Oron</v>
      </c>
      <c r="C242" s="322">
        <f>+'D) Ecrêtage'!C242</f>
        <v>145333.30890614819</v>
      </c>
      <c r="D242" s="300">
        <v>1501595</v>
      </c>
      <c r="E242" s="322">
        <v>397580</v>
      </c>
      <c r="F242" s="300">
        <v>657839</v>
      </c>
      <c r="G242" s="322">
        <f t="shared" si="24"/>
        <v>2557014</v>
      </c>
      <c r="H242" s="300">
        <f t="shared" si="25"/>
        <v>1162666.4712491855</v>
      </c>
      <c r="I242" s="10">
        <f t="shared" si="26"/>
        <v>1394347.5287508145</v>
      </c>
      <c r="J242" s="319">
        <f t="shared" si="27"/>
        <v>-1045760.6465631109</v>
      </c>
      <c r="K242" s="14">
        <v>62829</v>
      </c>
      <c r="L242" s="10">
        <f t="shared" si="28"/>
        <v>145333.30890614819</v>
      </c>
      <c r="M242" s="14">
        <f t="shared" si="29"/>
        <v>0</v>
      </c>
      <c r="N242" s="2">
        <f t="shared" si="30"/>
        <v>0</v>
      </c>
      <c r="O242" s="136">
        <f t="shared" si="31"/>
        <v>-1045760.6465631109</v>
      </c>
      <c r="P242" s="34">
        <f>O242/'D) Ecrêtage'!C242</f>
        <v>-7.195601988518896</v>
      </c>
      <c r="Q242" s="132"/>
    </row>
    <row r="243" spans="1:17" x14ac:dyDescent="0.25">
      <c r="A243" s="50">
        <f>+'A) Base RI'!A245</f>
        <v>5806</v>
      </c>
      <c r="B243" s="308" t="str">
        <f>+'A) Base RI'!B245</f>
        <v>Jorat-Mézières</v>
      </c>
      <c r="C243" s="322">
        <f>+'D) Ecrêtage'!C243</f>
        <v>85087.623552631558</v>
      </c>
      <c r="D243" s="300">
        <v>678848</v>
      </c>
      <c r="E243" s="322">
        <v>124379</v>
      </c>
      <c r="F243" s="300">
        <v>359024</v>
      </c>
      <c r="G243" s="322">
        <f t="shared" si="24"/>
        <v>1162251</v>
      </c>
      <c r="H243" s="300">
        <f t="shared" si="25"/>
        <v>680700.98842105246</v>
      </c>
      <c r="I243" s="10">
        <f t="shared" si="26"/>
        <v>481550.01157894754</v>
      </c>
      <c r="J243" s="319">
        <f t="shared" si="27"/>
        <v>-361162.50868421065</v>
      </c>
      <c r="K243" s="14">
        <v>38864</v>
      </c>
      <c r="L243" s="10">
        <f t="shared" si="28"/>
        <v>85087.623552631558</v>
      </c>
      <c r="M243" s="14">
        <f t="shared" si="29"/>
        <v>0</v>
      </c>
      <c r="N243" s="2">
        <f t="shared" si="30"/>
        <v>0</v>
      </c>
      <c r="O243" s="136">
        <f t="shared" si="31"/>
        <v>-361162.50868421065</v>
      </c>
      <c r="P243" s="34">
        <f>O243/'D) Ecrêtage'!C243</f>
        <v>-4.2445950845108635</v>
      </c>
      <c r="Q243" s="132"/>
    </row>
    <row r="244" spans="1:17" x14ac:dyDescent="0.25">
      <c r="A244" s="50">
        <f>+'A) Base RI'!A246</f>
        <v>5812</v>
      </c>
      <c r="B244" s="308" t="str">
        <f>+'A) Base RI'!B246</f>
        <v>Champtauroz</v>
      </c>
      <c r="C244" s="322">
        <f>+'D) Ecrêtage'!C244</f>
        <v>2414.7620603829159</v>
      </c>
      <c r="D244" s="300">
        <v>44956</v>
      </c>
      <c r="E244" s="322">
        <v>3947</v>
      </c>
      <c r="F244" s="300">
        <v>19512</v>
      </c>
      <c r="G244" s="322">
        <f t="shared" si="24"/>
        <v>68415</v>
      </c>
      <c r="H244" s="300">
        <f t="shared" si="25"/>
        <v>19318.096483063327</v>
      </c>
      <c r="I244" s="10">
        <f t="shared" si="26"/>
        <v>49096.903516936669</v>
      </c>
      <c r="J244" s="319">
        <f t="shared" si="27"/>
        <v>-36822.677637702502</v>
      </c>
      <c r="K244" s="14">
        <v>4950</v>
      </c>
      <c r="L244" s="10">
        <f t="shared" si="28"/>
        <v>2414.7620603829159</v>
      </c>
      <c r="M244" s="14">
        <f t="shared" si="29"/>
        <v>2535.2379396170841</v>
      </c>
      <c r="N244" s="2">
        <f t="shared" si="30"/>
        <v>-1901.4284547128132</v>
      </c>
      <c r="O244" s="136">
        <f t="shared" si="31"/>
        <v>-38724.106092415313</v>
      </c>
      <c r="P244" s="34">
        <f>O244/'D) Ecrêtage'!C244</f>
        <v>-16.036406537824565</v>
      </c>
      <c r="Q244" s="132"/>
    </row>
    <row r="245" spans="1:17" x14ac:dyDescent="0.25">
      <c r="A245" s="50">
        <f>+'A) Base RI'!A247</f>
        <v>5813</v>
      </c>
      <c r="B245" s="308" t="str">
        <f>+'A) Base RI'!B247</f>
        <v>Chevroux</v>
      </c>
      <c r="C245" s="322">
        <f>+'D) Ecrêtage'!C245</f>
        <v>13113.471464382501</v>
      </c>
      <c r="D245" s="300">
        <v>80381</v>
      </c>
      <c r="E245" s="322">
        <v>20312</v>
      </c>
      <c r="F245" s="300">
        <v>28397</v>
      </c>
      <c r="G245" s="322">
        <f t="shared" si="24"/>
        <v>129090</v>
      </c>
      <c r="H245" s="300">
        <f t="shared" si="25"/>
        <v>104907.77171506001</v>
      </c>
      <c r="I245" s="10">
        <f t="shared" si="26"/>
        <v>24182.228284939993</v>
      </c>
      <c r="J245" s="319">
        <f t="shared" si="27"/>
        <v>-18136.671213704994</v>
      </c>
      <c r="K245" s="14">
        <v>7209</v>
      </c>
      <c r="L245" s="10">
        <f t="shared" si="28"/>
        <v>13113.471464382501</v>
      </c>
      <c r="M245" s="14">
        <f t="shared" si="29"/>
        <v>0</v>
      </c>
      <c r="N245" s="2">
        <f t="shared" si="30"/>
        <v>0</v>
      </c>
      <c r="O245" s="136">
        <f t="shared" si="31"/>
        <v>-18136.671213704994</v>
      </c>
      <c r="P245" s="34">
        <f>O245/'D) Ecrêtage'!C245</f>
        <v>-1.3830564441281628</v>
      </c>
      <c r="Q245" s="132"/>
    </row>
    <row r="246" spans="1:17" x14ac:dyDescent="0.25">
      <c r="A246" s="50">
        <f>+'A) Base RI'!A248</f>
        <v>5816</v>
      </c>
      <c r="B246" s="308" t="str">
        <f>+'A) Base RI'!B248</f>
        <v>Corcelles-près-Payerne</v>
      </c>
      <c r="C246" s="322">
        <f>+'D) Ecrêtage'!C246</f>
        <v>56475.749877973358</v>
      </c>
      <c r="D246" s="300">
        <v>501473</v>
      </c>
      <c r="E246" s="322">
        <v>181639</v>
      </c>
      <c r="F246" s="300">
        <v>181467</v>
      </c>
      <c r="G246" s="322">
        <f t="shared" si="24"/>
        <v>864579</v>
      </c>
      <c r="H246" s="300">
        <f t="shared" si="25"/>
        <v>451805.99902378686</v>
      </c>
      <c r="I246" s="10">
        <f t="shared" si="26"/>
        <v>412773.00097621314</v>
      </c>
      <c r="J246" s="319">
        <f t="shared" si="27"/>
        <v>-309579.75073215982</v>
      </c>
      <c r="K246" s="14">
        <v>31838</v>
      </c>
      <c r="L246" s="10">
        <f t="shared" si="28"/>
        <v>56475.749877973358</v>
      </c>
      <c r="M246" s="14">
        <f t="shared" si="29"/>
        <v>0</v>
      </c>
      <c r="N246" s="2">
        <f t="shared" si="30"/>
        <v>0</v>
      </c>
      <c r="O246" s="136">
        <f t="shared" si="31"/>
        <v>-309579.75073215982</v>
      </c>
      <c r="P246" s="34">
        <f>O246/'D) Ecrêtage'!C246</f>
        <v>-5.481640374870028</v>
      </c>
      <c r="Q246" s="132"/>
    </row>
    <row r="247" spans="1:17" x14ac:dyDescent="0.25">
      <c r="A247" s="50">
        <f>+'A) Base RI'!A249</f>
        <v>5817</v>
      </c>
      <c r="B247" s="308" t="str">
        <f>+'A) Base RI'!B249</f>
        <v>Grandcour</v>
      </c>
      <c r="C247" s="322">
        <f>+'D) Ecrêtage'!C247</f>
        <v>22082.516537974258</v>
      </c>
      <c r="D247" s="300">
        <v>182127</v>
      </c>
      <c r="E247" s="322">
        <v>26870</v>
      </c>
      <c r="F247" s="300">
        <v>70335</v>
      </c>
      <c r="G247" s="322">
        <f t="shared" si="24"/>
        <v>279332</v>
      </c>
      <c r="H247" s="300">
        <f t="shared" si="25"/>
        <v>176660.13230379406</v>
      </c>
      <c r="I247" s="10">
        <f t="shared" si="26"/>
        <v>102671.86769620594</v>
      </c>
      <c r="J247" s="319">
        <f t="shared" si="27"/>
        <v>-77003.900772154448</v>
      </c>
      <c r="K247" s="14">
        <v>74216</v>
      </c>
      <c r="L247" s="10">
        <f t="shared" si="28"/>
        <v>22082.516537974258</v>
      </c>
      <c r="M247" s="14">
        <f t="shared" si="29"/>
        <v>52133.483462025746</v>
      </c>
      <c r="N247" s="2">
        <f t="shared" si="30"/>
        <v>-39100.112596519306</v>
      </c>
      <c r="O247" s="136">
        <f t="shared" si="31"/>
        <v>-116104.01336867375</v>
      </c>
      <c r="P247" s="34">
        <f>O247/'D) Ecrêtage'!C247</f>
        <v>-5.2577346956364863</v>
      </c>
      <c r="Q247" s="132"/>
    </row>
    <row r="248" spans="1:17" x14ac:dyDescent="0.25">
      <c r="A248" s="50">
        <f>+'A) Base RI'!A250</f>
        <v>5819</v>
      </c>
      <c r="B248" s="308" t="str">
        <f>+'A) Base RI'!B250</f>
        <v>Henniez</v>
      </c>
      <c r="C248" s="322">
        <f>+'D) Ecrêtage'!C248</f>
        <v>13743.862603576948</v>
      </c>
      <c r="D248" s="300">
        <v>105844</v>
      </c>
      <c r="E248" s="322">
        <v>20525</v>
      </c>
      <c r="F248" s="300">
        <v>56883</v>
      </c>
      <c r="G248" s="322">
        <f t="shared" si="24"/>
        <v>183252</v>
      </c>
      <c r="H248" s="300">
        <f t="shared" si="25"/>
        <v>109950.90082861559</v>
      </c>
      <c r="I248" s="10">
        <f t="shared" si="26"/>
        <v>73301.099171384412</v>
      </c>
      <c r="J248" s="319">
        <f t="shared" si="27"/>
        <v>-54975.824378538309</v>
      </c>
      <c r="K248" s="14">
        <v>1323</v>
      </c>
      <c r="L248" s="10">
        <f t="shared" si="28"/>
        <v>13743.862603576948</v>
      </c>
      <c r="M248" s="14">
        <f t="shared" si="29"/>
        <v>0</v>
      </c>
      <c r="N248" s="2">
        <f t="shared" si="30"/>
        <v>0</v>
      </c>
      <c r="O248" s="136">
        <f t="shared" si="31"/>
        <v>-54975.824378538309</v>
      </c>
      <c r="P248" s="34">
        <f>O248/'D) Ecrêtage'!C248</f>
        <v>-4.0000272095437293</v>
      </c>
      <c r="Q248" s="132"/>
    </row>
    <row r="249" spans="1:17" x14ac:dyDescent="0.25">
      <c r="A249" s="50">
        <f>+'A) Base RI'!A251</f>
        <v>5821</v>
      </c>
      <c r="B249" s="308" t="str">
        <f>+'A) Base RI'!B251</f>
        <v>Missy</v>
      </c>
      <c r="C249" s="322">
        <f>+'D) Ecrêtage'!C249</f>
        <v>7638.0636098287778</v>
      </c>
      <c r="D249" s="300">
        <v>54775</v>
      </c>
      <c r="E249" s="322">
        <v>10961</v>
      </c>
      <c r="F249" s="300">
        <v>19084</v>
      </c>
      <c r="G249" s="322">
        <f t="shared" si="24"/>
        <v>84820</v>
      </c>
      <c r="H249" s="300">
        <f t="shared" si="25"/>
        <v>61104.508878630222</v>
      </c>
      <c r="I249" s="10">
        <f t="shared" si="26"/>
        <v>23715.491121369778</v>
      </c>
      <c r="J249" s="319">
        <f t="shared" si="27"/>
        <v>-17786.618341027333</v>
      </c>
      <c r="K249" s="14">
        <v>0</v>
      </c>
      <c r="L249" s="10">
        <f t="shared" si="28"/>
        <v>7638.0636098287778</v>
      </c>
      <c r="M249" s="14">
        <f t="shared" si="29"/>
        <v>0</v>
      </c>
      <c r="N249" s="2">
        <f t="shared" si="30"/>
        <v>0</v>
      </c>
      <c r="O249" s="136">
        <f t="shared" si="31"/>
        <v>-17786.618341027333</v>
      </c>
      <c r="P249" s="34">
        <f>O249/'D) Ecrêtage'!C249</f>
        <v>-2.3286816200560625</v>
      </c>
      <c r="Q249" s="132"/>
    </row>
    <row r="250" spans="1:17" x14ac:dyDescent="0.25">
      <c r="A250" s="50">
        <f>+'A) Base RI'!A252</f>
        <v>5822</v>
      </c>
      <c r="B250" s="308" t="str">
        <f>+'A) Base RI'!B252</f>
        <v>Payerne</v>
      </c>
      <c r="C250" s="322">
        <f>+'D) Ecrêtage'!C250</f>
        <v>236156.50420606061</v>
      </c>
      <c r="D250" s="300">
        <v>2318876</v>
      </c>
      <c r="E250" s="322">
        <v>705986</v>
      </c>
      <c r="F250" s="300">
        <v>678725</v>
      </c>
      <c r="G250" s="322">
        <f t="shared" si="24"/>
        <v>3703587</v>
      </c>
      <c r="H250" s="300">
        <f t="shared" si="25"/>
        <v>1889252.0336484849</v>
      </c>
      <c r="I250" s="10">
        <f t="shared" si="26"/>
        <v>1814334.9663515151</v>
      </c>
      <c r="J250" s="319">
        <f t="shared" si="27"/>
        <v>-1360751.2247636365</v>
      </c>
      <c r="K250" s="14">
        <v>110695</v>
      </c>
      <c r="L250" s="10">
        <f t="shared" si="28"/>
        <v>236156.50420606061</v>
      </c>
      <c r="M250" s="14">
        <f t="shared" si="29"/>
        <v>0</v>
      </c>
      <c r="N250" s="2">
        <f t="shared" si="30"/>
        <v>0</v>
      </c>
      <c r="O250" s="136">
        <f t="shared" si="31"/>
        <v>-1360751.2247636365</v>
      </c>
      <c r="P250" s="34">
        <f>O250/'D) Ecrêtage'!C250</f>
        <v>-5.7620738812101484</v>
      </c>
      <c r="Q250" s="132"/>
    </row>
    <row r="251" spans="1:17" x14ac:dyDescent="0.25">
      <c r="A251" s="50">
        <f>+'A) Base RI'!A253</f>
        <v>5827</v>
      </c>
      <c r="B251" s="308" t="str">
        <f>+'A) Base RI'!B253</f>
        <v>Trey</v>
      </c>
      <c r="C251" s="322">
        <f>+'D) Ecrêtage'!C251</f>
        <v>6690.1986933784046</v>
      </c>
      <c r="D251" s="300">
        <v>82820</v>
      </c>
      <c r="E251" s="322">
        <v>7894</v>
      </c>
      <c r="F251" s="300">
        <v>25919</v>
      </c>
      <c r="G251" s="322">
        <f t="shared" si="24"/>
        <v>116633</v>
      </c>
      <c r="H251" s="300">
        <f t="shared" si="25"/>
        <v>53521.589547027237</v>
      </c>
      <c r="I251" s="10">
        <f t="shared" si="26"/>
        <v>63111.410452972763</v>
      </c>
      <c r="J251" s="319">
        <f t="shared" si="27"/>
        <v>-47333.557839729576</v>
      </c>
      <c r="K251" s="14">
        <v>16390</v>
      </c>
      <c r="L251" s="10">
        <f t="shared" si="28"/>
        <v>6690.1986933784046</v>
      </c>
      <c r="M251" s="14">
        <f t="shared" si="29"/>
        <v>9699.8013066215954</v>
      </c>
      <c r="N251" s="2">
        <f t="shared" si="30"/>
        <v>-7274.850979966197</v>
      </c>
      <c r="O251" s="136">
        <f t="shared" si="31"/>
        <v>-54608.408819695775</v>
      </c>
      <c r="P251" s="34">
        <f>O251/'D) Ecrêtage'!C251</f>
        <v>-8.1624494760886872</v>
      </c>
      <c r="Q251" s="132"/>
    </row>
    <row r="252" spans="1:17" x14ac:dyDescent="0.25">
      <c r="A252" s="50">
        <f>+'A) Base RI'!A254</f>
        <v>5828</v>
      </c>
      <c r="B252" s="308" t="str">
        <f>+'A) Base RI'!B254</f>
        <v>Treytorrens (Payerne)</v>
      </c>
      <c r="C252" s="322">
        <f>+'D) Ecrêtage'!C252</f>
        <v>2279.6786771708244</v>
      </c>
      <c r="D252" s="300">
        <v>60229</v>
      </c>
      <c r="E252" s="322">
        <v>3977</v>
      </c>
      <c r="F252" s="300">
        <v>20473</v>
      </c>
      <c r="G252" s="322">
        <f t="shared" si="24"/>
        <v>84679</v>
      </c>
      <c r="H252" s="300">
        <f t="shared" si="25"/>
        <v>18237.429417366595</v>
      </c>
      <c r="I252" s="10">
        <f t="shared" si="26"/>
        <v>66441.570582633402</v>
      </c>
      <c r="J252" s="319">
        <f t="shared" si="27"/>
        <v>-49831.177936975051</v>
      </c>
      <c r="K252" s="14">
        <v>9650</v>
      </c>
      <c r="L252" s="10">
        <f t="shared" si="28"/>
        <v>2279.6786771708244</v>
      </c>
      <c r="M252" s="14">
        <f t="shared" si="29"/>
        <v>7370.3213228291752</v>
      </c>
      <c r="N252" s="2">
        <f t="shared" si="30"/>
        <v>-5527.7409921218814</v>
      </c>
      <c r="O252" s="136">
        <f t="shared" si="31"/>
        <v>-55358.91892909693</v>
      </c>
      <c r="P252" s="34">
        <f>O252/'D) Ecrêtage'!C252</f>
        <v>-24.283649921136973</v>
      </c>
      <c r="Q252" s="132"/>
    </row>
    <row r="253" spans="1:17" x14ac:dyDescent="0.25">
      <c r="A253" s="50">
        <f>+'A) Base RI'!A255</f>
        <v>5830</v>
      </c>
      <c r="B253" s="308" t="str">
        <f>+'A) Base RI'!B255</f>
        <v>Villarzel</v>
      </c>
      <c r="C253" s="322">
        <f>+'D) Ecrêtage'!C253</f>
        <v>10447.04854538646</v>
      </c>
      <c r="D253" s="300">
        <v>153562</v>
      </c>
      <c r="E253" s="322">
        <v>12873</v>
      </c>
      <c r="F253" s="300">
        <v>74522</v>
      </c>
      <c r="G253" s="322">
        <f t="shared" si="24"/>
        <v>240957</v>
      </c>
      <c r="H253" s="300">
        <f t="shared" si="25"/>
        <v>83576.388363091683</v>
      </c>
      <c r="I253" s="10">
        <f t="shared" si="26"/>
        <v>157380.61163690832</v>
      </c>
      <c r="J253" s="319">
        <f t="shared" si="27"/>
        <v>-118035.45872768124</v>
      </c>
      <c r="K253" s="14">
        <v>4225</v>
      </c>
      <c r="L253" s="10">
        <f t="shared" si="28"/>
        <v>10447.04854538646</v>
      </c>
      <c r="M253" s="14">
        <f t="shared" si="29"/>
        <v>0</v>
      </c>
      <c r="N253" s="2">
        <f t="shared" si="30"/>
        <v>0</v>
      </c>
      <c r="O253" s="136">
        <f t="shared" si="31"/>
        <v>-118035.45872768124</v>
      </c>
      <c r="P253" s="34">
        <f>O253/'D) Ecrêtage'!C253</f>
        <v>-11.298450295783022</v>
      </c>
      <c r="Q253" s="132"/>
    </row>
    <row r="254" spans="1:17" x14ac:dyDescent="0.25">
      <c r="A254" s="50">
        <f>+'A) Base RI'!A256</f>
        <v>5831</v>
      </c>
      <c r="B254" s="308" t="str">
        <f>+'A) Base RI'!B256</f>
        <v>Valbroye</v>
      </c>
      <c r="C254" s="322">
        <f>+'D) Ecrêtage'!C254</f>
        <v>80393.76686206559</v>
      </c>
      <c r="D254" s="300">
        <v>920839</v>
      </c>
      <c r="E254" s="322">
        <v>180592</v>
      </c>
      <c r="F254" s="300">
        <v>493153</v>
      </c>
      <c r="G254" s="322">
        <f t="shared" si="24"/>
        <v>1594584</v>
      </c>
      <c r="H254" s="300">
        <f t="shared" si="25"/>
        <v>643150.13489652472</v>
      </c>
      <c r="I254" s="10">
        <f t="shared" si="26"/>
        <v>951433.86510347528</v>
      </c>
      <c r="J254" s="319">
        <f t="shared" si="27"/>
        <v>-713575.39882760646</v>
      </c>
      <c r="K254" s="14">
        <v>84480</v>
      </c>
      <c r="L254" s="10">
        <f t="shared" si="28"/>
        <v>80393.76686206559</v>
      </c>
      <c r="M254" s="14">
        <f t="shared" si="29"/>
        <v>4086.2331379344105</v>
      </c>
      <c r="N254" s="2">
        <f t="shared" si="30"/>
        <v>-3064.6748534508079</v>
      </c>
      <c r="O254" s="136">
        <f t="shared" si="31"/>
        <v>-716640.07368105731</v>
      </c>
      <c r="P254" s="34">
        <f>O254/'D) Ecrêtage'!C254</f>
        <v>-8.9141248339640793</v>
      </c>
      <c r="Q254" s="132"/>
    </row>
    <row r="255" spans="1:17" x14ac:dyDescent="0.25">
      <c r="A255" s="50">
        <f>+'A) Base RI'!A257</f>
        <v>5841</v>
      </c>
      <c r="B255" s="308" t="str">
        <f>+'A) Base RI'!B257</f>
        <v>Château-d'Oex</v>
      </c>
      <c r="C255" s="322">
        <f>+'D) Ecrêtage'!C255</f>
        <v>112439.97706211945</v>
      </c>
      <c r="D255" s="300">
        <v>3254695</v>
      </c>
      <c r="E255" s="322">
        <v>247969</v>
      </c>
      <c r="F255" s="300">
        <v>407495</v>
      </c>
      <c r="G255" s="322">
        <f t="shared" si="24"/>
        <v>3910159</v>
      </c>
      <c r="H255" s="300">
        <f t="shared" si="25"/>
        <v>899519.81649695558</v>
      </c>
      <c r="I255" s="10">
        <f t="shared" si="26"/>
        <v>3010639.1835030443</v>
      </c>
      <c r="J255" s="319">
        <f t="shared" si="27"/>
        <v>-2257979.3876272831</v>
      </c>
      <c r="K255" s="14">
        <v>50085</v>
      </c>
      <c r="L255" s="10">
        <f t="shared" si="28"/>
        <v>112439.97706211945</v>
      </c>
      <c r="M255" s="14">
        <f t="shared" si="29"/>
        <v>0</v>
      </c>
      <c r="N255" s="2">
        <f t="shared" si="30"/>
        <v>0</v>
      </c>
      <c r="O255" s="136">
        <f t="shared" si="31"/>
        <v>-2257979.3876272831</v>
      </c>
      <c r="P255" s="34">
        <f>O255/'D) Ecrêtage'!C255</f>
        <v>-20.081642193681901</v>
      </c>
      <c r="Q255" s="132"/>
    </row>
    <row r="256" spans="1:17" x14ac:dyDescent="0.25">
      <c r="A256" s="50">
        <f>+'A) Base RI'!A258</f>
        <v>5842</v>
      </c>
      <c r="B256" s="308" t="str">
        <f>+'A) Base RI'!B258</f>
        <v>Rossinière</v>
      </c>
      <c r="C256" s="322">
        <f>+'D) Ecrêtage'!C256</f>
        <v>12463.858686572428</v>
      </c>
      <c r="D256" s="300">
        <v>413732</v>
      </c>
      <c r="E256" s="322">
        <v>38939</v>
      </c>
      <c r="F256" s="300">
        <v>70000</v>
      </c>
      <c r="G256" s="322">
        <f t="shared" si="24"/>
        <v>522671</v>
      </c>
      <c r="H256" s="300">
        <f t="shared" si="25"/>
        <v>99710.869492579426</v>
      </c>
      <c r="I256" s="10">
        <f t="shared" si="26"/>
        <v>422960.13050742057</v>
      </c>
      <c r="J256" s="319">
        <f t="shared" si="27"/>
        <v>-317220.09788056544</v>
      </c>
      <c r="K256" s="14">
        <v>539</v>
      </c>
      <c r="L256" s="10">
        <f t="shared" si="28"/>
        <v>12463.858686572428</v>
      </c>
      <c r="M256" s="14">
        <f t="shared" si="29"/>
        <v>0</v>
      </c>
      <c r="N256" s="2">
        <f t="shared" si="30"/>
        <v>0</v>
      </c>
      <c r="O256" s="136">
        <f t="shared" si="31"/>
        <v>-317220.09788056544</v>
      </c>
      <c r="P256" s="34">
        <f>O256/'D) Ecrêtage'!C256</f>
        <v>-25.451194999692447</v>
      </c>
      <c r="Q256" s="132"/>
    </row>
    <row r="257" spans="1:17" x14ac:dyDescent="0.25">
      <c r="A257" s="50">
        <f>+'A) Base RI'!A259</f>
        <v>5843</v>
      </c>
      <c r="B257" s="308" t="str">
        <f>+'A) Base RI'!B259</f>
        <v>Rougemont</v>
      </c>
      <c r="C257" s="322">
        <f>+'D) Ecrêtage'!C257</f>
        <v>87105.84628297943</v>
      </c>
      <c r="D257" s="300">
        <v>1699286</v>
      </c>
      <c r="E257" s="322">
        <v>63614</v>
      </c>
      <c r="F257" s="300">
        <v>89120</v>
      </c>
      <c r="G257" s="322">
        <f t="shared" si="24"/>
        <v>1852020</v>
      </c>
      <c r="H257" s="300">
        <f t="shared" si="25"/>
        <v>696846.77026383544</v>
      </c>
      <c r="I257" s="10">
        <f t="shared" si="26"/>
        <v>1155173.2297361647</v>
      </c>
      <c r="J257" s="319">
        <f t="shared" si="27"/>
        <v>-866379.92230212351</v>
      </c>
      <c r="K257" s="14">
        <v>0</v>
      </c>
      <c r="L257" s="10">
        <f t="shared" si="28"/>
        <v>87105.84628297943</v>
      </c>
      <c r="M257" s="14">
        <f t="shared" si="29"/>
        <v>0</v>
      </c>
      <c r="N257" s="2">
        <f t="shared" si="30"/>
        <v>0</v>
      </c>
      <c r="O257" s="136">
        <f t="shared" si="31"/>
        <v>-866379.92230212351</v>
      </c>
      <c r="P257" s="34">
        <f>O257/'D) Ecrêtage'!C257</f>
        <v>-9.9462890181622061</v>
      </c>
      <c r="Q257" s="132"/>
    </row>
    <row r="258" spans="1:17" x14ac:dyDescent="0.25">
      <c r="A258" s="50">
        <f>+'A) Base RI'!A260</f>
        <v>5851</v>
      </c>
      <c r="B258" s="308" t="str">
        <f>+'A) Base RI'!B260</f>
        <v>Allaman</v>
      </c>
      <c r="C258" s="322">
        <f>+'D) Ecrêtage'!C258</f>
        <v>27785.537982029753</v>
      </c>
      <c r="D258" s="300">
        <v>122971</v>
      </c>
      <c r="E258" s="322">
        <v>25860</v>
      </c>
      <c r="F258" s="300">
        <v>47903</v>
      </c>
      <c r="G258" s="322">
        <f t="shared" si="24"/>
        <v>196734</v>
      </c>
      <c r="H258" s="300">
        <f t="shared" si="25"/>
        <v>222284.30385623802</v>
      </c>
      <c r="I258" s="10">
        <f t="shared" si="26"/>
        <v>0</v>
      </c>
      <c r="J258" s="319">
        <f t="shared" si="27"/>
        <v>0</v>
      </c>
      <c r="K258" s="14">
        <v>464</v>
      </c>
      <c r="L258" s="10">
        <f t="shared" si="28"/>
        <v>27785.537982029753</v>
      </c>
      <c r="M258" s="14">
        <f t="shared" si="29"/>
        <v>0</v>
      </c>
      <c r="N258" s="2">
        <f t="shared" si="30"/>
        <v>0</v>
      </c>
      <c r="O258" s="136">
        <f t="shared" si="31"/>
        <v>0</v>
      </c>
      <c r="P258" s="34">
        <f>O258/'D) Ecrêtage'!C258</f>
        <v>0</v>
      </c>
      <c r="Q258" s="132"/>
    </row>
    <row r="259" spans="1:17" x14ac:dyDescent="0.25">
      <c r="A259" s="50">
        <f>+'A) Base RI'!A261</f>
        <v>5852</v>
      </c>
      <c r="B259" s="308" t="str">
        <f>+'A) Base RI'!B261</f>
        <v>Bursinel</v>
      </c>
      <c r="C259" s="322">
        <f>+'D) Ecrêtage'!C259</f>
        <v>38740.127027310053</v>
      </c>
      <c r="D259" s="300">
        <v>222410</v>
      </c>
      <c r="E259" s="322">
        <v>11613</v>
      </c>
      <c r="F259" s="300">
        <v>38177</v>
      </c>
      <c r="G259" s="322">
        <f t="shared" si="24"/>
        <v>272200</v>
      </c>
      <c r="H259" s="300">
        <f t="shared" si="25"/>
        <v>309921.01621848042</v>
      </c>
      <c r="I259" s="10">
        <f t="shared" si="26"/>
        <v>0</v>
      </c>
      <c r="J259" s="319">
        <f t="shared" si="27"/>
        <v>0</v>
      </c>
      <c r="K259" s="14">
        <v>1502</v>
      </c>
      <c r="L259" s="10">
        <f t="shared" si="28"/>
        <v>38740.127027310053</v>
      </c>
      <c r="M259" s="14">
        <f t="shared" si="29"/>
        <v>0</v>
      </c>
      <c r="N259" s="2">
        <f t="shared" si="30"/>
        <v>0</v>
      </c>
      <c r="O259" s="136">
        <f t="shared" si="31"/>
        <v>0</v>
      </c>
      <c r="P259" s="34">
        <f>O259/'D) Ecrêtage'!C259</f>
        <v>0</v>
      </c>
      <c r="Q259" s="132"/>
    </row>
    <row r="260" spans="1:17" x14ac:dyDescent="0.25">
      <c r="A260" s="50">
        <f>+'A) Base RI'!A262</f>
        <v>5853</v>
      </c>
      <c r="B260" s="308" t="str">
        <f>+'A) Base RI'!B262</f>
        <v>Bursins</v>
      </c>
      <c r="C260" s="322">
        <f>+'D) Ecrêtage'!C260</f>
        <v>35932.419772150381</v>
      </c>
      <c r="D260" s="300">
        <v>194548</v>
      </c>
      <c r="E260" s="322">
        <v>45994</v>
      </c>
      <c r="F260" s="300">
        <v>58318</v>
      </c>
      <c r="G260" s="322">
        <f t="shared" si="24"/>
        <v>298860</v>
      </c>
      <c r="H260" s="300">
        <f t="shared" si="25"/>
        <v>287459.35817720304</v>
      </c>
      <c r="I260" s="10">
        <f t="shared" si="26"/>
        <v>11400.641822796955</v>
      </c>
      <c r="J260" s="319">
        <f t="shared" si="27"/>
        <v>-8550.4813670977164</v>
      </c>
      <c r="K260" s="14">
        <v>15746</v>
      </c>
      <c r="L260" s="10">
        <f t="shared" si="28"/>
        <v>35932.419772150381</v>
      </c>
      <c r="M260" s="14">
        <f t="shared" si="29"/>
        <v>0</v>
      </c>
      <c r="N260" s="2">
        <f t="shared" si="30"/>
        <v>0</v>
      </c>
      <c r="O260" s="136">
        <f t="shared" si="31"/>
        <v>-8550.4813670977164</v>
      </c>
      <c r="P260" s="34">
        <f>O260/'D) Ecrêtage'!C260</f>
        <v>-0.23796007675844905</v>
      </c>
      <c r="Q260" s="132"/>
    </row>
    <row r="261" spans="1:17" x14ac:dyDescent="0.25">
      <c r="A261" s="50">
        <f>+'A) Base RI'!A263</f>
        <v>5854</v>
      </c>
      <c r="B261" s="308" t="str">
        <f>+'A) Base RI'!B263</f>
        <v>Burtigny</v>
      </c>
      <c r="C261" s="322">
        <f>+'D) Ecrêtage'!C261</f>
        <v>9853.2751063664073</v>
      </c>
      <c r="D261" s="300">
        <v>92172</v>
      </c>
      <c r="E261" s="322">
        <v>11860</v>
      </c>
      <c r="F261" s="300">
        <v>40440</v>
      </c>
      <c r="G261" s="322">
        <f t="shared" si="24"/>
        <v>144472</v>
      </c>
      <c r="H261" s="300">
        <f t="shared" si="25"/>
        <v>78826.200850931258</v>
      </c>
      <c r="I261" s="10">
        <f t="shared" si="26"/>
        <v>65645.799149068742</v>
      </c>
      <c r="J261" s="319">
        <f t="shared" si="27"/>
        <v>-49234.349361801556</v>
      </c>
      <c r="K261" s="14">
        <v>-19586</v>
      </c>
      <c r="L261" s="10">
        <f t="shared" si="28"/>
        <v>9853.2751063664073</v>
      </c>
      <c r="M261" s="14">
        <f t="shared" si="29"/>
        <v>0</v>
      </c>
      <c r="N261" s="2">
        <f t="shared" si="30"/>
        <v>0</v>
      </c>
      <c r="O261" s="136">
        <f t="shared" si="31"/>
        <v>-49234.349361801556</v>
      </c>
      <c r="P261" s="34">
        <f>O261/'D) Ecrêtage'!C261</f>
        <v>-4.9967496929006083</v>
      </c>
      <c r="Q261" s="132"/>
    </row>
    <row r="262" spans="1:17" x14ac:dyDescent="0.25">
      <c r="A262" s="50">
        <f>+'A) Base RI'!A264</f>
        <v>5855</v>
      </c>
      <c r="B262" s="308" t="str">
        <f>+'A) Base RI'!B264</f>
        <v>Dully</v>
      </c>
      <c r="C262" s="322">
        <f>+'D) Ecrêtage'!C262</f>
        <v>78259.066078216143</v>
      </c>
      <c r="D262" s="300">
        <v>173566</v>
      </c>
      <c r="E262" s="322">
        <v>27483</v>
      </c>
      <c r="F262" s="300">
        <v>43698</v>
      </c>
      <c r="G262" s="322">
        <f t="shared" ref="G262:G313" si="32">SUM(D262:F262)</f>
        <v>244747</v>
      </c>
      <c r="H262" s="300">
        <f t="shared" ref="H262:H313" si="33">+C262*$I$4</f>
        <v>626072.52862572914</v>
      </c>
      <c r="I262" s="10">
        <f t="shared" ref="I262:I313" si="34">IF(G262&gt;H262,G262-H262,0)</f>
        <v>0</v>
      </c>
      <c r="J262" s="319">
        <f t="shared" ref="J262:J313" si="35">-I262*J$4</f>
        <v>0</v>
      </c>
      <c r="K262" s="14">
        <v>1531</v>
      </c>
      <c r="L262" s="10">
        <f t="shared" ref="L262:L313" si="36">C262*M$4</f>
        <v>78259.066078216143</v>
      </c>
      <c r="M262" s="14">
        <f t="shared" ref="M262:M313" si="37">IF(K262&gt;L262,K262-L262,0)</f>
        <v>0</v>
      </c>
      <c r="N262" s="2">
        <f t="shared" ref="N262:N313" si="38">-M262*N$4</f>
        <v>0</v>
      </c>
      <c r="O262" s="136">
        <f t="shared" ref="O262:O313" si="39">N262+J262</f>
        <v>0</v>
      </c>
      <c r="P262" s="34">
        <f>O262/'D) Ecrêtage'!C262</f>
        <v>0</v>
      </c>
      <c r="Q262" s="132"/>
    </row>
    <row r="263" spans="1:17" x14ac:dyDescent="0.25">
      <c r="A263" s="50">
        <f>+'A) Base RI'!A265</f>
        <v>5856</v>
      </c>
      <c r="B263" s="308" t="str">
        <f>+'A) Base RI'!B265</f>
        <v>Essertines-sur-Rolle</v>
      </c>
      <c r="C263" s="322">
        <f>+'D) Ecrêtage'!C263</f>
        <v>34358.63256703021</v>
      </c>
      <c r="D263" s="300">
        <v>217608</v>
      </c>
      <c r="E263" s="322">
        <v>16641</v>
      </c>
      <c r="F263" s="300">
        <v>54144</v>
      </c>
      <c r="G263" s="322">
        <f t="shared" si="32"/>
        <v>288393</v>
      </c>
      <c r="H263" s="300">
        <f t="shared" si="33"/>
        <v>274869.06053624168</v>
      </c>
      <c r="I263" s="10">
        <f t="shared" si="34"/>
        <v>13523.939463758317</v>
      </c>
      <c r="J263" s="319">
        <f t="shared" si="35"/>
        <v>-10142.954597818738</v>
      </c>
      <c r="K263" s="14">
        <v>-13511</v>
      </c>
      <c r="L263" s="10">
        <f t="shared" si="36"/>
        <v>34358.63256703021</v>
      </c>
      <c r="M263" s="14">
        <f t="shared" si="37"/>
        <v>0</v>
      </c>
      <c r="N263" s="2">
        <f t="shared" si="38"/>
        <v>0</v>
      </c>
      <c r="O263" s="136">
        <f t="shared" si="39"/>
        <v>-10142.954597818738</v>
      </c>
      <c r="P263" s="34">
        <f>O263/'D) Ecrêtage'!C263</f>
        <v>-0.29520833164797411</v>
      </c>
      <c r="Q263" s="132"/>
    </row>
    <row r="264" spans="1:17" x14ac:dyDescent="0.25">
      <c r="A264" s="50">
        <f>+'A) Base RI'!A266</f>
        <v>5857</v>
      </c>
      <c r="B264" s="308" t="str">
        <f>+'A) Base RI'!B266</f>
        <v>Gilly</v>
      </c>
      <c r="C264" s="322">
        <f>+'D) Ecrêtage'!C264</f>
        <v>76506.459222154648</v>
      </c>
      <c r="D264" s="300">
        <v>160917</v>
      </c>
      <c r="E264" s="322">
        <v>41054</v>
      </c>
      <c r="F264" s="300">
        <v>92134</v>
      </c>
      <c r="G264" s="322">
        <f t="shared" si="32"/>
        <v>294105</v>
      </c>
      <c r="H264" s="300">
        <f t="shared" si="33"/>
        <v>612051.67377723719</v>
      </c>
      <c r="I264" s="10">
        <f t="shared" si="34"/>
        <v>0</v>
      </c>
      <c r="J264" s="319">
        <f t="shared" si="35"/>
        <v>0</v>
      </c>
      <c r="K264" s="14">
        <v>-48711</v>
      </c>
      <c r="L264" s="10">
        <f t="shared" si="36"/>
        <v>76506.459222154648</v>
      </c>
      <c r="M264" s="14">
        <f t="shared" si="37"/>
        <v>0</v>
      </c>
      <c r="N264" s="2">
        <f t="shared" si="38"/>
        <v>0</v>
      </c>
      <c r="O264" s="136">
        <f t="shared" si="39"/>
        <v>0</v>
      </c>
      <c r="P264" s="34">
        <f>O264/'D) Ecrêtage'!C264</f>
        <v>0</v>
      </c>
      <c r="Q264" s="132"/>
    </row>
    <row r="265" spans="1:17" x14ac:dyDescent="0.25">
      <c r="A265" s="50">
        <f>+'A) Base RI'!A267</f>
        <v>5858</v>
      </c>
      <c r="B265" s="308" t="str">
        <f>+'A) Base RI'!B267</f>
        <v>Luins</v>
      </c>
      <c r="C265" s="322">
        <f>+'D) Ecrêtage'!C265</f>
        <v>34277.61170447935</v>
      </c>
      <c r="D265" s="300">
        <v>45048</v>
      </c>
      <c r="E265" s="322">
        <v>30408</v>
      </c>
      <c r="F265" s="300">
        <v>47650</v>
      </c>
      <c r="G265" s="322">
        <f t="shared" si="32"/>
        <v>123106</v>
      </c>
      <c r="H265" s="300">
        <f t="shared" si="33"/>
        <v>274220.8936358348</v>
      </c>
      <c r="I265" s="10">
        <f t="shared" si="34"/>
        <v>0</v>
      </c>
      <c r="J265" s="319">
        <f t="shared" si="35"/>
        <v>0</v>
      </c>
      <c r="K265" s="14">
        <v>2900</v>
      </c>
      <c r="L265" s="10">
        <f t="shared" si="36"/>
        <v>34277.61170447935</v>
      </c>
      <c r="M265" s="14">
        <f t="shared" si="37"/>
        <v>0</v>
      </c>
      <c r="N265" s="2">
        <f t="shared" si="38"/>
        <v>0</v>
      </c>
      <c r="O265" s="136">
        <f t="shared" si="39"/>
        <v>0</v>
      </c>
      <c r="P265" s="34">
        <f>O265/'D) Ecrêtage'!C265</f>
        <v>0</v>
      </c>
      <c r="Q265" s="132"/>
    </row>
    <row r="266" spans="1:17" x14ac:dyDescent="0.25">
      <c r="A266" s="50">
        <f>+'A) Base RI'!A268</f>
        <v>5859</v>
      </c>
      <c r="B266" s="308" t="str">
        <f>+'A) Base RI'!B268</f>
        <v>Mont-sur-Rolle</v>
      </c>
      <c r="C266" s="322">
        <f>+'D) Ecrêtage'!C266</f>
        <v>136265.21065164401</v>
      </c>
      <c r="D266" s="300">
        <v>399564</v>
      </c>
      <c r="E266" s="322">
        <v>127382</v>
      </c>
      <c r="F266" s="300">
        <v>216542</v>
      </c>
      <c r="G266" s="322">
        <f t="shared" si="32"/>
        <v>743488</v>
      </c>
      <c r="H266" s="300">
        <f t="shared" si="33"/>
        <v>1090121.6852131521</v>
      </c>
      <c r="I266" s="10">
        <f t="shared" si="34"/>
        <v>0</v>
      </c>
      <c r="J266" s="319">
        <f t="shared" si="35"/>
        <v>0</v>
      </c>
      <c r="K266" s="14">
        <v>16439</v>
      </c>
      <c r="L266" s="10">
        <f t="shared" si="36"/>
        <v>136265.21065164401</v>
      </c>
      <c r="M266" s="14">
        <f t="shared" si="37"/>
        <v>0</v>
      </c>
      <c r="N266" s="2">
        <f t="shared" si="38"/>
        <v>0</v>
      </c>
      <c r="O266" s="136">
        <f t="shared" si="39"/>
        <v>0</v>
      </c>
      <c r="P266" s="34">
        <f>O266/'D) Ecrêtage'!C266</f>
        <v>0</v>
      </c>
      <c r="Q266" s="132"/>
    </row>
    <row r="267" spans="1:17" x14ac:dyDescent="0.25">
      <c r="A267" s="50">
        <f>+'A) Base RI'!A269</f>
        <v>5860</v>
      </c>
      <c r="B267" s="308" t="str">
        <f>+'A) Base RI'!B269</f>
        <v>Perroy</v>
      </c>
      <c r="C267" s="322">
        <f>+'D) Ecrêtage'!C267</f>
        <v>87566.238279299258</v>
      </c>
      <c r="D267" s="300">
        <v>105064</v>
      </c>
      <c r="E267" s="322">
        <v>52186</v>
      </c>
      <c r="F267" s="300">
        <v>124014</v>
      </c>
      <c r="G267" s="322">
        <f t="shared" si="32"/>
        <v>281264</v>
      </c>
      <c r="H267" s="300">
        <f t="shared" si="33"/>
        <v>700529.90623439406</v>
      </c>
      <c r="I267" s="10">
        <f t="shared" si="34"/>
        <v>0</v>
      </c>
      <c r="J267" s="319">
        <f t="shared" si="35"/>
        <v>0</v>
      </c>
      <c r="K267" s="14">
        <v>4683</v>
      </c>
      <c r="L267" s="10">
        <f t="shared" si="36"/>
        <v>87566.238279299258</v>
      </c>
      <c r="M267" s="14">
        <f t="shared" si="37"/>
        <v>0</v>
      </c>
      <c r="N267" s="2">
        <f t="shared" si="38"/>
        <v>0</v>
      </c>
      <c r="O267" s="136">
        <f t="shared" si="39"/>
        <v>0</v>
      </c>
      <c r="P267" s="34">
        <f>O267/'D) Ecrêtage'!C267</f>
        <v>0</v>
      </c>
      <c r="Q267" s="132"/>
    </row>
    <row r="268" spans="1:17" x14ac:dyDescent="0.25">
      <c r="A268" s="50">
        <f>+'A) Base RI'!A270</f>
        <v>5861</v>
      </c>
      <c r="B268" s="308" t="str">
        <f>+'A) Base RI'!B270</f>
        <v>Rolle</v>
      </c>
      <c r="C268" s="322">
        <f>+'D) Ecrêtage'!C268</f>
        <v>773954.77123318054</v>
      </c>
      <c r="D268" s="300">
        <v>2551064</v>
      </c>
      <c r="E268" s="322">
        <v>609544</v>
      </c>
      <c r="F268" s="300">
        <v>491162</v>
      </c>
      <c r="G268" s="322">
        <f t="shared" si="32"/>
        <v>3651770</v>
      </c>
      <c r="H268" s="300">
        <f t="shared" si="33"/>
        <v>6191638.1698654443</v>
      </c>
      <c r="I268" s="10">
        <f t="shared" si="34"/>
        <v>0</v>
      </c>
      <c r="J268" s="319">
        <f t="shared" si="35"/>
        <v>0</v>
      </c>
      <c r="K268" s="14">
        <v>21883</v>
      </c>
      <c r="L268" s="10">
        <f t="shared" si="36"/>
        <v>773954.77123318054</v>
      </c>
      <c r="M268" s="14">
        <f t="shared" si="37"/>
        <v>0</v>
      </c>
      <c r="N268" s="2">
        <f t="shared" si="38"/>
        <v>0</v>
      </c>
      <c r="O268" s="136">
        <f t="shared" si="39"/>
        <v>0</v>
      </c>
      <c r="P268" s="34">
        <f>O268/'D) Ecrêtage'!C268</f>
        <v>0</v>
      </c>
      <c r="Q268" s="132"/>
    </row>
    <row r="269" spans="1:17" x14ac:dyDescent="0.25">
      <c r="A269" s="50">
        <f>+'A) Base RI'!A271</f>
        <v>5862</v>
      </c>
      <c r="B269" s="308" t="str">
        <f>+'A) Base RI'!B271</f>
        <v>Tartegnin</v>
      </c>
      <c r="C269" s="322">
        <f>+'D) Ecrêtage'!C269</f>
        <v>10589.245656408681</v>
      </c>
      <c r="D269" s="300">
        <v>17223</v>
      </c>
      <c r="E269" s="322">
        <v>7685</v>
      </c>
      <c r="F269" s="300">
        <v>18656</v>
      </c>
      <c r="G269" s="322">
        <f t="shared" si="32"/>
        <v>43564</v>
      </c>
      <c r="H269" s="300">
        <f t="shared" si="33"/>
        <v>84713.965251269445</v>
      </c>
      <c r="I269" s="10">
        <f t="shared" si="34"/>
        <v>0</v>
      </c>
      <c r="J269" s="319">
        <f t="shared" si="35"/>
        <v>0</v>
      </c>
      <c r="K269" s="14">
        <v>2866</v>
      </c>
      <c r="L269" s="10">
        <f t="shared" si="36"/>
        <v>10589.245656408681</v>
      </c>
      <c r="M269" s="14">
        <f t="shared" si="37"/>
        <v>0</v>
      </c>
      <c r="N269" s="2">
        <f t="shared" si="38"/>
        <v>0</v>
      </c>
      <c r="O269" s="136">
        <f t="shared" si="39"/>
        <v>0</v>
      </c>
      <c r="P269" s="34">
        <f>O269/'D) Ecrêtage'!C269</f>
        <v>0</v>
      </c>
      <c r="Q269" s="132"/>
    </row>
    <row r="270" spans="1:17" x14ac:dyDescent="0.25">
      <c r="A270" s="50">
        <f>+'A) Base RI'!A272</f>
        <v>5863</v>
      </c>
      <c r="B270" s="308" t="str">
        <f>+'A) Base RI'!B272</f>
        <v>Vinzel</v>
      </c>
      <c r="C270" s="322">
        <f>+'D) Ecrêtage'!C270</f>
        <v>22777.907701128508</v>
      </c>
      <c r="D270" s="300">
        <v>513471</v>
      </c>
      <c r="E270" s="322">
        <v>21823</v>
      </c>
      <c r="F270" s="300">
        <v>28157</v>
      </c>
      <c r="G270" s="322">
        <f t="shared" si="32"/>
        <v>563451</v>
      </c>
      <c r="H270" s="300">
        <f t="shared" si="33"/>
        <v>182223.26160902806</v>
      </c>
      <c r="I270" s="10">
        <f t="shared" si="34"/>
        <v>381227.73839097191</v>
      </c>
      <c r="J270" s="319">
        <f t="shared" si="35"/>
        <v>-285920.80379322893</v>
      </c>
      <c r="K270" s="14">
        <v>5737</v>
      </c>
      <c r="L270" s="10">
        <f t="shared" si="36"/>
        <v>22777.907701128508</v>
      </c>
      <c r="M270" s="14">
        <f t="shared" si="37"/>
        <v>0</v>
      </c>
      <c r="N270" s="2">
        <f t="shared" si="38"/>
        <v>0</v>
      </c>
      <c r="O270" s="136">
        <f t="shared" si="39"/>
        <v>-285920.80379322893</v>
      </c>
      <c r="P270" s="34">
        <f>O270/'D) Ecrêtage'!C270</f>
        <v>-12.552549055199801</v>
      </c>
      <c r="Q270" s="132"/>
    </row>
    <row r="271" spans="1:17" x14ac:dyDescent="0.25">
      <c r="A271" s="50">
        <f>+'A) Base RI'!A273</f>
        <v>5871</v>
      </c>
      <c r="B271" s="308" t="str">
        <f>+'A) Base RI'!B273</f>
        <v>L'Abbaye</v>
      </c>
      <c r="C271" s="322">
        <f>+'D) Ecrêtage'!C271</f>
        <v>46463.831419219103</v>
      </c>
      <c r="D271" s="300">
        <v>562995</v>
      </c>
      <c r="E271" s="322">
        <v>118482</v>
      </c>
      <c r="F271" s="300">
        <v>204406</v>
      </c>
      <c r="G271" s="322">
        <f t="shared" si="32"/>
        <v>885883</v>
      </c>
      <c r="H271" s="300">
        <f t="shared" si="33"/>
        <v>371710.65135375282</v>
      </c>
      <c r="I271" s="10">
        <f t="shared" si="34"/>
        <v>514172.34864624718</v>
      </c>
      <c r="J271" s="319">
        <f t="shared" si="35"/>
        <v>-385629.26148468535</v>
      </c>
      <c r="K271" s="14">
        <v>-76034</v>
      </c>
      <c r="L271" s="10">
        <f t="shared" si="36"/>
        <v>46463.831419219103</v>
      </c>
      <c r="M271" s="14">
        <f t="shared" si="37"/>
        <v>0</v>
      </c>
      <c r="N271" s="2">
        <f t="shared" si="38"/>
        <v>0</v>
      </c>
      <c r="O271" s="136">
        <f t="shared" si="39"/>
        <v>-385629.26148468535</v>
      </c>
      <c r="P271" s="34">
        <f>O271/'D) Ecrêtage'!C271</f>
        <v>-8.2995579509006081</v>
      </c>
      <c r="Q271" s="132"/>
    </row>
    <row r="272" spans="1:17" x14ac:dyDescent="0.25">
      <c r="A272" s="50">
        <f>+'A) Base RI'!A274</f>
        <v>5872</v>
      </c>
      <c r="B272" s="308" t="str">
        <f>+'A) Base RI'!B274</f>
        <v>Le Chenit</v>
      </c>
      <c r="C272" s="322">
        <f>+'D) Ecrêtage'!C272</f>
        <v>203474.88252883923</v>
      </c>
      <c r="D272" s="300">
        <v>2953831</v>
      </c>
      <c r="E272" s="322">
        <v>379478</v>
      </c>
      <c r="F272" s="300">
        <v>701717</v>
      </c>
      <c r="G272" s="322">
        <f t="shared" si="32"/>
        <v>4035026</v>
      </c>
      <c r="H272" s="300">
        <f t="shared" si="33"/>
        <v>1627799.0602307138</v>
      </c>
      <c r="I272" s="10">
        <f t="shared" si="34"/>
        <v>2407226.9397692862</v>
      </c>
      <c r="J272" s="319">
        <f t="shared" si="35"/>
        <v>-1805420.2048269645</v>
      </c>
      <c r="K272" s="14">
        <v>449279</v>
      </c>
      <c r="L272" s="10">
        <f t="shared" si="36"/>
        <v>203474.88252883923</v>
      </c>
      <c r="M272" s="14">
        <f t="shared" si="37"/>
        <v>245804.11747116077</v>
      </c>
      <c r="N272" s="2">
        <f t="shared" si="38"/>
        <v>-184353.08810337057</v>
      </c>
      <c r="O272" s="136">
        <f t="shared" si="39"/>
        <v>-1989773.292930335</v>
      </c>
      <c r="P272" s="34">
        <f>O272/'D) Ecrêtage'!C272</f>
        <v>-9.7789627309322427</v>
      </c>
      <c r="Q272" s="132"/>
    </row>
    <row r="273" spans="1:17" x14ac:dyDescent="0.25">
      <c r="A273" s="50">
        <f>+'A) Base RI'!A275</f>
        <v>5873</v>
      </c>
      <c r="B273" s="308" t="str">
        <f>+'A) Base RI'!B275</f>
        <v>Le Lieu</v>
      </c>
      <c r="C273" s="322">
        <f>+'D) Ecrêtage'!C273</f>
        <v>32044.127943123549</v>
      </c>
      <c r="D273" s="300">
        <v>817788</v>
      </c>
      <c r="E273" s="322">
        <v>70757</v>
      </c>
      <c r="F273" s="300">
        <v>128221</v>
      </c>
      <c r="G273" s="322">
        <f t="shared" si="32"/>
        <v>1016766</v>
      </c>
      <c r="H273" s="300">
        <f t="shared" si="33"/>
        <v>256353.02354498839</v>
      </c>
      <c r="I273" s="10">
        <f t="shared" si="34"/>
        <v>760412.97645501164</v>
      </c>
      <c r="J273" s="319">
        <f t="shared" si="35"/>
        <v>-570309.73234125879</v>
      </c>
      <c r="K273" s="14">
        <v>306235</v>
      </c>
      <c r="L273" s="10">
        <f t="shared" si="36"/>
        <v>32044.127943123549</v>
      </c>
      <c r="M273" s="14">
        <f t="shared" si="37"/>
        <v>274190.87205687643</v>
      </c>
      <c r="N273" s="2">
        <f t="shared" si="38"/>
        <v>-205643.15404265732</v>
      </c>
      <c r="O273" s="136">
        <f t="shared" si="39"/>
        <v>-775952.88638391613</v>
      </c>
      <c r="P273" s="34">
        <f>O273/'D) Ecrêtage'!C273</f>
        <v>-24.21513507127381</v>
      </c>
      <c r="Q273" s="132"/>
    </row>
    <row r="274" spans="1:17" x14ac:dyDescent="0.25">
      <c r="A274" s="50">
        <f>+'A) Base RI'!A276</f>
        <v>5881</v>
      </c>
      <c r="B274" s="308" t="str">
        <f>+'A) Base RI'!B276</f>
        <v>Blonay</v>
      </c>
      <c r="C274" s="322">
        <f>+'D) Ecrêtage'!C274</f>
        <v>337666.7615162601</v>
      </c>
      <c r="D274" s="300">
        <v>2431900</v>
      </c>
      <c r="E274" s="322">
        <v>872683</v>
      </c>
      <c r="F274" s="300">
        <v>455694</v>
      </c>
      <c r="G274" s="322">
        <f t="shared" si="32"/>
        <v>3760277</v>
      </c>
      <c r="H274" s="300">
        <f t="shared" si="33"/>
        <v>2701334.0921300808</v>
      </c>
      <c r="I274" s="10">
        <f t="shared" si="34"/>
        <v>1058942.9078699192</v>
      </c>
      <c r="J274" s="319">
        <f t="shared" si="35"/>
        <v>-794207.1809024394</v>
      </c>
      <c r="K274" s="14">
        <v>521759</v>
      </c>
      <c r="L274" s="10">
        <f t="shared" si="36"/>
        <v>337666.7615162601</v>
      </c>
      <c r="M274" s="14">
        <f t="shared" si="37"/>
        <v>184092.2384837399</v>
      </c>
      <c r="N274" s="2">
        <f t="shared" si="38"/>
        <v>-138069.17886280493</v>
      </c>
      <c r="O274" s="136">
        <f t="shared" si="39"/>
        <v>-932276.3597652443</v>
      </c>
      <c r="P274" s="34">
        <f>O274/'D) Ecrêtage'!C274</f>
        <v>-2.7609361240619212</v>
      </c>
      <c r="Q274" s="132"/>
    </row>
    <row r="275" spans="1:17" x14ac:dyDescent="0.25">
      <c r="A275" s="50">
        <f>+'A) Base RI'!A277</f>
        <v>5882</v>
      </c>
      <c r="B275" s="308" t="str">
        <f>+'A) Base RI'!B277</f>
        <v>Chardonne</v>
      </c>
      <c r="C275" s="322">
        <f>+'D) Ecrêtage'!C275</f>
        <v>156481.45987298383</v>
      </c>
      <c r="D275" s="300">
        <v>1220193</v>
      </c>
      <c r="E275" s="322">
        <v>259950</v>
      </c>
      <c r="F275" s="300">
        <v>158283</v>
      </c>
      <c r="G275" s="322">
        <f t="shared" si="32"/>
        <v>1638426</v>
      </c>
      <c r="H275" s="300">
        <f t="shared" si="33"/>
        <v>1251851.6789838707</v>
      </c>
      <c r="I275" s="10">
        <f t="shared" si="34"/>
        <v>386574.32101612934</v>
      </c>
      <c r="J275" s="319">
        <f t="shared" si="35"/>
        <v>-289930.740762097</v>
      </c>
      <c r="K275" s="14">
        <v>7426</v>
      </c>
      <c r="L275" s="10">
        <f t="shared" si="36"/>
        <v>156481.45987298383</v>
      </c>
      <c r="M275" s="14">
        <f t="shared" si="37"/>
        <v>0</v>
      </c>
      <c r="N275" s="2">
        <f t="shared" si="38"/>
        <v>0</v>
      </c>
      <c r="O275" s="136">
        <f t="shared" si="39"/>
        <v>-289930.740762097</v>
      </c>
      <c r="P275" s="34">
        <f>O275/'D) Ecrêtage'!C275</f>
        <v>-1.8528120903104692</v>
      </c>
      <c r="Q275" s="132"/>
    </row>
    <row r="276" spans="1:17" x14ac:dyDescent="0.25">
      <c r="A276" s="50">
        <f>+'A) Base RI'!A278</f>
        <v>5883</v>
      </c>
      <c r="B276" s="308" t="str">
        <f>+'A) Base RI'!B278</f>
        <v>Corseaux</v>
      </c>
      <c r="C276" s="322">
        <f>+'D) Ecrêtage'!C276</f>
        <v>150144.54939318728</v>
      </c>
      <c r="D276" s="300">
        <v>351679</v>
      </c>
      <c r="E276" s="322">
        <v>460801</v>
      </c>
      <c r="F276" s="300">
        <v>122426</v>
      </c>
      <c r="G276" s="322">
        <f t="shared" si="32"/>
        <v>934906</v>
      </c>
      <c r="H276" s="300">
        <f t="shared" si="33"/>
        <v>1201156.3951454982</v>
      </c>
      <c r="I276" s="10">
        <f t="shared" si="34"/>
        <v>0</v>
      </c>
      <c r="J276" s="319">
        <f t="shared" si="35"/>
        <v>0</v>
      </c>
      <c r="K276" s="14">
        <v>1456</v>
      </c>
      <c r="L276" s="10">
        <f t="shared" si="36"/>
        <v>150144.54939318728</v>
      </c>
      <c r="M276" s="14">
        <f t="shared" si="37"/>
        <v>0</v>
      </c>
      <c r="N276" s="2">
        <f t="shared" si="38"/>
        <v>0</v>
      </c>
      <c r="O276" s="136">
        <f t="shared" si="39"/>
        <v>0</v>
      </c>
      <c r="P276" s="34">
        <f>O276/'D) Ecrêtage'!C276</f>
        <v>0</v>
      </c>
      <c r="Q276" s="132"/>
    </row>
    <row r="277" spans="1:17" x14ac:dyDescent="0.25">
      <c r="A277" s="50">
        <f>+'A) Base RI'!A279</f>
        <v>5884</v>
      </c>
      <c r="B277" s="308" t="str">
        <f>+'A) Base RI'!B279</f>
        <v>Corsier-sur-Vevey</v>
      </c>
      <c r="C277" s="322">
        <f>+'D) Ecrêtage'!C277</f>
        <v>120582.14380721933</v>
      </c>
      <c r="D277" s="300">
        <v>1442645</v>
      </c>
      <c r="E277" s="322">
        <v>829302</v>
      </c>
      <c r="F277" s="300">
        <v>210970</v>
      </c>
      <c r="G277" s="322">
        <f t="shared" si="32"/>
        <v>2482917</v>
      </c>
      <c r="H277" s="300">
        <f t="shared" si="33"/>
        <v>964657.15045775461</v>
      </c>
      <c r="I277" s="10">
        <f t="shared" si="34"/>
        <v>1518259.8495422453</v>
      </c>
      <c r="J277" s="319">
        <f t="shared" si="35"/>
        <v>-1138694.887156684</v>
      </c>
      <c r="K277" s="14">
        <v>4000</v>
      </c>
      <c r="L277" s="10">
        <f t="shared" si="36"/>
        <v>120582.14380721933</v>
      </c>
      <c r="M277" s="14">
        <f t="shared" si="37"/>
        <v>0</v>
      </c>
      <c r="N277" s="2">
        <f t="shared" si="38"/>
        <v>0</v>
      </c>
      <c r="O277" s="136">
        <f t="shared" si="39"/>
        <v>-1138694.887156684</v>
      </c>
      <c r="P277" s="34">
        <f>O277/'D) Ecrêtage'!C277</f>
        <v>-9.4433126763542372</v>
      </c>
      <c r="Q277" s="132"/>
    </row>
    <row r="278" spans="1:17" x14ac:dyDescent="0.25">
      <c r="A278" s="50">
        <f>+'A) Base RI'!A280</f>
        <v>5885</v>
      </c>
      <c r="B278" s="308" t="str">
        <f>+'A) Base RI'!B280</f>
        <v>Jongny</v>
      </c>
      <c r="C278" s="322">
        <f>+'D) Ecrêtage'!C278</f>
        <v>92637.81830716609</v>
      </c>
      <c r="D278" s="300">
        <v>557936</v>
      </c>
      <c r="E278" s="322">
        <v>111283</v>
      </c>
      <c r="F278" s="300">
        <v>95257</v>
      </c>
      <c r="G278" s="322">
        <f t="shared" si="32"/>
        <v>764476</v>
      </c>
      <c r="H278" s="300">
        <f t="shared" si="33"/>
        <v>741102.54645732872</v>
      </c>
      <c r="I278" s="10">
        <f t="shared" si="34"/>
        <v>23373.453542671283</v>
      </c>
      <c r="J278" s="319">
        <f t="shared" si="35"/>
        <v>-17530.090157003462</v>
      </c>
      <c r="K278" s="14">
        <v>-1200</v>
      </c>
      <c r="L278" s="10">
        <f t="shared" si="36"/>
        <v>92637.81830716609</v>
      </c>
      <c r="M278" s="14">
        <f t="shared" si="37"/>
        <v>0</v>
      </c>
      <c r="N278" s="2">
        <f t="shared" si="38"/>
        <v>0</v>
      </c>
      <c r="O278" s="136">
        <f t="shared" si="39"/>
        <v>-17530.090157003462</v>
      </c>
      <c r="P278" s="34">
        <f>O278/'D) Ecrêtage'!C278</f>
        <v>-0.18923254538311385</v>
      </c>
      <c r="Q278" s="132"/>
    </row>
    <row r="279" spans="1:17" x14ac:dyDescent="0.25">
      <c r="A279" s="50">
        <f>+'A) Base RI'!A281</f>
        <v>5886</v>
      </c>
      <c r="B279" s="308" t="str">
        <f>+'A) Base RI'!B281</f>
        <v>Montreux</v>
      </c>
      <c r="C279" s="322">
        <f>+'D) Ecrêtage'!C279</f>
        <v>1120957.3291830304</v>
      </c>
      <c r="D279" s="300">
        <v>10775182</v>
      </c>
      <c r="E279" s="322">
        <v>5023233</v>
      </c>
      <c r="F279" s="300">
        <v>357426</v>
      </c>
      <c r="G279" s="322">
        <f t="shared" si="32"/>
        <v>16155841</v>
      </c>
      <c r="H279" s="300">
        <f t="shared" si="33"/>
        <v>8967658.6334642433</v>
      </c>
      <c r="I279" s="10">
        <f t="shared" si="34"/>
        <v>7188182.3665357567</v>
      </c>
      <c r="J279" s="319">
        <f t="shared" si="35"/>
        <v>-5391136.7749018176</v>
      </c>
      <c r="K279" s="14">
        <v>1906452</v>
      </c>
      <c r="L279" s="10">
        <f t="shared" si="36"/>
        <v>1120957.3291830304</v>
      </c>
      <c r="M279" s="14">
        <f t="shared" si="37"/>
        <v>785494.67081696959</v>
      </c>
      <c r="N279" s="2">
        <f t="shared" si="38"/>
        <v>-589121.00311272719</v>
      </c>
      <c r="O279" s="136">
        <f t="shared" si="39"/>
        <v>-5980257.7780145444</v>
      </c>
      <c r="P279" s="34">
        <f>O279/'D) Ecrêtage'!C279</f>
        <v>-5.3349557760356863</v>
      </c>
      <c r="Q279" s="132"/>
    </row>
    <row r="280" spans="1:17" x14ac:dyDescent="0.25">
      <c r="A280" s="50">
        <f>+'A) Base RI'!A282</f>
        <v>5888</v>
      </c>
      <c r="B280" s="308" t="str">
        <f>+'A) Base RI'!B282</f>
        <v>Saint-Légier-La Chiésaz</v>
      </c>
      <c r="C280" s="322">
        <f>+'D) Ecrêtage'!C280</f>
        <v>291113.86411428853</v>
      </c>
      <c r="D280" s="300">
        <v>1308175</v>
      </c>
      <c r="E280" s="322">
        <v>661022</v>
      </c>
      <c r="F280" s="300">
        <v>351115</v>
      </c>
      <c r="G280" s="322">
        <f t="shared" si="32"/>
        <v>2320312</v>
      </c>
      <c r="H280" s="300">
        <f t="shared" si="33"/>
        <v>2328910.9129143083</v>
      </c>
      <c r="I280" s="10">
        <f t="shared" si="34"/>
        <v>0</v>
      </c>
      <c r="J280" s="319">
        <f t="shared" si="35"/>
        <v>0</v>
      </c>
      <c r="K280" s="14">
        <v>708147</v>
      </c>
      <c r="L280" s="10">
        <f t="shared" si="36"/>
        <v>291113.86411428853</v>
      </c>
      <c r="M280" s="14">
        <f t="shared" si="37"/>
        <v>417033.13588571147</v>
      </c>
      <c r="N280" s="2">
        <f t="shared" si="38"/>
        <v>-312774.85191428359</v>
      </c>
      <c r="O280" s="136">
        <f t="shared" si="39"/>
        <v>-312774.85191428359</v>
      </c>
      <c r="P280" s="34">
        <f>O280/'D) Ecrêtage'!C280</f>
        <v>-1.0744072696980558</v>
      </c>
      <c r="Q280" s="132"/>
    </row>
    <row r="281" spans="1:17" x14ac:dyDescent="0.25">
      <c r="A281" s="50">
        <f>+'A) Base RI'!A283</f>
        <v>5889</v>
      </c>
      <c r="B281" s="308" t="str">
        <f>+'A) Base RI'!B283</f>
        <v>La Tour-de-Peilz</v>
      </c>
      <c r="C281" s="322">
        <f>+'D) Ecrêtage'!C281</f>
        <v>674531.22490925156</v>
      </c>
      <c r="D281" s="300">
        <v>2163219</v>
      </c>
      <c r="E281" s="322">
        <v>2036080</v>
      </c>
      <c r="F281" s="300">
        <v>7924</v>
      </c>
      <c r="G281" s="322">
        <f t="shared" si="32"/>
        <v>4207223</v>
      </c>
      <c r="H281" s="300">
        <f t="shared" si="33"/>
        <v>5396249.7992740124</v>
      </c>
      <c r="I281" s="10">
        <f t="shared" si="34"/>
        <v>0</v>
      </c>
      <c r="J281" s="319">
        <f t="shared" si="35"/>
        <v>0</v>
      </c>
      <c r="K281" s="14">
        <v>58918</v>
      </c>
      <c r="L281" s="10">
        <f t="shared" si="36"/>
        <v>674531.22490925156</v>
      </c>
      <c r="M281" s="14">
        <f t="shared" si="37"/>
        <v>0</v>
      </c>
      <c r="N281" s="2">
        <f t="shared" si="38"/>
        <v>0</v>
      </c>
      <c r="O281" s="136">
        <f t="shared" si="39"/>
        <v>0</v>
      </c>
      <c r="P281" s="34">
        <f>O281/'D) Ecrêtage'!C281</f>
        <v>0</v>
      </c>
      <c r="Q281" s="132"/>
    </row>
    <row r="282" spans="1:17" x14ac:dyDescent="0.25">
      <c r="A282" s="50">
        <f>+'A) Base RI'!A284</f>
        <v>5890</v>
      </c>
      <c r="B282" s="308" t="str">
        <f>+'A) Base RI'!B284</f>
        <v>Vevey</v>
      </c>
      <c r="C282" s="322">
        <f>+'D) Ecrêtage'!C282</f>
        <v>953247.91463963222</v>
      </c>
      <c r="D282" s="300">
        <v>6435569</v>
      </c>
      <c r="E282" s="322">
        <v>3686922</v>
      </c>
      <c r="F282" s="300">
        <v>151574</v>
      </c>
      <c r="G282" s="322">
        <f t="shared" si="32"/>
        <v>10274065</v>
      </c>
      <c r="H282" s="300">
        <f t="shared" si="33"/>
        <v>7625983.3171170577</v>
      </c>
      <c r="I282" s="10">
        <f t="shared" si="34"/>
        <v>2648081.6828829423</v>
      </c>
      <c r="J282" s="319">
        <f t="shared" si="35"/>
        <v>-1986061.2621622067</v>
      </c>
      <c r="K282" s="14">
        <v>100000</v>
      </c>
      <c r="L282" s="10">
        <f t="shared" si="36"/>
        <v>953247.91463963222</v>
      </c>
      <c r="M282" s="14">
        <f t="shared" si="37"/>
        <v>0</v>
      </c>
      <c r="N282" s="2">
        <f t="shared" si="38"/>
        <v>0</v>
      </c>
      <c r="O282" s="136">
        <f t="shared" si="39"/>
        <v>-1986061.2621622067</v>
      </c>
      <c r="P282" s="34">
        <f>O282/'D) Ecrêtage'!C282</f>
        <v>-2.0834677229931535</v>
      </c>
      <c r="Q282" s="132"/>
    </row>
    <row r="283" spans="1:17" x14ac:dyDescent="0.25">
      <c r="A283" s="50">
        <f>+'A) Base RI'!A285</f>
        <v>5891</v>
      </c>
      <c r="B283" s="308" t="str">
        <f>+'A) Base RI'!B285</f>
        <v>Veytaux</v>
      </c>
      <c r="C283" s="322">
        <f>+'D) Ecrêtage'!C283</f>
        <v>35139.330604262883</v>
      </c>
      <c r="D283" s="300">
        <v>259943</v>
      </c>
      <c r="E283" s="322">
        <v>128347</v>
      </c>
      <c r="F283" s="300">
        <v>30000</v>
      </c>
      <c r="G283" s="322">
        <f t="shared" si="32"/>
        <v>418290</v>
      </c>
      <c r="H283" s="300">
        <f t="shared" si="33"/>
        <v>281114.64483410306</v>
      </c>
      <c r="I283" s="10">
        <f t="shared" si="34"/>
        <v>137175.35516589694</v>
      </c>
      <c r="J283" s="319">
        <f t="shared" si="35"/>
        <v>-102881.5163744227</v>
      </c>
      <c r="K283" s="14">
        <v>322507</v>
      </c>
      <c r="L283" s="10">
        <f t="shared" si="36"/>
        <v>35139.330604262883</v>
      </c>
      <c r="M283" s="14">
        <f t="shared" si="37"/>
        <v>287367.66939573712</v>
      </c>
      <c r="N283" s="2">
        <f t="shared" si="38"/>
        <v>-215525.75204680284</v>
      </c>
      <c r="O283" s="136">
        <f t="shared" si="39"/>
        <v>-318407.26842122554</v>
      </c>
      <c r="P283" s="34">
        <f>O283/'D) Ecrêtage'!C283</f>
        <v>-9.0612787137896813</v>
      </c>
      <c r="Q283" s="132"/>
    </row>
    <row r="284" spans="1:17" x14ac:dyDescent="0.25">
      <c r="A284" s="50">
        <f>+'A) Base RI'!A286</f>
        <v>5902</v>
      </c>
      <c r="B284" s="308" t="str">
        <f>+'A) Base RI'!B286</f>
        <v>Belmont-sur-Yverdon</v>
      </c>
      <c r="C284" s="322">
        <f>+'D) Ecrêtage'!C284</f>
        <v>9890.2176826722334</v>
      </c>
      <c r="D284" s="300">
        <v>488802</v>
      </c>
      <c r="E284" s="322">
        <v>14913</v>
      </c>
      <c r="F284" s="300">
        <v>46797</v>
      </c>
      <c r="G284" s="322">
        <f t="shared" si="32"/>
        <v>550512</v>
      </c>
      <c r="H284" s="300">
        <f t="shared" si="33"/>
        <v>79121.741461377867</v>
      </c>
      <c r="I284" s="10">
        <f t="shared" si="34"/>
        <v>471390.25853862212</v>
      </c>
      <c r="J284" s="319">
        <f t="shared" si="35"/>
        <v>-353542.69390396657</v>
      </c>
      <c r="K284" s="14">
        <v>19477</v>
      </c>
      <c r="L284" s="10">
        <f t="shared" si="36"/>
        <v>9890.2176826722334</v>
      </c>
      <c r="M284" s="14">
        <f t="shared" si="37"/>
        <v>9586.7823173277666</v>
      </c>
      <c r="N284" s="2">
        <f t="shared" si="38"/>
        <v>-7190.0867379958254</v>
      </c>
      <c r="O284" s="136">
        <f t="shared" si="39"/>
        <v>-360732.78064196242</v>
      </c>
      <c r="P284" s="34">
        <f>O284/'D) Ecrêtage'!C284</f>
        <v>-36.473694737171471</v>
      </c>
      <c r="Q284" s="132"/>
    </row>
    <row r="285" spans="1:17" x14ac:dyDescent="0.25">
      <c r="A285" s="50">
        <f>+'A) Base RI'!A287</f>
        <v>5903</v>
      </c>
      <c r="B285" s="308" t="str">
        <f>+'A) Base RI'!B287</f>
        <v>Bioley-Magnoux</v>
      </c>
      <c r="C285" s="322">
        <f>+'D) Ecrêtage'!C285</f>
        <v>5925.8519470372794</v>
      </c>
      <c r="D285" s="300">
        <v>397980</v>
      </c>
      <c r="E285" s="322">
        <v>9321</v>
      </c>
      <c r="F285" s="300">
        <v>20801</v>
      </c>
      <c r="G285" s="322">
        <f t="shared" si="32"/>
        <v>428102</v>
      </c>
      <c r="H285" s="300">
        <f t="shared" si="33"/>
        <v>47406.815576298235</v>
      </c>
      <c r="I285" s="10">
        <f t="shared" si="34"/>
        <v>380695.18442370178</v>
      </c>
      <c r="J285" s="319">
        <f t="shared" si="35"/>
        <v>-285521.38831777632</v>
      </c>
      <c r="K285" s="14">
        <v>17255</v>
      </c>
      <c r="L285" s="10">
        <f t="shared" si="36"/>
        <v>5925.8519470372794</v>
      </c>
      <c r="M285" s="14">
        <f t="shared" si="37"/>
        <v>11329.148052962721</v>
      </c>
      <c r="N285" s="2">
        <f t="shared" si="38"/>
        <v>-8496.86103972204</v>
      </c>
      <c r="O285" s="136">
        <f t="shared" si="39"/>
        <v>-294018.24935749837</v>
      </c>
      <c r="P285" s="34">
        <f>O285/'D) Ecrêtage'!C285</f>
        <v>-49.616198984602931</v>
      </c>
      <c r="Q285" s="132"/>
    </row>
    <row r="286" spans="1:17" x14ac:dyDescent="0.25">
      <c r="A286" s="50">
        <f>+'A) Base RI'!A288</f>
        <v>5904</v>
      </c>
      <c r="B286" s="308" t="str">
        <f>+'A) Base RI'!B288</f>
        <v>Chamblon</v>
      </c>
      <c r="C286" s="322">
        <f>+'D) Ecrêtage'!C286</f>
        <v>21650.618671075306</v>
      </c>
      <c r="D286" s="300">
        <v>57001</v>
      </c>
      <c r="E286" s="322">
        <v>22208</v>
      </c>
      <c r="F286" s="300">
        <v>21446</v>
      </c>
      <c r="G286" s="322">
        <f t="shared" si="32"/>
        <v>100655</v>
      </c>
      <c r="H286" s="300">
        <f t="shared" si="33"/>
        <v>173204.94936860245</v>
      </c>
      <c r="I286" s="10">
        <f t="shared" si="34"/>
        <v>0</v>
      </c>
      <c r="J286" s="319">
        <f t="shared" si="35"/>
        <v>0</v>
      </c>
      <c r="K286" s="14">
        <v>634</v>
      </c>
      <c r="L286" s="10">
        <f t="shared" si="36"/>
        <v>21650.618671075306</v>
      </c>
      <c r="M286" s="14">
        <f t="shared" si="37"/>
        <v>0</v>
      </c>
      <c r="N286" s="2">
        <f t="shared" si="38"/>
        <v>0</v>
      </c>
      <c r="O286" s="136">
        <f t="shared" si="39"/>
        <v>0</v>
      </c>
      <c r="P286" s="34">
        <f>O286/'D) Ecrêtage'!C286</f>
        <v>0</v>
      </c>
      <c r="Q286" s="132"/>
    </row>
    <row r="287" spans="1:17" x14ac:dyDescent="0.25">
      <c r="A287" s="50">
        <f>+'A) Base RI'!A289</f>
        <v>5905</v>
      </c>
      <c r="B287" s="308" t="str">
        <f>+'A) Base RI'!B289</f>
        <v>Champvent</v>
      </c>
      <c r="C287" s="322">
        <f>+'D) Ecrêtage'!C287</f>
        <v>22161.114023042239</v>
      </c>
      <c r="D287" s="300">
        <v>82211</v>
      </c>
      <c r="E287" s="322">
        <v>66056</v>
      </c>
      <c r="F287" s="300">
        <v>58956</v>
      </c>
      <c r="G287" s="322">
        <f t="shared" si="32"/>
        <v>207223</v>
      </c>
      <c r="H287" s="300">
        <f t="shared" si="33"/>
        <v>177288.91218433791</v>
      </c>
      <c r="I287" s="10">
        <f t="shared" si="34"/>
        <v>29934.087815662089</v>
      </c>
      <c r="J287" s="319">
        <f t="shared" si="35"/>
        <v>-22450.565861746567</v>
      </c>
      <c r="K287" s="14">
        <v>95695</v>
      </c>
      <c r="L287" s="10">
        <f t="shared" si="36"/>
        <v>22161.114023042239</v>
      </c>
      <c r="M287" s="14">
        <f t="shared" si="37"/>
        <v>73533.885976957768</v>
      </c>
      <c r="N287" s="2">
        <f t="shared" si="38"/>
        <v>-55150.414482718326</v>
      </c>
      <c r="O287" s="136">
        <f t="shared" si="39"/>
        <v>-77600.980344464886</v>
      </c>
      <c r="P287" s="34">
        <f>O287/'D) Ecrêtage'!C287</f>
        <v>-3.5016732581123176</v>
      </c>
      <c r="Q287" s="132"/>
    </row>
    <row r="288" spans="1:17" x14ac:dyDescent="0.25">
      <c r="A288" s="50">
        <f>+'A) Base RI'!A290</f>
        <v>5907</v>
      </c>
      <c r="B288" s="308" t="str">
        <f>+'A) Base RI'!B290</f>
        <v>Chavannes-le-Chêne</v>
      </c>
      <c r="C288" s="322">
        <f>+'D) Ecrêtage'!C288</f>
        <v>8634.8729280902389</v>
      </c>
      <c r="D288" s="300">
        <v>138235</v>
      </c>
      <c r="E288" s="322">
        <v>12158</v>
      </c>
      <c r="F288" s="300">
        <v>27238</v>
      </c>
      <c r="G288" s="322">
        <f t="shared" si="32"/>
        <v>177631</v>
      </c>
      <c r="H288" s="300">
        <f t="shared" si="33"/>
        <v>69078.983424721911</v>
      </c>
      <c r="I288" s="10">
        <f t="shared" si="34"/>
        <v>108552.01657527809</v>
      </c>
      <c r="J288" s="319">
        <f t="shared" si="35"/>
        <v>-81414.01243145857</v>
      </c>
      <c r="K288" s="14">
        <v>9009</v>
      </c>
      <c r="L288" s="10">
        <f t="shared" si="36"/>
        <v>8634.8729280902389</v>
      </c>
      <c r="M288" s="14">
        <f t="shared" si="37"/>
        <v>374.12707190976107</v>
      </c>
      <c r="N288" s="2">
        <f t="shared" si="38"/>
        <v>-280.5953039323208</v>
      </c>
      <c r="O288" s="136">
        <f t="shared" si="39"/>
        <v>-81694.607735390891</v>
      </c>
      <c r="P288" s="34">
        <f>O288/'D) Ecrêtage'!C288</f>
        <v>-9.4610086813934338</v>
      </c>
      <c r="Q288" s="132"/>
    </row>
    <row r="289" spans="1:17" x14ac:dyDescent="0.25">
      <c r="A289" s="50">
        <f>+'A) Base RI'!A291</f>
        <v>5908</v>
      </c>
      <c r="B289" s="308" t="str">
        <f>+'A) Base RI'!B291</f>
        <v>Chêne-Pâquier</v>
      </c>
      <c r="C289" s="322">
        <f>+'D) Ecrêtage'!C289</f>
        <v>2752.8487805406176</v>
      </c>
      <c r="D289" s="300">
        <v>12052</v>
      </c>
      <c r="E289" s="322">
        <v>5673</v>
      </c>
      <c r="F289" s="300">
        <v>11494</v>
      </c>
      <c r="G289" s="322">
        <f t="shared" si="32"/>
        <v>29219</v>
      </c>
      <c r="H289" s="300">
        <f t="shared" si="33"/>
        <v>22022.79024432494</v>
      </c>
      <c r="I289" s="10">
        <f t="shared" si="34"/>
        <v>7196.2097556750596</v>
      </c>
      <c r="J289" s="319">
        <f t="shared" si="35"/>
        <v>-5397.1573167562947</v>
      </c>
      <c r="K289" s="14">
        <v>42556</v>
      </c>
      <c r="L289" s="10">
        <f t="shared" si="36"/>
        <v>2752.8487805406176</v>
      </c>
      <c r="M289" s="14">
        <f t="shared" si="37"/>
        <v>39803.151219459382</v>
      </c>
      <c r="N289" s="2">
        <f t="shared" si="38"/>
        <v>-29852.363414594536</v>
      </c>
      <c r="O289" s="136">
        <f t="shared" si="39"/>
        <v>-35249.520731350829</v>
      </c>
      <c r="P289" s="34">
        <f>O289/'D) Ecrêtage'!C289</f>
        <v>-12.804742846945759</v>
      </c>
      <c r="Q289" s="132"/>
    </row>
    <row r="290" spans="1:17" x14ac:dyDescent="0.25">
      <c r="A290" s="50">
        <f>+'A) Base RI'!A292</f>
        <v>5909</v>
      </c>
      <c r="B290" s="308" t="str">
        <f>+'A) Base RI'!B292</f>
        <v>Cheseaux-Noréaz</v>
      </c>
      <c r="C290" s="322">
        <f>+'D) Ecrêtage'!C290</f>
        <v>27860.638922764225</v>
      </c>
      <c r="D290" s="300">
        <v>212963</v>
      </c>
      <c r="E290" s="322">
        <v>134827</v>
      </c>
      <c r="F290" s="300">
        <v>35955</v>
      </c>
      <c r="G290" s="322">
        <f t="shared" si="32"/>
        <v>383745</v>
      </c>
      <c r="H290" s="300">
        <f t="shared" si="33"/>
        <v>222885.1113821138</v>
      </c>
      <c r="I290" s="10">
        <f t="shared" si="34"/>
        <v>160859.8886178862</v>
      </c>
      <c r="J290" s="319">
        <f t="shared" si="35"/>
        <v>-120644.91646341464</v>
      </c>
      <c r="K290" s="14">
        <v>9418</v>
      </c>
      <c r="L290" s="10">
        <f t="shared" si="36"/>
        <v>27860.638922764225</v>
      </c>
      <c r="M290" s="14">
        <f t="shared" si="37"/>
        <v>0</v>
      </c>
      <c r="N290" s="2">
        <f t="shared" si="38"/>
        <v>0</v>
      </c>
      <c r="O290" s="136">
        <f t="shared" si="39"/>
        <v>-120644.91646341464</v>
      </c>
      <c r="P290" s="34">
        <f>O290/'D) Ecrêtage'!C290</f>
        <v>-4.3302997033868715</v>
      </c>
      <c r="Q290" s="132"/>
    </row>
    <row r="291" spans="1:17" x14ac:dyDescent="0.25">
      <c r="A291" s="50">
        <f>+'A) Base RI'!A293</f>
        <v>5910</v>
      </c>
      <c r="B291" s="308" t="str">
        <f>+'A) Base RI'!B293</f>
        <v>Cronay</v>
      </c>
      <c r="C291" s="322">
        <f>+'D) Ecrêtage'!C291</f>
        <v>10082.92355515589</v>
      </c>
      <c r="D291" s="300">
        <v>61962</v>
      </c>
      <c r="E291" s="322">
        <v>23099</v>
      </c>
      <c r="F291" s="300">
        <v>33556</v>
      </c>
      <c r="G291" s="322">
        <f t="shared" si="32"/>
        <v>118617</v>
      </c>
      <c r="H291" s="300">
        <f t="shared" si="33"/>
        <v>80663.388441247123</v>
      </c>
      <c r="I291" s="10">
        <f t="shared" si="34"/>
        <v>37953.611558752877</v>
      </c>
      <c r="J291" s="319">
        <f t="shared" si="35"/>
        <v>-28465.208669064657</v>
      </c>
      <c r="K291" s="14">
        <v>97700</v>
      </c>
      <c r="L291" s="10">
        <f t="shared" si="36"/>
        <v>10082.92355515589</v>
      </c>
      <c r="M291" s="14">
        <f t="shared" si="37"/>
        <v>87617.076444844104</v>
      </c>
      <c r="N291" s="2">
        <f t="shared" si="38"/>
        <v>-65712.807333633071</v>
      </c>
      <c r="O291" s="136">
        <f t="shared" si="39"/>
        <v>-94178.016002697725</v>
      </c>
      <c r="P291" s="34">
        <f>O291/'D) Ecrêtage'!C291</f>
        <v>-9.3403481130767787</v>
      </c>
      <c r="Q291" s="132"/>
    </row>
    <row r="292" spans="1:17" x14ac:dyDescent="0.25">
      <c r="A292" s="50">
        <f>+'A) Base RI'!A294</f>
        <v>5911</v>
      </c>
      <c r="B292" s="308" t="str">
        <f>+'A) Base RI'!B294</f>
        <v>Cuarny</v>
      </c>
      <c r="C292" s="322">
        <f>+'D) Ecrêtage'!C292</f>
        <v>7082.7432735873799</v>
      </c>
      <c r="D292" s="300">
        <v>52057</v>
      </c>
      <c r="E292" s="322">
        <v>9605</v>
      </c>
      <c r="F292" s="300">
        <v>17518</v>
      </c>
      <c r="G292" s="322">
        <f t="shared" si="32"/>
        <v>79180</v>
      </c>
      <c r="H292" s="300">
        <f t="shared" si="33"/>
        <v>56661.946188699039</v>
      </c>
      <c r="I292" s="10">
        <f t="shared" si="34"/>
        <v>22518.053811300961</v>
      </c>
      <c r="J292" s="319">
        <f t="shared" si="35"/>
        <v>-16888.540358475722</v>
      </c>
      <c r="K292" s="14">
        <v>12507</v>
      </c>
      <c r="L292" s="10">
        <f t="shared" si="36"/>
        <v>7082.7432735873799</v>
      </c>
      <c r="M292" s="14">
        <f t="shared" si="37"/>
        <v>5424.2567264126201</v>
      </c>
      <c r="N292" s="2">
        <f t="shared" si="38"/>
        <v>-4068.1925448094653</v>
      </c>
      <c r="O292" s="136">
        <f t="shared" si="39"/>
        <v>-20956.732903285189</v>
      </c>
      <c r="P292" s="34">
        <f>O292/'D) Ecrêtage'!C292</f>
        <v>-2.9588440656088739</v>
      </c>
      <c r="Q292" s="132"/>
    </row>
    <row r="293" spans="1:17" x14ac:dyDescent="0.25">
      <c r="A293" s="50">
        <f>+'A) Base RI'!A295</f>
        <v>5912</v>
      </c>
      <c r="B293" s="308" t="str">
        <f>+'A) Base RI'!B295</f>
        <v>Démoret</v>
      </c>
      <c r="C293" s="322">
        <f>+'D) Ecrêtage'!C293</f>
        <v>3186.2414803898018</v>
      </c>
      <c r="D293" s="300">
        <v>10693</v>
      </c>
      <c r="E293" s="322">
        <v>5106</v>
      </c>
      <c r="F293" s="300">
        <v>8866</v>
      </c>
      <c r="G293" s="322">
        <f t="shared" si="32"/>
        <v>24665</v>
      </c>
      <c r="H293" s="300">
        <f t="shared" si="33"/>
        <v>25489.931843118415</v>
      </c>
      <c r="I293" s="10">
        <f t="shared" si="34"/>
        <v>0</v>
      </c>
      <c r="J293" s="319">
        <f t="shared" si="35"/>
        <v>0</v>
      </c>
      <c r="K293" s="14">
        <v>23575</v>
      </c>
      <c r="L293" s="10">
        <f t="shared" si="36"/>
        <v>3186.2414803898018</v>
      </c>
      <c r="M293" s="14">
        <f t="shared" si="37"/>
        <v>20388.758519610197</v>
      </c>
      <c r="N293" s="2">
        <f t="shared" si="38"/>
        <v>-15291.568889707647</v>
      </c>
      <c r="O293" s="136">
        <f t="shared" si="39"/>
        <v>-15291.568889707647</v>
      </c>
      <c r="P293" s="34">
        <f>O293/'D) Ecrêtage'!C293</f>
        <v>-4.7992498320738983</v>
      </c>
      <c r="Q293" s="132"/>
    </row>
    <row r="294" spans="1:17" x14ac:dyDescent="0.25">
      <c r="A294" s="50">
        <f>+'A) Base RI'!A296</f>
        <v>5913</v>
      </c>
      <c r="B294" s="308" t="str">
        <f>+'A) Base RI'!B296</f>
        <v>Donneloye</v>
      </c>
      <c r="C294" s="322">
        <f>+'D) Ecrêtage'!C294</f>
        <v>20035.3963318641</v>
      </c>
      <c r="D294" s="300">
        <v>183998</v>
      </c>
      <c r="E294" s="322">
        <v>47353</v>
      </c>
      <c r="F294" s="300">
        <v>70452</v>
      </c>
      <c r="G294" s="322">
        <f t="shared" si="32"/>
        <v>301803</v>
      </c>
      <c r="H294" s="300">
        <f t="shared" si="33"/>
        <v>160283.1706549128</v>
      </c>
      <c r="I294" s="10">
        <f t="shared" si="34"/>
        <v>141519.8293450872</v>
      </c>
      <c r="J294" s="319">
        <f t="shared" si="35"/>
        <v>-106139.87200881541</v>
      </c>
      <c r="K294" s="14">
        <v>50053</v>
      </c>
      <c r="L294" s="10">
        <f t="shared" si="36"/>
        <v>20035.3963318641</v>
      </c>
      <c r="M294" s="14">
        <f t="shared" si="37"/>
        <v>30017.6036681359</v>
      </c>
      <c r="N294" s="2">
        <f t="shared" si="38"/>
        <v>-22513.202751101926</v>
      </c>
      <c r="O294" s="136">
        <f t="shared" si="39"/>
        <v>-128653.07475991733</v>
      </c>
      <c r="P294" s="34">
        <f>O294/'D) Ecrêtage'!C294</f>
        <v>-6.4212892337601897</v>
      </c>
      <c r="Q294" s="132"/>
    </row>
    <row r="295" spans="1:17" x14ac:dyDescent="0.25">
      <c r="A295" s="50">
        <f>+'A) Base RI'!A297</f>
        <v>5914</v>
      </c>
      <c r="B295" s="308" t="str">
        <f>+'A) Base RI'!B297</f>
        <v>Ependes</v>
      </c>
      <c r="C295" s="322">
        <f>+'D) Ecrêtage'!C295</f>
        <v>10170.223624242424</v>
      </c>
      <c r="D295" s="300">
        <v>84615</v>
      </c>
      <c r="E295" s="322">
        <v>35460</v>
      </c>
      <c r="F295" s="300">
        <v>46137</v>
      </c>
      <c r="G295" s="322">
        <f t="shared" si="32"/>
        <v>166212</v>
      </c>
      <c r="H295" s="300">
        <f t="shared" si="33"/>
        <v>81361.788993939394</v>
      </c>
      <c r="I295" s="10">
        <f t="shared" si="34"/>
        <v>84850.211006060606</v>
      </c>
      <c r="J295" s="319">
        <f t="shared" si="35"/>
        <v>-63637.658254545458</v>
      </c>
      <c r="K295" s="14">
        <v>16650</v>
      </c>
      <c r="L295" s="10">
        <f t="shared" si="36"/>
        <v>10170.223624242424</v>
      </c>
      <c r="M295" s="14">
        <f t="shared" si="37"/>
        <v>6479.7763757575758</v>
      </c>
      <c r="N295" s="2">
        <f t="shared" si="38"/>
        <v>-4859.8322818181823</v>
      </c>
      <c r="O295" s="136">
        <f t="shared" si="39"/>
        <v>-68497.490536363635</v>
      </c>
      <c r="P295" s="34">
        <f>O295/'D) Ecrêtage'!C295</f>
        <v>-6.7351017113417688</v>
      </c>
      <c r="Q295" s="132"/>
    </row>
    <row r="296" spans="1:17" x14ac:dyDescent="0.25">
      <c r="A296" s="50">
        <f>+'A) Base RI'!A298</f>
        <v>5919</v>
      </c>
      <c r="B296" s="308" t="str">
        <f>+'A) Base RI'!B298</f>
        <v>Mathod</v>
      </c>
      <c r="C296" s="322">
        <f>+'D) Ecrêtage'!C296</f>
        <v>15960.347228765168</v>
      </c>
      <c r="D296" s="300">
        <v>400528</v>
      </c>
      <c r="E296" s="322">
        <v>37324</v>
      </c>
      <c r="F296" s="300">
        <v>31603</v>
      </c>
      <c r="G296" s="322">
        <f t="shared" si="32"/>
        <v>469455</v>
      </c>
      <c r="H296" s="300">
        <f t="shared" si="33"/>
        <v>127682.77783012134</v>
      </c>
      <c r="I296" s="10">
        <f t="shared" si="34"/>
        <v>341772.22216987866</v>
      </c>
      <c r="J296" s="319">
        <f t="shared" si="35"/>
        <v>-256329.16662740899</v>
      </c>
      <c r="K296" s="14">
        <v>-1854</v>
      </c>
      <c r="L296" s="10">
        <f t="shared" si="36"/>
        <v>15960.347228765168</v>
      </c>
      <c r="M296" s="14">
        <f t="shared" si="37"/>
        <v>0</v>
      </c>
      <c r="N296" s="2">
        <f t="shared" si="38"/>
        <v>0</v>
      </c>
      <c r="O296" s="136">
        <f t="shared" si="39"/>
        <v>-256329.16662740899</v>
      </c>
      <c r="P296" s="34">
        <f>O296/'D) Ecrêtage'!C296</f>
        <v>-16.060375313478744</v>
      </c>
      <c r="Q296" s="132"/>
    </row>
    <row r="297" spans="1:17" x14ac:dyDescent="0.25">
      <c r="A297" s="50">
        <f>+'A) Base RI'!A299</f>
        <v>5921</v>
      </c>
      <c r="B297" s="308" t="str">
        <f>+'A) Base RI'!B299</f>
        <v>Molondin</v>
      </c>
      <c r="C297" s="322">
        <f>+'D) Ecrêtage'!C297</f>
        <v>5323.6574375620139</v>
      </c>
      <c r="D297" s="300">
        <v>29330</v>
      </c>
      <c r="E297" s="322">
        <v>8835</v>
      </c>
      <c r="F297" s="300">
        <v>15839</v>
      </c>
      <c r="G297" s="322">
        <f t="shared" si="32"/>
        <v>54004</v>
      </c>
      <c r="H297" s="300">
        <f t="shared" si="33"/>
        <v>42589.259500496111</v>
      </c>
      <c r="I297" s="10">
        <f t="shared" si="34"/>
        <v>11414.740499503889</v>
      </c>
      <c r="J297" s="319">
        <f t="shared" si="35"/>
        <v>-8561.0553746279165</v>
      </c>
      <c r="K297" s="14">
        <v>45837</v>
      </c>
      <c r="L297" s="10">
        <f t="shared" si="36"/>
        <v>5323.6574375620139</v>
      </c>
      <c r="M297" s="14">
        <f t="shared" si="37"/>
        <v>40513.342562437989</v>
      </c>
      <c r="N297" s="2">
        <f t="shared" si="38"/>
        <v>-30385.006921828492</v>
      </c>
      <c r="O297" s="136">
        <f t="shared" si="39"/>
        <v>-38946.06229645641</v>
      </c>
      <c r="P297" s="34">
        <f>O297/'D) Ecrêtage'!C297</f>
        <v>-7.3156589719063296</v>
      </c>
      <c r="Q297" s="132"/>
    </row>
    <row r="298" spans="1:17" x14ac:dyDescent="0.25">
      <c r="A298" s="50">
        <f>+'A) Base RI'!A300</f>
        <v>5922</v>
      </c>
      <c r="B298" s="308" t="str">
        <f>+'A) Base RI'!B300</f>
        <v>Montagny-près-Yverdon</v>
      </c>
      <c r="C298" s="322">
        <f>+'D) Ecrêtage'!C298</f>
        <v>42538.107931378596</v>
      </c>
      <c r="D298" s="300">
        <v>124985</v>
      </c>
      <c r="E298" s="322">
        <v>334596</v>
      </c>
      <c r="F298" s="300">
        <v>145453</v>
      </c>
      <c r="G298" s="322">
        <f t="shared" si="32"/>
        <v>605034</v>
      </c>
      <c r="H298" s="300">
        <f t="shared" si="33"/>
        <v>340304.86345102877</v>
      </c>
      <c r="I298" s="10">
        <f t="shared" si="34"/>
        <v>264729.13654897123</v>
      </c>
      <c r="J298" s="319">
        <f t="shared" si="35"/>
        <v>-198546.85241172841</v>
      </c>
      <c r="K298" s="14">
        <v>6880</v>
      </c>
      <c r="L298" s="10">
        <f t="shared" si="36"/>
        <v>42538.107931378596</v>
      </c>
      <c r="M298" s="14">
        <f t="shared" si="37"/>
        <v>0</v>
      </c>
      <c r="N298" s="2">
        <f t="shared" si="38"/>
        <v>0</v>
      </c>
      <c r="O298" s="136">
        <f t="shared" si="39"/>
        <v>-198546.85241172841</v>
      </c>
      <c r="P298" s="34">
        <f>O298/'D) Ecrêtage'!C298</f>
        <v>-4.667505492534346</v>
      </c>
      <c r="Q298" s="132"/>
    </row>
    <row r="299" spans="1:17" x14ac:dyDescent="0.25">
      <c r="A299" s="50">
        <f>+'A) Base RI'!A301</f>
        <v>5923</v>
      </c>
      <c r="B299" s="308" t="str">
        <f>+'A) Base RI'!B301</f>
        <v>Oppens</v>
      </c>
      <c r="C299" s="322">
        <f>+'D) Ecrêtage'!C299</f>
        <v>4631.0916713851466</v>
      </c>
      <c r="D299" s="300">
        <v>40366</v>
      </c>
      <c r="E299" s="322">
        <v>11063</v>
      </c>
      <c r="F299" s="300">
        <v>16460</v>
      </c>
      <c r="G299" s="322">
        <f t="shared" si="32"/>
        <v>67889</v>
      </c>
      <c r="H299" s="300">
        <f t="shared" si="33"/>
        <v>37048.733371081173</v>
      </c>
      <c r="I299" s="10">
        <f t="shared" si="34"/>
        <v>30840.266628918827</v>
      </c>
      <c r="J299" s="319">
        <f t="shared" si="35"/>
        <v>-23130.199971689122</v>
      </c>
      <c r="K299" s="14">
        <v>33476</v>
      </c>
      <c r="L299" s="10">
        <f t="shared" si="36"/>
        <v>4631.0916713851466</v>
      </c>
      <c r="M299" s="14">
        <f t="shared" si="37"/>
        <v>28844.908328614853</v>
      </c>
      <c r="N299" s="2">
        <f t="shared" si="38"/>
        <v>-21633.681246461139</v>
      </c>
      <c r="O299" s="136">
        <f t="shared" si="39"/>
        <v>-44763.881218150258</v>
      </c>
      <c r="P299" s="34">
        <f>O299/'D) Ecrêtage'!C299</f>
        <v>-9.665945827576655</v>
      </c>
      <c r="Q299" s="132"/>
    </row>
    <row r="300" spans="1:17" x14ac:dyDescent="0.25">
      <c r="A300" s="50">
        <f>+'A) Base RI'!A302</f>
        <v>5924</v>
      </c>
      <c r="B300" s="308" t="str">
        <f>+'A) Base RI'!B302</f>
        <v>Orges</v>
      </c>
      <c r="C300" s="322">
        <f>+'D) Ecrêtage'!C300</f>
        <v>10396.618626656635</v>
      </c>
      <c r="D300" s="300">
        <v>31103</v>
      </c>
      <c r="E300" s="322">
        <v>11833</v>
      </c>
      <c r="F300" s="300">
        <v>40169</v>
      </c>
      <c r="G300" s="322">
        <f t="shared" si="32"/>
        <v>83105</v>
      </c>
      <c r="H300" s="300">
        <f t="shared" si="33"/>
        <v>83172.949013253077</v>
      </c>
      <c r="I300" s="10">
        <f t="shared" si="34"/>
        <v>0</v>
      </c>
      <c r="J300" s="319">
        <f t="shared" si="35"/>
        <v>0</v>
      </c>
      <c r="K300" s="14">
        <v>1324</v>
      </c>
      <c r="L300" s="10">
        <f t="shared" si="36"/>
        <v>10396.618626656635</v>
      </c>
      <c r="M300" s="14">
        <f t="shared" si="37"/>
        <v>0</v>
      </c>
      <c r="N300" s="2">
        <f t="shared" si="38"/>
        <v>0</v>
      </c>
      <c r="O300" s="136">
        <f t="shared" si="39"/>
        <v>0</v>
      </c>
      <c r="P300" s="34">
        <f>O300/'D) Ecrêtage'!C300</f>
        <v>0</v>
      </c>
      <c r="Q300" s="132"/>
    </row>
    <row r="301" spans="1:17" x14ac:dyDescent="0.25">
      <c r="A301" s="50">
        <f>+'A) Base RI'!A303</f>
        <v>5925</v>
      </c>
      <c r="B301" s="308" t="str">
        <f>+'A) Base RI'!B303</f>
        <v>Orzens</v>
      </c>
      <c r="C301" s="322">
        <f>+'D) Ecrêtage'!C301</f>
        <v>4755.0256411268865</v>
      </c>
      <c r="D301" s="300">
        <v>13896</v>
      </c>
      <c r="E301" s="322">
        <v>12158</v>
      </c>
      <c r="F301" s="300">
        <v>18088</v>
      </c>
      <c r="G301" s="322">
        <f t="shared" si="32"/>
        <v>44142</v>
      </c>
      <c r="H301" s="300">
        <f t="shared" si="33"/>
        <v>38040.205129015092</v>
      </c>
      <c r="I301" s="10">
        <f t="shared" si="34"/>
        <v>6101.7948709849079</v>
      </c>
      <c r="J301" s="319">
        <f t="shared" si="35"/>
        <v>-4576.3461532386809</v>
      </c>
      <c r="K301" s="14">
        <v>13379</v>
      </c>
      <c r="L301" s="10">
        <f t="shared" si="36"/>
        <v>4755.0256411268865</v>
      </c>
      <c r="M301" s="14">
        <f t="shared" si="37"/>
        <v>8623.9743588731144</v>
      </c>
      <c r="N301" s="2">
        <f t="shared" si="38"/>
        <v>-6467.9807691548358</v>
      </c>
      <c r="O301" s="136">
        <f t="shared" si="39"/>
        <v>-11044.326922393517</v>
      </c>
      <c r="P301" s="34">
        <f>O301/'D) Ecrêtage'!C301</f>
        <v>-2.3226640098151266</v>
      </c>
      <c r="Q301" s="132"/>
    </row>
    <row r="302" spans="1:17" x14ac:dyDescent="0.25">
      <c r="A302" s="50">
        <f>+'A) Base RI'!A304</f>
        <v>5926</v>
      </c>
      <c r="B302" s="308" t="str">
        <f>+'A) Base RI'!B304</f>
        <v>Pomy</v>
      </c>
      <c r="C302" s="322">
        <f>+'D) Ecrêtage'!C302</f>
        <v>23259.861194280857</v>
      </c>
      <c r="D302" s="300">
        <v>96966</v>
      </c>
      <c r="E302" s="322">
        <v>46198</v>
      </c>
      <c r="F302" s="300">
        <v>75622</v>
      </c>
      <c r="G302" s="322">
        <f t="shared" si="32"/>
        <v>218786</v>
      </c>
      <c r="H302" s="300">
        <f t="shared" si="33"/>
        <v>186078.88955424685</v>
      </c>
      <c r="I302" s="10">
        <f t="shared" si="34"/>
        <v>32707.110445753147</v>
      </c>
      <c r="J302" s="319">
        <f t="shared" si="35"/>
        <v>-24530.332834314861</v>
      </c>
      <c r="K302" s="14">
        <v>39352</v>
      </c>
      <c r="L302" s="10">
        <f t="shared" si="36"/>
        <v>23259.861194280857</v>
      </c>
      <c r="M302" s="14">
        <f t="shared" si="37"/>
        <v>16092.138805719143</v>
      </c>
      <c r="N302" s="2">
        <f t="shared" si="38"/>
        <v>-12069.104104289358</v>
      </c>
      <c r="O302" s="136">
        <f t="shared" si="39"/>
        <v>-36599.436938604216</v>
      </c>
      <c r="P302" s="34">
        <f>O302/'D) Ecrêtage'!C302</f>
        <v>-1.5735019496850351</v>
      </c>
      <c r="Q302" s="132"/>
    </row>
    <row r="303" spans="1:17" x14ac:dyDescent="0.25">
      <c r="A303" s="50">
        <f>+'A) Base RI'!A305</f>
        <v>5928</v>
      </c>
      <c r="B303" s="308" t="str">
        <f>+'A) Base RI'!B305</f>
        <v>Rovray</v>
      </c>
      <c r="C303" s="322">
        <f>+'D) Ecrêtage'!C303</f>
        <v>4486.3585880513701</v>
      </c>
      <c r="D303" s="300">
        <v>30330</v>
      </c>
      <c r="E303" s="322">
        <v>6970</v>
      </c>
      <c r="F303" s="300">
        <v>16630</v>
      </c>
      <c r="G303" s="322">
        <f t="shared" si="32"/>
        <v>53930</v>
      </c>
      <c r="H303" s="300">
        <f t="shared" si="33"/>
        <v>35890.868704410961</v>
      </c>
      <c r="I303" s="10">
        <f t="shared" si="34"/>
        <v>18039.131295589039</v>
      </c>
      <c r="J303" s="319">
        <f t="shared" si="35"/>
        <v>-13529.348471691779</v>
      </c>
      <c r="K303" s="14">
        <v>2042</v>
      </c>
      <c r="L303" s="10">
        <f t="shared" si="36"/>
        <v>4486.3585880513701</v>
      </c>
      <c r="M303" s="14">
        <f t="shared" si="37"/>
        <v>0</v>
      </c>
      <c r="N303" s="2">
        <f t="shared" si="38"/>
        <v>0</v>
      </c>
      <c r="O303" s="136">
        <f t="shared" si="39"/>
        <v>-13529.348471691779</v>
      </c>
      <c r="P303" s="34">
        <f>O303/'D) Ecrêtage'!C303</f>
        <v>-3.0156636403797119</v>
      </c>
      <c r="Q303" s="132"/>
    </row>
    <row r="304" spans="1:17" x14ac:dyDescent="0.25">
      <c r="A304" s="50">
        <f>+'A) Base RI'!A306</f>
        <v>5929</v>
      </c>
      <c r="B304" s="308" t="str">
        <f>+'A) Base RI'!B306</f>
        <v>Suchy</v>
      </c>
      <c r="C304" s="322">
        <f>+'D) Ecrêtage'!C304</f>
        <v>17021.216382984901</v>
      </c>
      <c r="D304" s="300">
        <v>30767</v>
      </c>
      <c r="E304" s="322">
        <v>24558</v>
      </c>
      <c r="F304" s="300">
        <v>86783</v>
      </c>
      <c r="G304" s="322">
        <f t="shared" si="32"/>
        <v>142108</v>
      </c>
      <c r="H304" s="300">
        <f t="shared" si="33"/>
        <v>136169.73106387921</v>
      </c>
      <c r="I304" s="10">
        <f t="shared" si="34"/>
        <v>5938.2689361207886</v>
      </c>
      <c r="J304" s="319">
        <f t="shared" si="35"/>
        <v>-4453.7017020905914</v>
      </c>
      <c r="K304" s="14">
        <v>37800</v>
      </c>
      <c r="L304" s="10">
        <f t="shared" si="36"/>
        <v>17021.216382984901</v>
      </c>
      <c r="M304" s="14">
        <f t="shared" si="37"/>
        <v>20778.783617015099</v>
      </c>
      <c r="N304" s="2">
        <f t="shared" si="38"/>
        <v>-15584.087712761324</v>
      </c>
      <c r="O304" s="136">
        <f t="shared" si="39"/>
        <v>-20037.789414851915</v>
      </c>
      <c r="P304" s="34">
        <f>O304/'D) Ecrêtage'!C304</f>
        <v>-1.1772242925530576</v>
      </c>
      <c r="Q304" s="132"/>
    </row>
    <row r="305" spans="1:17" x14ac:dyDescent="0.25">
      <c r="A305" s="50">
        <f>+'A) Base RI'!A307</f>
        <v>5930</v>
      </c>
      <c r="B305" s="308" t="str">
        <f>+'A) Base RI'!B307</f>
        <v>Suscévaz</v>
      </c>
      <c r="C305" s="322">
        <f>+'D) Ecrêtage'!C305</f>
        <v>5363.6524098848004</v>
      </c>
      <c r="D305" s="300">
        <v>65827</v>
      </c>
      <c r="E305" s="322">
        <v>12280</v>
      </c>
      <c r="F305" s="300">
        <v>10783</v>
      </c>
      <c r="G305" s="322">
        <f t="shared" si="32"/>
        <v>88890</v>
      </c>
      <c r="H305" s="300">
        <f t="shared" si="33"/>
        <v>42909.219279078403</v>
      </c>
      <c r="I305" s="10">
        <f t="shared" si="34"/>
        <v>45980.780720921597</v>
      </c>
      <c r="J305" s="319">
        <f t="shared" si="35"/>
        <v>-34485.585540691201</v>
      </c>
      <c r="K305" s="14">
        <v>1798</v>
      </c>
      <c r="L305" s="10">
        <f t="shared" si="36"/>
        <v>5363.6524098848004</v>
      </c>
      <c r="M305" s="14">
        <f t="shared" si="37"/>
        <v>0</v>
      </c>
      <c r="N305" s="2">
        <f t="shared" si="38"/>
        <v>0</v>
      </c>
      <c r="O305" s="136">
        <f t="shared" si="39"/>
        <v>-34485.585540691201</v>
      </c>
      <c r="P305" s="34">
        <f>O305/'D) Ecrêtage'!C305</f>
        <v>-6.4294967133099288</v>
      </c>
      <c r="Q305" s="132"/>
    </row>
    <row r="306" spans="1:17" x14ac:dyDescent="0.25">
      <c r="A306" s="50">
        <f>+'A) Base RI'!A308</f>
        <v>5931</v>
      </c>
      <c r="B306" s="308" t="str">
        <f>+'A) Base RI'!B308</f>
        <v>Treycovagnes</v>
      </c>
      <c r="C306" s="322">
        <f>+'D) Ecrêtage'!C306</f>
        <v>13443.123228865978</v>
      </c>
      <c r="D306" s="300">
        <v>79500</v>
      </c>
      <c r="E306" s="322">
        <v>27111</v>
      </c>
      <c r="F306" s="300">
        <v>20434</v>
      </c>
      <c r="G306" s="322">
        <f t="shared" si="32"/>
        <v>127045</v>
      </c>
      <c r="H306" s="300">
        <f t="shared" si="33"/>
        <v>107544.98583092782</v>
      </c>
      <c r="I306" s="10">
        <f t="shared" si="34"/>
        <v>19500.014169072179</v>
      </c>
      <c r="J306" s="319">
        <f t="shared" si="35"/>
        <v>-14625.010626804135</v>
      </c>
      <c r="K306" s="14">
        <v>827</v>
      </c>
      <c r="L306" s="10">
        <f t="shared" si="36"/>
        <v>13443.123228865978</v>
      </c>
      <c r="M306" s="14">
        <f t="shared" si="37"/>
        <v>0</v>
      </c>
      <c r="N306" s="2">
        <f t="shared" si="38"/>
        <v>0</v>
      </c>
      <c r="O306" s="136">
        <f t="shared" si="39"/>
        <v>-14625.010626804135</v>
      </c>
      <c r="P306" s="34">
        <f>O306/'D) Ecrêtage'!C306</f>
        <v>-1.0879176198727636</v>
      </c>
      <c r="Q306" s="132"/>
    </row>
    <row r="307" spans="1:17" x14ac:dyDescent="0.25">
      <c r="A307" s="50">
        <f>+'A) Base RI'!A309</f>
        <v>5932</v>
      </c>
      <c r="B307" s="308" t="str">
        <f>+'A) Base RI'!B309</f>
        <v>Ursins</v>
      </c>
      <c r="C307" s="322">
        <f>+'D) Ecrêtage'!C307</f>
        <v>6855.3003269100209</v>
      </c>
      <c r="D307" s="300">
        <v>28081</v>
      </c>
      <c r="E307" s="322">
        <v>8510</v>
      </c>
      <c r="F307" s="300">
        <v>8603</v>
      </c>
      <c r="G307" s="322">
        <f t="shared" si="32"/>
        <v>45194</v>
      </c>
      <c r="H307" s="300">
        <f t="shared" si="33"/>
        <v>54842.402615280167</v>
      </c>
      <c r="I307" s="10">
        <f t="shared" si="34"/>
        <v>0</v>
      </c>
      <c r="J307" s="319">
        <f t="shared" si="35"/>
        <v>0</v>
      </c>
      <c r="K307" s="14">
        <v>15161</v>
      </c>
      <c r="L307" s="10">
        <f t="shared" si="36"/>
        <v>6855.3003269100209</v>
      </c>
      <c r="M307" s="14">
        <f t="shared" si="37"/>
        <v>8305.6996730899791</v>
      </c>
      <c r="N307" s="2">
        <f t="shared" si="38"/>
        <v>-6229.2747548174848</v>
      </c>
      <c r="O307" s="136">
        <f t="shared" si="39"/>
        <v>-6229.2747548174848</v>
      </c>
      <c r="P307" s="34">
        <f>O307/'D) Ecrêtage'!C307</f>
        <v>-0.90868006619124841</v>
      </c>
      <c r="Q307" s="132"/>
    </row>
    <row r="308" spans="1:17" x14ac:dyDescent="0.25">
      <c r="A308" s="50">
        <f>+'A) Base RI'!A310</f>
        <v>5933</v>
      </c>
      <c r="B308" s="308" t="str">
        <f>+'A) Base RI'!B310</f>
        <v>Valeyres-sous-Montagny</v>
      </c>
      <c r="C308" s="322">
        <f>+'D) Ecrêtage'!C308</f>
        <v>20669.421262090575</v>
      </c>
      <c r="D308" s="300">
        <v>388275</v>
      </c>
      <c r="E308" s="322">
        <v>69805</v>
      </c>
      <c r="F308" s="300">
        <v>85931</v>
      </c>
      <c r="G308" s="322">
        <f t="shared" si="32"/>
        <v>544011</v>
      </c>
      <c r="H308" s="300">
        <f t="shared" si="33"/>
        <v>165355.3700967246</v>
      </c>
      <c r="I308" s="10">
        <f t="shared" si="34"/>
        <v>378655.6299032754</v>
      </c>
      <c r="J308" s="319">
        <f t="shared" si="35"/>
        <v>-283991.72242745652</v>
      </c>
      <c r="K308" s="14">
        <v>6224</v>
      </c>
      <c r="L308" s="10">
        <f t="shared" si="36"/>
        <v>20669.421262090575</v>
      </c>
      <c r="M308" s="14">
        <f t="shared" si="37"/>
        <v>0</v>
      </c>
      <c r="N308" s="2">
        <f t="shared" si="38"/>
        <v>0</v>
      </c>
      <c r="O308" s="136">
        <f t="shared" si="39"/>
        <v>-283991.72242745652</v>
      </c>
      <c r="P308" s="34">
        <f>O308/'D) Ecrêtage'!C308</f>
        <v>-13.739703634001634</v>
      </c>
      <c r="Q308" s="132"/>
    </row>
    <row r="309" spans="1:17" x14ac:dyDescent="0.25">
      <c r="A309" s="50">
        <f>+'A) Base RI'!A311</f>
        <v>5934</v>
      </c>
      <c r="B309" s="308" t="str">
        <f>+'A) Base RI'!B311</f>
        <v>Valeyres-sous-Ursins</v>
      </c>
      <c r="C309" s="322">
        <f>+'D) Ecrêtage'!C309</f>
        <v>6791.6761133712571</v>
      </c>
      <c r="D309" s="300">
        <v>20668</v>
      </c>
      <c r="E309" s="322">
        <v>10010</v>
      </c>
      <c r="F309" s="300">
        <v>12357</v>
      </c>
      <c r="G309" s="322">
        <f t="shared" si="32"/>
        <v>43035</v>
      </c>
      <c r="H309" s="300">
        <f t="shared" si="33"/>
        <v>54333.408906970057</v>
      </c>
      <c r="I309" s="10">
        <f t="shared" si="34"/>
        <v>0</v>
      </c>
      <c r="J309" s="319">
        <f t="shared" si="35"/>
        <v>0</v>
      </c>
      <c r="K309" s="14">
        <v>14324</v>
      </c>
      <c r="L309" s="10">
        <f t="shared" si="36"/>
        <v>6791.6761133712571</v>
      </c>
      <c r="M309" s="14">
        <f t="shared" si="37"/>
        <v>7532.3238866287429</v>
      </c>
      <c r="N309" s="2">
        <f t="shared" si="38"/>
        <v>-5649.2429149715572</v>
      </c>
      <c r="O309" s="136">
        <f t="shared" si="39"/>
        <v>-5649.2429149715572</v>
      </c>
      <c r="P309" s="34">
        <f>O309/'D) Ecrêtage'!C309</f>
        <v>-0.83178921089147495</v>
      </c>
      <c r="Q309" s="132"/>
    </row>
    <row r="310" spans="1:17" x14ac:dyDescent="0.25">
      <c r="A310" s="50">
        <f>+'A) Base RI'!A312</f>
        <v>5935</v>
      </c>
      <c r="B310" s="308" t="str">
        <f>+'A) Base RI'!B312</f>
        <v>Villars-Epeney</v>
      </c>
      <c r="C310" s="322">
        <f>+'D) Ecrêtage'!C310</f>
        <v>5529.6840523560213</v>
      </c>
      <c r="D310" s="300">
        <v>15116</v>
      </c>
      <c r="E310" s="322">
        <v>4255</v>
      </c>
      <c r="F310" s="300">
        <v>8053</v>
      </c>
      <c r="G310" s="322">
        <f t="shared" si="32"/>
        <v>27424</v>
      </c>
      <c r="H310" s="300">
        <f t="shared" si="33"/>
        <v>44237.47241884817</v>
      </c>
      <c r="I310" s="10">
        <f t="shared" si="34"/>
        <v>0</v>
      </c>
      <c r="J310" s="319">
        <f t="shared" si="35"/>
        <v>0</v>
      </c>
      <c r="K310" s="14">
        <v>26780</v>
      </c>
      <c r="L310" s="10">
        <f t="shared" si="36"/>
        <v>5529.6840523560213</v>
      </c>
      <c r="M310" s="14">
        <f t="shared" si="37"/>
        <v>21250.31594764398</v>
      </c>
      <c r="N310" s="2">
        <f t="shared" si="38"/>
        <v>-15937.736960732986</v>
      </c>
      <c r="O310" s="136">
        <f t="shared" si="39"/>
        <v>-15937.736960732986</v>
      </c>
      <c r="P310" s="34">
        <f>O310/'D) Ecrêtage'!C310</f>
        <v>-2.8822147540133738</v>
      </c>
      <c r="Q310" s="132"/>
    </row>
    <row r="311" spans="1:17" x14ac:dyDescent="0.25">
      <c r="A311" s="50">
        <f>+'A) Base RI'!A313</f>
        <v>5937</v>
      </c>
      <c r="B311" s="308" t="str">
        <f>+'A) Base RI'!B313</f>
        <v>Vugelles-La Mothe</v>
      </c>
      <c r="C311" s="322">
        <f>+'D) Ecrêtage'!C311</f>
        <v>2865.8382395608655</v>
      </c>
      <c r="D311" s="300">
        <v>31737</v>
      </c>
      <c r="E311" s="322">
        <v>5430</v>
      </c>
      <c r="F311" s="300">
        <v>21671</v>
      </c>
      <c r="G311" s="322">
        <f t="shared" si="32"/>
        <v>58838</v>
      </c>
      <c r="H311" s="300">
        <f t="shared" si="33"/>
        <v>22926.705916486924</v>
      </c>
      <c r="I311" s="10">
        <f t="shared" si="34"/>
        <v>35911.294083513072</v>
      </c>
      <c r="J311" s="319">
        <f t="shared" si="35"/>
        <v>-26933.470562634804</v>
      </c>
      <c r="K311" s="14">
        <v>5367</v>
      </c>
      <c r="L311" s="10">
        <f t="shared" si="36"/>
        <v>2865.8382395608655</v>
      </c>
      <c r="M311" s="14">
        <f t="shared" si="37"/>
        <v>2501.1617604391345</v>
      </c>
      <c r="N311" s="2">
        <f t="shared" si="38"/>
        <v>-1875.871320329351</v>
      </c>
      <c r="O311" s="136">
        <f t="shared" si="39"/>
        <v>-28809.341882964156</v>
      </c>
      <c r="P311" s="34">
        <f>O311/'D) Ecrêtage'!C311</f>
        <v>-10.052675508781903</v>
      </c>
      <c r="Q311" s="132"/>
    </row>
    <row r="312" spans="1:17" x14ac:dyDescent="0.25">
      <c r="A312" s="50">
        <f>+'A) Base RI'!A314</f>
        <v>5938</v>
      </c>
      <c r="B312" s="308" t="str">
        <f>+'A) Base RI'!B314</f>
        <v>Yverdon-les-Bains</v>
      </c>
      <c r="C312" s="322">
        <f>+'D) Ecrêtage'!C312</f>
        <v>774260.97307948919</v>
      </c>
      <c r="D312" s="300">
        <v>8962319</v>
      </c>
      <c r="E312" s="322">
        <v>7031994</v>
      </c>
      <c r="F312" s="300">
        <v>753650</v>
      </c>
      <c r="G312" s="322">
        <f t="shared" si="32"/>
        <v>16747963</v>
      </c>
      <c r="H312" s="300">
        <f t="shared" si="33"/>
        <v>6194087.7846359136</v>
      </c>
      <c r="I312" s="10">
        <f t="shared" si="34"/>
        <v>10553875.215364087</v>
      </c>
      <c r="J312" s="319">
        <f t="shared" si="35"/>
        <v>-7915406.4115230655</v>
      </c>
      <c r="K312" s="14">
        <v>242311</v>
      </c>
      <c r="L312" s="10">
        <f t="shared" si="36"/>
        <v>774260.97307948919</v>
      </c>
      <c r="M312" s="14">
        <f t="shared" si="37"/>
        <v>0</v>
      </c>
      <c r="N312" s="2">
        <f t="shared" si="38"/>
        <v>0</v>
      </c>
      <c r="O312" s="136">
        <f t="shared" si="39"/>
        <v>-7915406.4115230655</v>
      </c>
      <c r="P312" s="34">
        <f>O312/'D) Ecrêtage'!C312</f>
        <v>-10.223176276134524</v>
      </c>
      <c r="Q312" s="132"/>
    </row>
    <row r="313" spans="1:17" x14ac:dyDescent="0.25">
      <c r="A313" s="50">
        <f>+'A) Base RI'!A315</f>
        <v>5939</v>
      </c>
      <c r="B313" s="308" t="str">
        <f>+'A) Base RI'!B315</f>
        <v>Yvonand</v>
      </c>
      <c r="C313" s="322">
        <f>+'D) Ecrêtage'!C313</f>
        <v>92761.457314991218</v>
      </c>
      <c r="D313" s="300">
        <v>549701</v>
      </c>
      <c r="E313" s="322">
        <v>327849</v>
      </c>
      <c r="F313" s="300">
        <v>299162</v>
      </c>
      <c r="G313" s="322">
        <f t="shared" si="32"/>
        <v>1176712</v>
      </c>
      <c r="H313" s="300">
        <f t="shared" si="33"/>
        <v>742091.65851992974</v>
      </c>
      <c r="I313" s="10">
        <f t="shared" si="34"/>
        <v>434620.34148007026</v>
      </c>
      <c r="J313" s="319">
        <f t="shared" si="35"/>
        <v>-325965.25611005269</v>
      </c>
      <c r="K313" s="74">
        <v>135713</v>
      </c>
      <c r="L313" s="19">
        <f t="shared" si="36"/>
        <v>92761.457314991218</v>
      </c>
      <c r="M313" s="74">
        <f t="shared" si="37"/>
        <v>42951.542685008782</v>
      </c>
      <c r="N313" s="137">
        <f t="shared" si="38"/>
        <v>-32213.657013756587</v>
      </c>
      <c r="O313" s="138">
        <f t="shared" si="39"/>
        <v>-358178.91312380927</v>
      </c>
      <c r="P313" s="34">
        <f>O313/'D) Ecrêtage'!C313</f>
        <v>-3.861290276063007</v>
      </c>
      <c r="Q313" s="132"/>
    </row>
    <row r="314" spans="1:17" x14ac:dyDescent="0.25">
      <c r="A314" s="82"/>
      <c r="B314" s="315">
        <f>COUNTA(B5:B313)</f>
        <v>309</v>
      </c>
      <c r="C314" s="11">
        <f t="shared" ref="C314:N314" si="40">SUM(C5:C313)</f>
        <v>35922747.174706832</v>
      </c>
      <c r="D314" s="316">
        <f t="shared" si="40"/>
        <v>253339545</v>
      </c>
      <c r="E314" s="11">
        <f t="shared" si="40"/>
        <v>153325569</v>
      </c>
      <c r="F314" s="316">
        <f t="shared" si="40"/>
        <v>42669125</v>
      </c>
      <c r="G314" s="11">
        <f t="shared" si="40"/>
        <v>449334239</v>
      </c>
      <c r="H314" s="316">
        <f t="shared" si="40"/>
        <v>287381977.39765465</v>
      </c>
      <c r="I314" s="11">
        <f t="shared" si="40"/>
        <v>194529475.83941323</v>
      </c>
      <c r="J314" s="320">
        <f t="shared" si="40"/>
        <v>-145897106.87955976</v>
      </c>
      <c r="K314" s="125">
        <f t="shared" si="40"/>
        <v>22084942</v>
      </c>
      <c r="L314" s="19">
        <f t="shared" si="40"/>
        <v>35922747.174706832</v>
      </c>
      <c r="M314" s="11">
        <f t="shared" si="40"/>
        <v>8266138.3922341755</v>
      </c>
      <c r="N314" s="137">
        <f t="shared" si="40"/>
        <v>-6199603.794175636</v>
      </c>
      <c r="O314" s="38">
        <f>SUM(O5:O313)</f>
        <v>-152096710.67373553</v>
      </c>
      <c r="P314" s="20">
        <f>O314/'D) Ecrêtage'!C314</f>
        <v>-4.2339944084462076</v>
      </c>
    </row>
  </sheetData>
  <mergeCells count="10">
    <mergeCell ref="D3:D4"/>
    <mergeCell ref="C3:C4"/>
    <mergeCell ref="B3:B4"/>
    <mergeCell ref="A3:A4"/>
    <mergeCell ref="L3:L4"/>
    <mergeCell ref="K3:K4"/>
    <mergeCell ref="H3:H4"/>
    <mergeCell ref="G3:G4"/>
    <mergeCell ref="F3:F4"/>
    <mergeCell ref="E3:E4"/>
  </mergeCells>
  <phoneticPr fontId="0" type="noConversion"/>
  <printOptions horizontalCentered="1"/>
  <pageMargins left="0" right="0" top="0" bottom="0" header="0.51181102362204722" footer="0.51181102362204722"/>
  <pageSetup paperSize="9" scale="64" orientation="landscape"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rgb="FF00B050"/>
  </sheetPr>
  <dimension ref="A1:Y320"/>
  <sheetViews>
    <sheetView workbookViewId="0">
      <pane ySplit="4" topLeftCell="A5" activePane="bottomLeft" state="frozen"/>
      <selection pane="bottomLeft" activeCell="A5" sqref="A5"/>
    </sheetView>
  </sheetViews>
  <sheetFormatPr baseColWidth="10" defaultColWidth="10.75" defaultRowHeight="15" x14ac:dyDescent="0.25"/>
  <cols>
    <col min="1" max="1" width="7.25" style="13" customWidth="1"/>
    <col min="2" max="2" width="19.875" style="13" customWidth="1"/>
    <col min="3" max="4" width="10" style="13" customWidth="1"/>
    <col min="5" max="5" width="11.125" style="13" customWidth="1"/>
    <col min="6" max="7" width="10" style="13" customWidth="1"/>
    <col min="8" max="8" width="10" style="145" customWidth="1"/>
    <col min="9" max="9" width="10" style="13" customWidth="1"/>
    <col min="10" max="10" width="10" style="15" customWidth="1"/>
    <col min="11" max="11" width="12.125" style="15" customWidth="1"/>
    <col min="12" max="14" width="12.125" style="13" customWidth="1"/>
    <col min="15" max="17" width="8.125" style="13" customWidth="1"/>
    <col min="18" max="16384" width="10.75" style="13"/>
  </cols>
  <sheetData>
    <row r="1" spans="1:25" s="44" customFormat="1" ht="21" x14ac:dyDescent="0.25">
      <c r="A1" s="52" t="s">
        <v>211</v>
      </c>
      <c r="B1" s="43"/>
      <c r="C1" s="72"/>
      <c r="D1" s="72"/>
      <c r="E1" s="72"/>
      <c r="F1" s="72"/>
      <c r="G1" s="72"/>
      <c r="H1" s="144"/>
      <c r="I1" s="72"/>
      <c r="J1" s="139"/>
      <c r="K1" s="140"/>
      <c r="L1" s="60"/>
      <c r="N1" s="13"/>
      <c r="O1" s="13"/>
      <c r="P1" s="13"/>
      <c r="Q1" s="13"/>
      <c r="R1" s="13"/>
      <c r="Y1" s="13"/>
    </row>
    <row r="3" spans="1:25" ht="30" x14ac:dyDescent="0.25">
      <c r="A3" s="485" t="s">
        <v>46</v>
      </c>
      <c r="B3" s="485" t="s">
        <v>96</v>
      </c>
      <c r="C3" s="485" t="s">
        <v>371</v>
      </c>
      <c r="D3" s="485" t="s">
        <v>93</v>
      </c>
      <c r="E3" s="485" t="s">
        <v>328</v>
      </c>
      <c r="F3" s="485" t="s">
        <v>369</v>
      </c>
      <c r="G3" s="501" t="s">
        <v>358</v>
      </c>
      <c r="H3" s="146" t="s">
        <v>146</v>
      </c>
      <c r="I3" s="499" t="s">
        <v>372</v>
      </c>
      <c r="J3" s="506" t="s">
        <v>340</v>
      </c>
    </row>
    <row r="4" spans="1:25" x14ac:dyDescent="0.25">
      <c r="A4" s="486"/>
      <c r="B4" s="487"/>
      <c r="C4" s="486"/>
      <c r="D4" s="487"/>
      <c r="E4" s="486"/>
      <c r="F4" s="487"/>
      <c r="G4" s="512"/>
      <c r="H4" s="273">
        <f>Paramètres!B47</f>
        <v>45</v>
      </c>
      <c r="I4" s="511"/>
      <c r="J4" s="507"/>
    </row>
    <row r="5" spans="1:25" x14ac:dyDescent="0.25">
      <c r="A5" s="47">
        <f>'A) Base RI'!A7</f>
        <v>5401</v>
      </c>
      <c r="B5" s="308" t="str">
        <f>'A) Base RI'!B7</f>
        <v>Aigle</v>
      </c>
      <c r="C5" s="98">
        <f>'B) D RI'!U7</f>
        <v>263862.68069135805</v>
      </c>
      <c r="D5" s="115">
        <f>'E) Fact soc'!G11/C5</f>
        <v>20.630062609131965</v>
      </c>
      <c r="E5" s="141">
        <f>'H) Péréquation directe'!I16/C5</f>
        <v>-12.89685276784415</v>
      </c>
      <c r="F5" s="115">
        <f>+'I) Dépenses thématiques'!O5/'J) Plafonnement effort'!C5</f>
        <v>-9.215085471588516</v>
      </c>
      <c r="G5" s="141">
        <f>SUM(D5:F5)</f>
        <v>-1.481875630300701</v>
      </c>
      <c r="H5" s="323">
        <f t="shared" ref="H5" si="0">IF(G5&gt;H$4,H$4-G5,0)</f>
        <v>0</v>
      </c>
      <c r="I5" s="104">
        <f>H5*C5</f>
        <v>0</v>
      </c>
      <c r="J5" s="91">
        <f>G5+H5</f>
        <v>-1.481875630300701</v>
      </c>
    </row>
    <row r="6" spans="1:25" x14ac:dyDescent="0.25">
      <c r="A6" s="50">
        <f>'A) Base RI'!A8</f>
        <v>5402</v>
      </c>
      <c r="B6" s="308" t="str">
        <f>'A) Base RI'!B8</f>
        <v>Bex</v>
      </c>
      <c r="C6" s="99">
        <f>'B) D RI'!U8</f>
        <v>173630.8553521127</v>
      </c>
      <c r="D6" s="115">
        <f>'E) Fact soc'!G12/C6</f>
        <v>20.888969836083213</v>
      </c>
      <c r="E6" s="142">
        <f>'H) Péréquation directe'!I17/C6</f>
        <v>-19.927076465586282</v>
      </c>
      <c r="F6" s="115">
        <f>+'I) Dépenses thématiques'!O6/'J) Plafonnement effort'!C6</f>
        <v>-10.870705972999589</v>
      </c>
      <c r="G6" s="142">
        <f t="shared" ref="G6:G69" si="1">SUM(D6:F6)</f>
        <v>-9.9088126025026586</v>
      </c>
      <c r="H6" s="323">
        <f t="shared" ref="H6:H69" si="2">IF(G6&gt;H$4,H$4-G6,0)</f>
        <v>0</v>
      </c>
      <c r="I6" s="58">
        <f t="shared" ref="I6:I69" si="3">H6*C6</f>
        <v>0</v>
      </c>
      <c r="J6" s="34">
        <f t="shared" ref="J6:J69" si="4">G6+H6</f>
        <v>-9.9088126025026586</v>
      </c>
    </row>
    <row r="7" spans="1:25" x14ac:dyDescent="0.25">
      <c r="A7" s="50">
        <f>'A) Base RI'!A9</f>
        <v>5403</v>
      </c>
      <c r="B7" s="308" t="str">
        <f>'A) Base RI'!B9</f>
        <v>Chessel</v>
      </c>
      <c r="C7" s="99">
        <f>'B) D RI'!U9</f>
        <v>9734.1508108108119</v>
      </c>
      <c r="D7" s="115">
        <f>'E) Fact soc'!G13/C7</f>
        <v>19.435592514425302</v>
      </c>
      <c r="E7" s="142">
        <f>'H) Péréquation directe'!I18/C7</f>
        <v>-4.1108583202789051</v>
      </c>
      <c r="F7" s="115">
        <f>+'I) Dépenses thématiques'!O7/'J) Plafonnement effort'!C7</f>
        <v>-3.5515919877295747</v>
      </c>
      <c r="G7" s="142">
        <f t="shared" si="1"/>
        <v>11.773142206416823</v>
      </c>
      <c r="H7" s="323">
        <f t="shared" si="2"/>
        <v>0</v>
      </c>
      <c r="I7" s="58">
        <f t="shared" si="3"/>
        <v>0</v>
      </c>
      <c r="J7" s="34">
        <f t="shared" si="4"/>
        <v>11.773142206416823</v>
      </c>
    </row>
    <row r="8" spans="1:25" x14ac:dyDescent="0.25">
      <c r="A8" s="50">
        <f>'A) Base RI'!A10</f>
        <v>5404</v>
      </c>
      <c r="B8" s="308" t="str">
        <f>'A) Base RI'!B10</f>
        <v>Corbeyrier</v>
      </c>
      <c r="C8" s="99">
        <f>'B) D RI'!U10</f>
        <v>10864.664095238095</v>
      </c>
      <c r="D8" s="115">
        <f>'E) Fact soc'!G14/C8</f>
        <v>33.943069338762825</v>
      </c>
      <c r="E8" s="142">
        <f>'H) Péréquation directe'!I19/C8</f>
        <v>-0.92625997612138378</v>
      </c>
      <c r="F8" s="115">
        <f>+'I) Dépenses thématiques'!O8/'J) Plafonnement effort'!C8</f>
        <v>-20.493272079596998</v>
      </c>
      <c r="G8" s="142">
        <f t="shared" si="1"/>
        <v>12.52353728304444</v>
      </c>
      <c r="H8" s="323">
        <f t="shared" si="2"/>
        <v>0</v>
      </c>
      <c r="I8" s="58">
        <f t="shared" si="3"/>
        <v>0</v>
      </c>
      <c r="J8" s="34">
        <f t="shared" si="4"/>
        <v>12.52353728304444</v>
      </c>
    </row>
    <row r="9" spans="1:25" x14ac:dyDescent="0.25">
      <c r="A9" s="50">
        <f>'A) Base RI'!A11</f>
        <v>5405</v>
      </c>
      <c r="B9" s="308" t="str">
        <f>'A) Base RI'!B11</f>
        <v>Gryon</v>
      </c>
      <c r="C9" s="99">
        <f>'B) D RI'!U11</f>
        <v>69822.459644444432</v>
      </c>
      <c r="D9" s="115">
        <f>'E) Fact soc'!G15/C9</f>
        <v>22.166905451568169</v>
      </c>
      <c r="E9" s="142">
        <f>'H) Péréquation directe'!I20/C9</f>
        <v>16.44101635347397</v>
      </c>
      <c r="F9" s="115">
        <f>+'I) Dépenses thématiques'!O9/'J) Plafonnement effort'!C9</f>
        <v>-11.815685759775095</v>
      </c>
      <c r="G9" s="142">
        <f t="shared" si="1"/>
        <v>26.792236045267046</v>
      </c>
      <c r="H9" s="323">
        <f t="shared" si="2"/>
        <v>0</v>
      </c>
      <c r="I9" s="58">
        <f t="shared" si="3"/>
        <v>0</v>
      </c>
      <c r="J9" s="34">
        <f t="shared" si="4"/>
        <v>26.792236045267046</v>
      </c>
    </row>
    <row r="10" spans="1:25" x14ac:dyDescent="0.25">
      <c r="A10" s="50">
        <f>'A) Base RI'!A12</f>
        <v>5406</v>
      </c>
      <c r="B10" s="308" t="str">
        <f>'A) Base RI'!B12</f>
        <v>Lavey-Morcles</v>
      </c>
      <c r="C10" s="99">
        <f>'B) D RI'!U12</f>
        <v>21528.925666305528</v>
      </c>
      <c r="D10" s="115">
        <f>'E) Fact soc'!G16/C10</f>
        <v>19.387630666276102</v>
      </c>
      <c r="E10" s="142">
        <f>'H) Péréquation directe'!I21/C10</f>
        <v>-4.2616992864132133</v>
      </c>
      <c r="F10" s="115">
        <f>+'I) Dépenses thématiques'!O10/'J) Plafonnement effort'!C10</f>
        <v>-7.4516956507271805</v>
      </c>
      <c r="G10" s="142">
        <f t="shared" si="1"/>
        <v>7.6742357291357086</v>
      </c>
      <c r="H10" s="323">
        <f t="shared" si="2"/>
        <v>0</v>
      </c>
      <c r="I10" s="58">
        <f t="shared" si="3"/>
        <v>0</v>
      </c>
      <c r="J10" s="34">
        <f t="shared" si="4"/>
        <v>7.6742357291357086</v>
      </c>
    </row>
    <row r="11" spans="1:25" x14ac:dyDescent="0.25">
      <c r="A11" s="50">
        <f>'A) Base RI'!A13</f>
        <v>5407</v>
      </c>
      <c r="B11" s="308" t="str">
        <f>'A) Base RI'!B13</f>
        <v>Leysin</v>
      </c>
      <c r="C11" s="99">
        <f>'B) D RI'!U13</f>
        <v>90534.062564102569</v>
      </c>
      <c r="D11" s="115">
        <f>'E) Fact soc'!G17/C11</f>
        <v>19.652537705865196</v>
      </c>
      <c r="E11" s="142">
        <f>'H) Péréquation directe'!I22/C11</f>
        <v>-19.017563706698873</v>
      </c>
      <c r="F11" s="115">
        <f>+'I) Dépenses thématiques'!O11/'J) Plafonnement effort'!C11</f>
        <v>-21.753095154631751</v>
      </c>
      <c r="G11" s="142">
        <f t="shared" si="1"/>
        <v>-21.118121155465428</v>
      </c>
      <c r="H11" s="323">
        <f t="shared" si="2"/>
        <v>0</v>
      </c>
      <c r="I11" s="58">
        <f t="shared" si="3"/>
        <v>0</v>
      </c>
      <c r="J11" s="34">
        <f t="shared" si="4"/>
        <v>-21.118121155465428</v>
      </c>
    </row>
    <row r="12" spans="1:25" x14ac:dyDescent="0.25">
      <c r="A12" s="50">
        <f>'A) Base RI'!A14</f>
        <v>5408</v>
      </c>
      <c r="B12" s="308" t="str">
        <f>'A) Base RI'!B14</f>
        <v>Noville</v>
      </c>
      <c r="C12" s="99">
        <f>'B) D RI'!U14</f>
        <v>31735.72989384289</v>
      </c>
      <c r="D12" s="115">
        <f>'E) Fact soc'!G18/C12</f>
        <v>20.257110840029647</v>
      </c>
      <c r="E12" s="142">
        <f>'H) Péréquation directe'!I23/C12</f>
        <v>3.1769258305296675</v>
      </c>
      <c r="F12" s="115">
        <f>+'I) Dépenses thématiques'!O12/'J) Plafonnement effort'!C12</f>
        <v>-6.2039639193790519</v>
      </c>
      <c r="G12" s="142">
        <f t="shared" si="1"/>
        <v>17.230072751180263</v>
      </c>
      <c r="H12" s="323">
        <f t="shared" si="2"/>
        <v>0</v>
      </c>
      <c r="I12" s="58">
        <f t="shared" si="3"/>
        <v>0</v>
      </c>
      <c r="J12" s="34">
        <f t="shared" si="4"/>
        <v>17.230072751180263</v>
      </c>
    </row>
    <row r="13" spans="1:25" x14ac:dyDescent="0.25">
      <c r="A13" s="50">
        <f>'A) Base RI'!A15</f>
        <v>5409</v>
      </c>
      <c r="B13" s="308" t="str">
        <f>'A) Base RI'!B15</f>
        <v>Ollon</v>
      </c>
      <c r="C13" s="99">
        <f>'B) D RI'!U15</f>
        <v>367365.91906108597</v>
      </c>
      <c r="D13" s="115">
        <f>'E) Fact soc'!G19/C13</f>
        <v>20.82538460620146</v>
      </c>
      <c r="E13" s="142">
        <f>'H) Péréquation directe'!I24/C13</f>
        <v>11.080285201968733</v>
      </c>
      <c r="F13" s="115">
        <f>+'I) Dépenses thématiques'!O13/'J) Plafonnement effort'!C13</f>
        <v>-5.5985481766904917</v>
      </c>
      <c r="G13" s="142">
        <f t="shared" si="1"/>
        <v>26.307121631479703</v>
      </c>
      <c r="H13" s="323">
        <f t="shared" si="2"/>
        <v>0</v>
      </c>
      <c r="I13" s="58">
        <f t="shared" si="3"/>
        <v>0</v>
      </c>
      <c r="J13" s="34">
        <f t="shared" si="4"/>
        <v>26.307121631479703</v>
      </c>
    </row>
    <row r="14" spans="1:25" x14ac:dyDescent="0.25">
      <c r="A14" s="50">
        <f>'A) Base RI'!A16</f>
        <v>5410</v>
      </c>
      <c r="B14" s="308" t="str">
        <f>'A) Base RI'!B16</f>
        <v>Ormont-Dessous</v>
      </c>
      <c r="C14" s="99">
        <f>'B) D RI'!U16</f>
        <v>37585.850743099792</v>
      </c>
      <c r="D14" s="115">
        <f>'E) Fact soc'!G20/C14</f>
        <v>21.151146634628475</v>
      </c>
      <c r="E14" s="142">
        <f>'H) Péréquation directe'!I25/C14</f>
        <v>7.2149952057052946</v>
      </c>
      <c r="F14" s="115">
        <f>+'I) Dépenses thématiques'!O14/'J) Plafonnement effort'!C14</f>
        <v>-24.262142254462347</v>
      </c>
      <c r="G14" s="142">
        <f t="shared" si="1"/>
        <v>4.1039995858714207</v>
      </c>
      <c r="H14" s="323">
        <f t="shared" si="2"/>
        <v>0</v>
      </c>
      <c r="I14" s="58">
        <f t="shared" si="3"/>
        <v>0</v>
      </c>
      <c r="J14" s="34">
        <f t="shared" si="4"/>
        <v>4.1039995858714207</v>
      </c>
    </row>
    <row r="15" spans="1:25" x14ac:dyDescent="0.25">
      <c r="A15" s="50">
        <f>'A) Base RI'!A17</f>
        <v>5411</v>
      </c>
      <c r="B15" s="308" t="str">
        <f>'A) Base RI'!B17</f>
        <v>Ormont-Dessus</v>
      </c>
      <c r="C15" s="99">
        <f>'B) D RI'!U17</f>
        <v>78533.565482456135</v>
      </c>
      <c r="D15" s="115">
        <f>'E) Fact soc'!G21/C15</f>
        <v>21.48227927972362</v>
      </c>
      <c r="E15" s="142">
        <f>'H) Péréquation directe'!I26/C15</f>
        <v>16.38364827730534</v>
      </c>
      <c r="F15" s="115">
        <f>+'I) Dépenses thématiques'!O15/'J) Plafonnement effort'!C15</f>
        <v>-11.759079411716266</v>
      </c>
      <c r="G15" s="142">
        <f t="shared" si="1"/>
        <v>26.106848145312696</v>
      </c>
      <c r="H15" s="323">
        <f t="shared" si="2"/>
        <v>0</v>
      </c>
      <c r="I15" s="58">
        <f t="shared" si="3"/>
        <v>0</v>
      </c>
      <c r="J15" s="34">
        <f t="shared" si="4"/>
        <v>26.106848145312696</v>
      </c>
    </row>
    <row r="16" spans="1:25" x14ac:dyDescent="0.25">
      <c r="A16" s="50">
        <f>'A) Base RI'!A18</f>
        <v>5412</v>
      </c>
      <c r="B16" s="308" t="str">
        <f>'A) Base RI'!B18</f>
        <v>Rennaz</v>
      </c>
      <c r="C16" s="99">
        <f>'B) D RI'!U18</f>
        <v>30683.439407407404</v>
      </c>
      <c r="D16" s="115">
        <f>'E) Fact soc'!G22/C16</f>
        <v>18.265745686349931</v>
      </c>
      <c r="E16" s="142">
        <f>'H) Péréquation directe'!I27/C16</f>
        <v>12.34630507048073</v>
      </c>
      <c r="F16" s="115">
        <f>+'I) Dépenses thématiques'!O16/'J) Plafonnement effort'!C16</f>
        <v>0</v>
      </c>
      <c r="G16" s="142">
        <f t="shared" si="1"/>
        <v>30.612050756830662</v>
      </c>
      <c r="H16" s="323">
        <f t="shared" si="2"/>
        <v>0</v>
      </c>
      <c r="I16" s="58">
        <f t="shared" si="3"/>
        <v>0</v>
      </c>
      <c r="J16" s="34">
        <f t="shared" si="4"/>
        <v>30.612050756830662</v>
      </c>
    </row>
    <row r="17" spans="1:10" x14ac:dyDescent="0.25">
      <c r="A17" s="50">
        <f>'A) Base RI'!A19</f>
        <v>5413</v>
      </c>
      <c r="B17" s="308" t="str">
        <f>'A) Base RI'!B19</f>
        <v>Roche</v>
      </c>
      <c r="C17" s="99">
        <f>'B) D RI'!U19</f>
        <v>36754.028088235296</v>
      </c>
      <c r="D17" s="115">
        <f>'E) Fact soc'!G23/C17</f>
        <v>20.214765964845679</v>
      </c>
      <c r="E17" s="142">
        <f>'H) Péréquation directe'!I28/C17</f>
        <v>-8.4222089601927212</v>
      </c>
      <c r="F17" s="115">
        <f>+'I) Dépenses thématiques'!O17/'J) Plafonnement effort'!C17</f>
        <v>-1.1228111207706717</v>
      </c>
      <c r="G17" s="142">
        <f t="shared" si="1"/>
        <v>10.669745883882285</v>
      </c>
      <c r="H17" s="323">
        <f t="shared" si="2"/>
        <v>0</v>
      </c>
      <c r="I17" s="58">
        <f t="shared" si="3"/>
        <v>0</v>
      </c>
      <c r="J17" s="34">
        <f t="shared" si="4"/>
        <v>10.669745883882285</v>
      </c>
    </row>
    <row r="18" spans="1:10" x14ac:dyDescent="0.25">
      <c r="A18" s="50">
        <f>'A) Base RI'!A20</f>
        <v>5414</v>
      </c>
      <c r="B18" s="308" t="str">
        <f>'A) Base RI'!B20</f>
        <v>Villeneuve</v>
      </c>
      <c r="C18" s="99">
        <f>'B) D RI'!U20</f>
        <v>161374.0856521739</v>
      </c>
      <c r="D18" s="115">
        <f>'E) Fact soc'!G24/C18</f>
        <v>21.74465888703142</v>
      </c>
      <c r="E18" s="142">
        <f>'H) Péréquation directe'!I29/C18</f>
        <v>-4.7988499187294114</v>
      </c>
      <c r="F18" s="115">
        <f>+'I) Dépenses thématiques'!O18/'J) Plafonnement effort'!C18</f>
        <v>-10.104425473631554</v>
      </c>
      <c r="G18" s="142">
        <f t="shared" si="1"/>
        <v>6.8413834946704561</v>
      </c>
      <c r="H18" s="323">
        <f t="shared" si="2"/>
        <v>0</v>
      </c>
      <c r="I18" s="58">
        <f t="shared" si="3"/>
        <v>0</v>
      </c>
      <c r="J18" s="34">
        <f t="shared" si="4"/>
        <v>6.8413834946704561</v>
      </c>
    </row>
    <row r="19" spans="1:10" x14ac:dyDescent="0.25">
      <c r="A19" s="50">
        <f>'A) Base RI'!A21</f>
        <v>5415</v>
      </c>
      <c r="B19" s="308" t="str">
        <f>'A) Base RI'!B21</f>
        <v>Yvorne</v>
      </c>
      <c r="C19" s="99">
        <f>'B) D RI'!U21</f>
        <v>34416.914731934739</v>
      </c>
      <c r="D19" s="115">
        <f>'E) Fact soc'!G25/C19</f>
        <v>19.431821884922236</v>
      </c>
      <c r="E19" s="142">
        <f>'H) Péréquation directe'!I30/C19</f>
        <v>7.939724226172153</v>
      </c>
      <c r="F19" s="115">
        <f>+'I) Dépenses thématiques'!O19/'J) Plafonnement effort'!C19</f>
        <v>-3.0690163944716482</v>
      </c>
      <c r="G19" s="142">
        <f t="shared" si="1"/>
        <v>24.30252971662274</v>
      </c>
      <c r="H19" s="323">
        <f t="shared" si="2"/>
        <v>0</v>
      </c>
      <c r="I19" s="58">
        <f t="shared" si="3"/>
        <v>0</v>
      </c>
      <c r="J19" s="34">
        <f t="shared" si="4"/>
        <v>24.30252971662274</v>
      </c>
    </row>
    <row r="20" spans="1:10" x14ac:dyDescent="0.25">
      <c r="A20" s="50">
        <f>'A) Base RI'!A22</f>
        <v>5421</v>
      </c>
      <c r="B20" s="308" t="str">
        <f>'A) Base RI'!B22</f>
        <v>Apples</v>
      </c>
      <c r="C20" s="99">
        <f>'B) D RI'!U22</f>
        <v>58623.163421052632</v>
      </c>
      <c r="D20" s="115">
        <f>'E) Fact soc'!G26/C20</f>
        <v>17.991336342365074</v>
      </c>
      <c r="E20" s="142">
        <f>'H) Péréquation directe'!I31/C20</f>
        <v>12.834227046163923</v>
      </c>
      <c r="F20" s="115">
        <f>+'I) Dépenses thématiques'!O20/'J) Plafonnement effort'!C20</f>
        <v>-3.0472322966409977</v>
      </c>
      <c r="G20" s="142">
        <f t="shared" si="1"/>
        <v>27.778331091887999</v>
      </c>
      <c r="H20" s="323">
        <f t="shared" si="2"/>
        <v>0</v>
      </c>
      <c r="I20" s="58">
        <f t="shared" si="3"/>
        <v>0</v>
      </c>
      <c r="J20" s="34">
        <f t="shared" si="4"/>
        <v>27.778331091887999</v>
      </c>
    </row>
    <row r="21" spans="1:10" x14ac:dyDescent="0.25">
      <c r="A21" s="50">
        <f>'A) Base RI'!A23</f>
        <v>5422</v>
      </c>
      <c r="B21" s="308" t="str">
        <f>'A) Base RI'!B23</f>
        <v>Aubonne</v>
      </c>
      <c r="C21" s="99">
        <f>'B) D RI'!U23</f>
        <v>244308.18220588236</v>
      </c>
      <c r="D21" s="115">
        <f>'E) Fact soc'!G27/C21</f>
        <v>26.508367917950306</v>
      </c>
      <c r="E21" s="142">
        <f>'H) Péréquation directe'!I32/C21</f>
        <v>16.132255519863715</v>
      </c>
      <c r="F21" s="115">
        <f>+'I) Dépenses thématiques'!O21/'J) Plafonnement effort'!C21</f>
        <v>-8.1596353362846402E-2</v>
      </c>
      <c r="G21" s="142">
        <f t="shared" si="1"/>
        <v>42.559027084451174</v>
      </c>
      <c r="H21" s="323">
        <f t="shared" si="2"/>
        <v>0</v>
      </c>
      <c r="I21" s="58">
        <f t="shared" si="3"/>
        <v>0</v>
      </c>
      <c r="J21" s="34">
        <f t="shared" si="4"/>
        <v>42.559027084451174</v>
      </c>
    </row>
    <row r="22" spans="1:10" x14ac:dyDescent="0.25">
      <c r="A22" s="50">
        <f>'A) Base RI'!A24</f>
        <v>5423</v>
      </c>
      <c r="B22" s="308" t="str">
        <f>'A) Base RI'!B24</f>
        <v>Ballens</v>
      </c>
      <c r="C22" s="99">
        <f>'B) D RI'!U24</f>
        <v>16828.247681159421</v>
      </c>
      <c r="D22" s="115">
        <f>'E) Fact soc'!G28/C22</f>
        <v>19.954950316282488</v>
      </c>
      <c r="E22" s="142">
        <f>'H) Péréquation directe'!I33/C22</f>
        <v>8.2585295328816102</v>
      </c>
      <c r="F22" s="115">
        <f>+'I) Dépenses thématiques'!O22/'J) Plafonnement effort'!C22</f>
        <v>-3.3044892710547615</v>
      </c>
      <c r="G22" s="142">
        <f t="shared" si="1"/>
        <v>24.908990578109336</v>
      </c>
      <c r="H22" s="323">
        <f t="shared" si="2"/>
        <v>0</v>
      </c>
      <c r="I22" s="58">
        <f t="shared" si="3"/>
        <v>0</v>
      </c>
      <c r="J22" s="34">
        <f t="shared" si="4"/>
        <v>24.908990578109336</v>
      </c>
    </row>
    <row r="23" spans="1:10" x14ac:dyDescent="0.25">
      <c r="A23" s="50">
        <f>'A) Base RI'!A25</f>
        <v>5424</v>
      </c>
      <c r="B23" s="308" t="str">
        <f>'A) Base RI'!B25</f>
        <v>Berolle</v>
      </c>
      <c r="C23" s="99">
        <f>'B) D RI'!U25</f>
        <v>11334.098571428574</v>
      </c>
      <c r="D23" s="115">
        <f>'E) Fact soc'!G29/C23</f>
        <v>17.559267980627258</v>
      </c>
      <c r="E23" s="142">
        <f>'H) Péréquation directe'!I34/C23</f>
        <v>11.990732583917373</v>
      </c>
      <c r="F23" s="115">
        <f>+'I) Dépenses thématiques'!O23/'J) Plafonnement effort'!C23</f>
        <v>-1.0528105518253434</v>
      </c>
      <c r="G23" s="142">
        <f t="shared" si="1"/>
        <v>28.49719001271929</v>
      </c>
      <c r="H23" s="323">
        <f t="shared" si="2"/>
        <v>0</v>
      </c>
      <c r="I23" s="58">
        <f t="shared" si="3"/>
        <v>0</v>
      </c>
      <c r="J23" s="34">
        <f t="shared" si="4"/>
        <v>28.49719001271929</v>
      </c>
    </row>
    <row r="24" spans="1:10" x14ac:dyDescent="0.25">
      <c r="A24" s="50">
        <f>'A) Base RI'!A26</f>
        <v>5425</v>
      </c>
      <c r="B24" s="308" t="str">
        <f>'A) Base RI'!B26</f>
        <v>Bière</v>
      </c>
      <c r="C24" s="99">
        <f>'B) D RI'!U26</f>
        <v>40579.487849898578</v>
      </c>
      <c r="D24" s="115">
        <f>'E) Fact soc'!G30/C24</f>
        <v>17.69098039402661</v>
      </c>
      <c r="E24" s="142">
        <f>'H) Péréquation directe'!I35/C24</f>
        <v>-1.8872776613554541</v>
      </c>
      <c r="F24" s="115">
        <f>+'I) Dépenses thématiques'!O24/'J) Plafonnement effort'!C24</f>
        <v>-14.011622303276697</v>
      </c>
      <c r="G24" s="142">
        <f t="shared" si="1"/>
        <v>1.7920804293944581</v>
      </c>
      <c r="H24" s="323">
        <f t="shared" si="2"/>
        <v>0</v>
      </c>
      <c r="I24" s="58">
        <f t="shared" si="3"/>
        <v>0</v>
      </c>
      <c r="J24" s="34">
        <f t="shared" si="4"/>
        <v>1.7920804293944581</v>
      </c>
    </row>
    <row r="25" spans="1:10" x14ac:dyDescent="0.25">
      <c r="A25" s="50">
        <f>'A) Base RI'!A27</f>
        <v>5426</v>
      </c>
      <c r="B25" s="308" t="str">
        <f>'A) Base RI'!B27</f>
        <v>Bougy-Villars</v>
      </c>
      <c r="C25" s="99">
        <f>'B) D RI'!U27</f>
        <v>47833.150252525251</v>
      </c>
      <c r="D25" s="115">
        <f>'E) Fact soc'!G31/C25</f>
        <v>37.333884828636855</v>
      </c>
      <c r="E25" s="142">
        <f>'H) Péréquation directe'!I36/C25</f>
        <v>18.765296471493354</v>
      </c>
      <c r="F25" s="115">
        <f>+'I) Dépenses thématiques'!O25/'J) Plafonnement effort'!C25</f>
        <v>0</v>
      </c>
      <c r="G25" s="142">
        <f t="shared" si="1"/>
        <v>56.099181300130212</v>
      </c>
      <c r="H25" s="323">
        <f t="shared" si="2"/>
        <v>-11.099181300130212</v>
      </c>
      <c r="I25" s="58">
        <f t="shared" si="3"/>
        <v>-530908.806809147</v>
      </c>
      <c r="J25" s="34">
        <f t="shared" si="4"/>
        <v>45</v>
      </c>
    </row>
    <row r="26" spans="1:10" x14ac:dyDescent="0.25">
      <c r="A26" s="50">
        <f>'A) Base RI'!A28</f>
        <v>5427</v>
      </c>
      <c r="B26" s="308" t="str">
        <f>'A) Base RI'!B28</f>
        <v>Féchy</v>
      </c>
      <c r="C26" s="99">
        <f>'B) D RI'!U28</f>
        <v>79308.783786057698</v>
      </c>
      <c r="D26" s="115">
        <f>'E) Fact soc'!G32/C26</f>
        <v>29.11237951099984</v>
      </c>
      <c r="E26" s="142">
        <f>'H) Péréquation directe'!I37/C26</f>
        <v>18.618662692286492</v>
      </c>
      <c r="F26" s="115">
        <f>+'I) Dépenses thématiques'!O26/'J) Plafonnement effort'!C26</f>
        <v>0</v>
      </c>
      <c r="G26" s="142">
        <f t="shared" si="1"/>
        <v>47.731042203286336</v>
      </c>
      <c r="H26" s="323">
        <f t="shared" si="2"/>
        <v>-2.7310422032863357</v>
      </c>
      <c r="I26" s="58">
        <f t="shared" si="3"/>
        <v>-216595.63561103464</v>
      </c>
      <c r="J26" s="34">
        <f t="shared" si="4"/>
        <v>45</v>
      </c>
    </row>
    <row r="27" spans="1:10" x14ac:dyDescent="0.25">
      <c r="A27" s="50">
        <f>'A) Base RI'!A29</f>
        <v>5428</v>
      </c>
      <c r="B27" s="308" t="str">
        <f>'A) Base RI'!B29</f>
        <v>Gimel</v>
      </c>
      <c r="C27" s="99">
        <f>'B) D RI'!U29</f>
        <v>61728.526853146868</v>
      </c>
      <c r="D27" s="115">
        <f>'E) Fact soc'!G33/C27</f>
        <v>22.611141696548341</v>
      </c>
      <c r="E27" s="142">
        <f>'H) Péréquation directe'!I38/C27</f>
        <v>2.6166973963876128</v>
      </c>
      <c r="F27" s="115">
        <f>+'I) Dépenses thématiques'!O27/'J) Plafonnement effort'!C27</f>
        <v>-8.9050836260680271</v>
      </c>
      <c r="G27" s="142">
        <f t="shared" si="1"/>
        <v>16.322755466867925</v>
      </c>
      <c r="H27" s="323">
        <f t="shared" si="2"/>
        <v>0</v>
      </c>
      <c r="I27" s="58">
        <f t="shared" si="3"/>
        <v>0</v>
      </c>
      <c r="J27" s="34">
        <f t="shared" si="4"/>
        <v>16.322755466867925</v>
      </c>
    </row>
    <row r="28" spans="1:10" x14ac:dyDescent="0.25">
      <c r="A28" s="50">
        <f>'A) Base RI'!A30</f>
        <v>5429</v>
      </c>
      <c r="B28" s="308" t="str">
        <f>'A) Base RI'!B30</f>
        <v>Longirod</v>
      </c>
      <c r="C28" s="99">
        <f>'B) D RI'!U30</f>
        <v>14939.782716049382</v>
      </c>
      <c r="D28" s="115">
        <f>'E) Fact soc'!G34/C28</f>
        <v>18.556573754441967</v>
      </c>
      <c r="E28" s="142">
        <f>'H) Péréquation directe'!I39/C28</f>
        <v>5.177359132588486</v>
      </c>
      <c r="F28" s="115">
        <f>+'I) Dépenses thématiques'!O28/'J) Plafonnement effort'!C28</f>
        <v>-6.6271523855768653</v>
      </c>
      <c r="G28" s="142">
        <f t="shared" si="1"/>
        <v>17.106780501453585</v>
      </c>
      <c r="H28" s="323">
        <f t="shared" si="2"/>
        <v>0</v>
      </c>
      <c r="I28" s="58">
        <f t="shared" si="3"/>
        <v>0</v>
      </c>
      <c r="J28" s="34">
        <f t="shared" si="4"/>
        <v>17.106780501453585</v>
      </c>
    </row>
    <row r="29" spans="1:10" x14ac:dyDescent="0.25">
      <c r="A29" s="50">
        <f>'A) Base RI'!A31</f>
        <v>5430</v>
      </c>
      <c r="B29" s="308" t="str">
        <f>'A) Base RI'!B31</f>
        <v>Marchissy</v>
      </c>
      <c r="C29" s="99">
        <f>'B) D RI'!U31</f>
        <v>13613.731392405061</v>
      </c>
      <c r="D29" s="115">
        <f>'E) Fact soc'!G35/C29</f>
        <v>19.601630001368925</v>
      </c>
      <c r="E29" s="142">
        <f>'H) Péréquation directe'!I40/C29</f>
        <v>3.1813975311080553</v>
      </c>
      <c r="F29" s="115">
        <f>+'I) Dépenses thématiques'!O29/'J) Plafonnement effort'!C29</f>
        <v>-15.43278672432724</v>
      </c>
      <c r="G29" s="142">
        <f t="shared" si="1"/>
        <v>7.3502408081497386</v>
      </c>
      <c r="H29" s="323">
        <f t="shared" si="2"/>
        <v>0</v>
      </c>
      <c r="I29" s="58">
        <f t="shared" si="3"/>
        <v>0</v>
      </c>
      <c r="J29" s="34">
        <f t="shared" si="4"/>
        <v>7.3502408081497386</v>
      </c>
    </row>
    <row r="30" spans="1:10" x14ac:dyDescent="0.25">
      <c r="A30" s="50">
        <f>'A) Base RI'!A32</f>
        <v>5431</v>
      </c>
      <c r="B30" s="308" t="str">
        <f>'A) Base RI'!B32</f>
        <v>Mollens</v>
      </c>
      <c r="C30" s="99">
        <f>'B) D RI'!U32</f>
        <v>8973.9812162162179</v>
      </c>
      <c r="D30" s="115">
        <f>'E) Fact soc'!G36/C30</f>
        <v>17.391259937054784</v>
      </c>
      <c r="E30" s="142">
        <f>'H) Péréquation directe'!I41/C30</f>
        <v>4.6062575807831374</v>
      </c>
      <c r="F30" s="115">
        <f>+'I) Dépenses thématiques'!O30/'J) Plafonnement effort'!C30</f>
        <v>-2.4787509079740295</v>
      </c>
      <c r="G30" s="142">
        <f t="shared" si="1"/>
        <v>19.518766609863892</v>
      </c>
      <c r="H30" s="323">
        <f t="shared" si="2"/>
        <v>0</v>
      </c>
      <c r="I30" s="58">
        <f t="shared" si="3"/>
        <v>0</v>
      </c>
      <c r="J30" s="34">
        <f t="shared" si="4"/>
        <v>19.518766609863892</v>
      </c>
    </row>
    <row r="31" spans="1:10" x14ac:dyDescent="0.25">
      <c r="A31" s="50">
        <f>'A) Base RI'!A33</f>
        <v>5432</v>
      </c>
      <c r="B31" s="308" t="str">
        <f>'A) Base RI'!B33</f>
        <v>Montherod</v>
      </c>
      <c r="C31" s="99">
        <f>'B) D RI'!U33</f>
        <v>17887.262179487177</v>
      </c>
      <c r="D31" s="115">
        <f>'E) Fact soc'!G37/C31</f>
        <v>19.13818890492751</v>
      </c>
      <c r="E31" s="142">
        <f>'H) Péréquation directe'!I42/C31</f>
        <v>7.8495204046471807</v>
      </c>
      <c r="F31" s="115">
        <f>+'I) Dépenses thématiques'!O31/'J) Plafonnement effort'!C31</f>
        <v>0</v>
      </c>
      <c r="G31" s="142">
        <f t="shared" si="1"/>
        <v>26.98770930957469</v>
      </c>
      <c r="H31" s="323">
        <f t="shared" si="2"/>
        <v>0</v>
      </c>
      <c r="I31" s="58">
        <f t="shared" si="3"/>
        <v>0</v>
      </c>
      <c r="J31" s="34">
        <f t="shared" si="4"/>
        <v>26.98770930957469</v>
      </c>
    </row>
    <row r="32" spans="1:10" x14ac:dyDescent="0.25">
      <c r="A32" s="50">
        <f>'A) Base RI'!A34</f>
        <v>5434</v>
      </c>
      <c r="B32" s="308" t="str">
        <f>'A) Base RI'!B34</f>
        <v>Saint-George</v>
      </c>
      <c r="C32" s="99">
        <f>'B) D RI'!U34</f>
        <v>37133.404507042258</v>
      </c>
      <c r="D32" s="115">
        <f>'E) Fact soc'!G38/C32</f>
        <v>21.832239816108416</v>
      </c>
      <c r="E32" s="142">
        <f>'H) Péréquation directe'!I43/C32</f>
        <v>11.270383223401163</v>
      </c>
      <c r="F32" s="115">
        <f>+'I) Dépenses thématiques'!O32/'J) Plafonnement effort'!C32</f>
        <v>-1.7852394752787248</v>
      </c>
      <c r="G32" s="142">
        <f t="shared" si="1"/>
        <v>31.317383564230855</v>
      </c>
      <c r="H32" s="323">
        <f t="shared" si="2"/>
        <v>0</v>
      </c>
      <c r="I32" s="58">
        <f t="shared" si="3"/>
        <v>0</v>
      </c>
      <c r="J32" s="34">
        <f t="shared" si="4"/>
        <v>31.317383564230855</v>
      </c>
    </row>
    <row r="33" spans="1:10" x14ac:dyDescent="0.25">
      <c r="A33" s="50">
        <f>'A) Base RI'!A35</f>
        <v>5435</v>
      </c>
      <c r="B33" s="308" t="str">
        <f>'A) Base RI'!B35</f>
        <v>Saint-Livres</v>
      </c>
      <c r="C33" s="99">
        <f>'B) D RI'!U35</f>
        <v>25639.681014492751</v>
      </c>
      <c r="D33" s="115">
        <f>'E) Fact soc'!G39/C33</f>
        <v>15.947970193713694</v>
      </c>
      <c r="E33" s="142">
        <f>'H) Péréquation directe'!I44/C33</f>
        <v>12.845114294827585</v>
      </c>
      <c r="F33" s="115">
        <f>+'I) Dépenses thématiques'!O33/'J) Plafonnement effort'!C33</f>
        <v>-1.5463399833497449</v>
      </c>
      <c r="G33" s="142">
        <f t="shared" si="1"/>
        <v>27.246744505191533</v>
      </c>
      <c r="H33" s="323">
        <f t="shared" si="2"/>
        <v>0</v>
      </c>
      <c r="I33" s="58">
        <f t="shared" si="3"/>
        <v>0</v>
      </c>
      <c r="J33" s="34">
        <f t="shared" si="4"/>
        <v>27.246744505191533</v>
      </c>
    </row>
    <row r="34" spans="1:10" x14ac:dyDescent="0.25">
      <c r="A34" s="50">
        <f>'A) Base RI'!A36</f>
        <v>5436</v>
      </c>
      <c r="B34" s="308" t="str">
        <f>'A) Base RI'!B36</f>
        <v>Saint-Oyens</v>
      </c>
      <c r="C34" s="99">
        <f>'B) D RI'!U36</f>
        <v>11326.600185185187</v>
      </c>
      <c r="D34" s="115">
        <f>'E) Fact soc'!G40/C34</f>
        <v>23.394008263494669</v>
      </c>
      <c r="E34" s="142">
        <f>'H) Péréquation directe'!I45/C34</f>
        <v>3.9764478592563135</v>
      </c>
      <c r="F34" s="115">
        <f>+'I) Dépenses thématiques'!O34/'J) Plafonnement effort'!C34</f>
        <v>-11.423855935097125</v>
      </c>
      <c r="G34" s="142">
        <f t="shared" si="1"/>
        <v>15.946600187653859</v>
      </c>
      <c r="H34" s="323">
        <f t="shared" si="2"/>
        <v>0</v>
      </c>
      <c r="I34" s="58">
        <f t="shared" si="3"/>
        <v>0</v>
      </c>
      <c r="J34" s="34">
        <f t="shared" si="4"/>
        <v>15.946600187653859</v>
      </c>
    </row>
    <row r="35" spans="1:10" x14ac:dyDescent="0.25">
      <c r="A35" s="50">
        <f>'A) Base RI'!A37</f>
        <v>5437</v>
      </c>
      <c r="B35" s="308" t="str">
        <f>'A) Base RI'!B37</f>
        <v>Saubraz</v>
      </c>
      <c r="C35" s="99">
        <f>'B) D RI'!U37</f>
        <v>9913.9082500000004</v>
      </c>
      <c r="D35" s="115">
        <f>'E) Fact soc'!G41/C35</f>
        <v>18.025594223855919</v>
      </c>
      <c r="E35" s="142">
        <f>'H) Péréquation directe'!I46/C35</f>
        <v>-8.5482990648726034</v>
      </c>
      <c r="F35" s="115">
        <f>+'I) Dépenses thématiques'!O35/'J) Plafonnement effort'!C35</f>
        <v>-6.9484069829373292</v>
      </c>
      <c r="G35" s="142">
        <f t="shared" si="1"/>
        <v>2.528888176045986</v>
      </c>
      <c r="H35" s="323">
        <f t="shared" si="2"/>
        <v>0</v>
      </c>
      <c r="I35" s="58">
        <f t="shared" si="3"/>
        <v>0</v>
      </c>
      <c r="J35" s="34">
        <f t="shared" si="4"/>
        <v>2.528888176045986</v>
      </c>
    </row>
    <row r="36" spans="1:10" x14ac:dyDescent="0.25">
      <c r="A36" s="50">
        <f>'A) Base RI'!A38</f>
        <v>5451</v>
      </c>
      <c r="B36" s="308" t="str">
        <f>'A) Base RI'!B38</f>
        <v>Avenches</v>
      </c>
      <c r="C36" s="99">
        <f>'B) D RI'!U38</f>
        <v>95537.476225490187</v>
      </c>
      <c r="D36" s="115">
        <f>'E) Fact soc'!G42/C36</f>
        <v>20.520976875064601</v>
      </c>
      <c r="E36" s="142">
        <f>'H) Péréquation directe'!I47/C36</f>
        <v>-13.046501720972392</v>
      </c>
      <c r="F36" s="115">
        <f>+'I) Dépenses thématiques'!O36/'J) Plafonnement effort'!C36</f>
        <v>-16.935482801106826</v>
      </c>
      <c r="G36" s="142">
        <f t="shared" si="1"/>
        <v>-9.4610076470146165</v>
      </c>
      <c r="H36" s="323">
        <f t="shared" si="2"/>
        <v>0</v>
      </c>
      <c r="I36" s="58">
        <f t="shared" si="3"/>
        <v>0</v>
      </c>
      <c r="J36" s="34">
        <f t="shared" si="4"/>
        <v>-9.4610076470146165</v>
      </c>
    </row>
    <row r="37" spans="1:10" x14ac:dyDescent="0.25">
      <c r="A37" s="50">
        <f>'A) Base RI'!A39</f>
        <v>5456</v>
      </c>
      <c r="B37" s="308" t="str">
        <f>'A) Base RI'!B39</f>
        <v>Cudrefin</v>
      </c>
      <c r="C37" s="99">
        <f>'B) D RI'!U39</f>
        <v>54725.941638418088</v>
      </c>
      <c r="D37" s="115">
        <f>'E) Fact soc'!G43/C37</f>
        <v>19.222466282854302</v>
      </c>
      <c r="E37" s="142">
        <f>'H) Péréquation directe'!I48/C37</f>
        <v>9.697173946379678</v>
      </c>
      <c r="F37" s="115">
        <f>+'I) Dépenses thématiques'!O37/'J) Plafonnement effort'!C37</f>
        <v>-5.6696895636725388</v>
      </c>
      <c r="G37" s="142">
        <f t="shared" si="1"/>
        <v>23.249950665561443</v>
      </c>
      <c r="H37" s="323">
        <f t="shared" si="2"/>
        <v>0</v>
      </c>
      <c r="I37" s="58">
        <f t="shared" si="3"/>
        <v>0</v>
      </c>
      <c r="J37" s="34">
        <f t="shared" si="4"/>
        <v>23.249950665561443</v>
      </c>
    </row>
    <row r="38" spans="1:10" x14ac:dyDescent="0.25">
      <c r="A38" s="50">
        <f>'A) Base RI'!A40</f>
        <v>5458</v>
      </c>
      <c r="B38" s="308" t="str">
        <f>'A) Base RI'!B40</f>
        <v>Faoug</v>
      </c>
      <c r="C38" s="99">
        <f>'B) D RI'!U40</f>
        <v>34607.593906250004</v>
      </c>
      <c r="D38" s="115">
        <f>'E) Fact soc'!G44/C38</f>
        <v>19.523668288466954</v>
      </c>
      <c r="E38" s="142">
        <f>'H) Péréquation directe'!I49/C38</f>
        <v>14.105289572790804</v>
      </c>
      <c r="F38" s="115">
        <f>+'I) Dépenses thématiques'!O38/'J) Plafonnement effort'!C38</f>
        <v>-2.5694270108284254</v>
      </c>
      <c r="G38" s="142">
        <f t="shared" si="1"/>
        <v>31.059530850429333</v>
      </c>
      <c r="H38" s="323">
        <f t="shared" si="2"/>
        <v>0</v>
      </c>
      <c r="I38" s="58">
        <f t="shared" si="3"/>
        <v>0</v>
      </c>
      <c r="J38" s="34">
        <f t="shared" si="4"/>
        <v>31.059530850429333</v>
      </c>
    </row>
    <row r="39" spans="1:10" x14ac:dyDescent="0.25">
      <c r="A39" s="50">
        <f>'A) Base RI'!A41</f>
        <v>5464</v>
      </c>
      <c r="B39" s="308" t="str">
        <f>'A) Base RI'!B41</f>
        <v>Vully-les-Lacs</v>
      </c>
      <c r="C39" s="99">
        <f>'B) D RI'!U41</f>
        <v>98727.295671641783</v>
      </c>
      <c r="D39" s="115">
        <f>'E) Fact soc'!G45/C39</f>
        <v>18.823801379620832</v>
      </c>
      <c r="E39" s="142">
        <f>'H) Péréquation directe'!I50/C39</f>
        <v>4.0170764782017567</v>
      </c>
      <c r="F39" s="115">
        <f>+'I) Dépenses thématiques'!O39/'J) Plafonnement effort'!C39</f>
        <v>-4.8825527194969016</v>
      </c>
      <c r="G39" s="142">
        <f t="shared" si="1"/>
        <v>17.958325138325691</v>
      </c>
      <c r="H39" s="323">
        <f t="shared" si="2"/>
        <v>0</v>
      </c>
      <c r="I39" s="58">
        <f t="shared" si="3"/>
        <v>0</v>
      </c>
      <c r="J39" s="34">
        <f t="shared" si="4"/>
        <v>17.958325138325691</v>
      </c>
    </row>
    <row r="40" spans="1:10" x14ac:dyDescent="0.25">
      <c r="A40" s="50">
        <f>'A) Base RI'!A42</f>
        <v>5471</v>
      </c>
      <c r="B40" s="308" t="str">
        <f>'A) Base RI'!B42</f>
        <v>Bettens</v>
      </c>
      <c r="C40" s="99">
        <f>'B) D RI'!U42</f>
        <v>19145.941571428568</v>
      </c>
      <c r="D40" s="115">
        <f>'E) Fact soc'!G46/C40</f>
        <v>21.383491862283417</v>
      </c>
      <c r="E40" s="142">
        <f>'H) Péréquation directe'!I51/C40</f>
        <v>9.3717495973646443</v>
      </c>
      <c r="F40" s="115">
        <f>+'I) Dépenses thématiques'!O40/'J) Plafonnement effort'!C40</f>
        <v>0</v>
      </c>
      <c r="G40" s="142">
        <f t="shared" si="1"/>
        <v>30.755241459648062</v>
      </c>
      <c r="H40" s="323">
        <f t="shared" si="2"/>
        <v>0</v>
      </c>
      <c r="I40" s="58">
        <f t="shared" si="3"/>
        <v>0</v>
      </c>
      <c r="J40" s="34">
        <f t="shared" si="4"/>
        <v>30.755241459648062</v>
      </c>
    </row>
    <row r="41" spans="1:10" x14ac:dyDescent="0.25">
      <c r="A41" s="50">
        <f>'A) Base RI'!A43</f>
        <v>5472</v>
      </c>
      <c r="B41" s="308" t="str">
        <f>'A) Base RI'!B43</f>
        <v>Bournens</v>
      </c>
      <c r="C41" s="99">
        <f>'B) D RI'!U43</f>
        <v>14770.012375000002</v>
      </c>
      <c r="D41" s="115">
        <f>'E) Fact soc'!G47/C41</f>
        <v>17.492216511082962</v>
      </c>
      <c r="E41" s="142">
        <f>'H) Péréquation directe'!I52/C41</f>
        <v>9.3038121041929447</v>
      </c>
      <c r="F41" s="115">
        <f>+'I) Dépenses thématiques'!O41/'J) Plafonnement effort'!C41</f>
        <v>-2.5073432424087585</v>
      </c>
      <c r="G41" s="142">
        <f t="shared" si="1"/>
        <v>24.28868537286715</v>
      </c>
      <c r="H41" s="323">
        <f t="shared" si="2"/>
        <v>0</v>
      </c>
      <c r="I41" s="58">
        <f t="shared" si="3"/>
        <v>0</v>
      </c>
      <c r="J41" s="34">
        <f t="shared" si="4"/>
        <v>24.28868537286715</v>
      </c>
    </row>
    <row r="42" spans="1:10" x14ac:dyDescent="0.25">
      <c r="A42" s="50">
        <f>'A) Base RI'!A44</f>
        <v>5473</v>
      </c>
      <c r="B42" s="308" t="str">
        <f>'A) Base RI'!B44</f>
        <v>Boussens</v>
      </c>
      <c r="C42" s="99">
        <f>'B) D RI'!U44</f>
        <v>33002.569420289859</v>
      </c>
      <c r="D42" s="115">
        <f>'E) Fact soc'!G48/C42</f>
        <v>17.196398852583041</v>
      </c>
      <c r="E42" s="142">
        <f>'H) Péréquation directe'!I53/C42</f>
        <v>9.7891572131896929</v>
      </c>
      <c r="F42" s="115">
        <f>+'I) Dépenses thématiques'!O42/'J) Plafonnement effort'!C42</f>
        <v>0</v>
      </c>
      <c r="G42" s="142">
        <f t="shared" si="1"/>
        <v>26.985556065772734</v>
      </c>
      <c r="H42" s="323">
        <f t="shared" si="2"/>
        <v>0</v>
      </c>
      <c r="I42" s="58">
        <f t="shared" si="3"/>
        <v>0</v>
      </c>
      <c r="J42" s="34">
        <f t="shared" si="4"/>
        <v>26.985556065772734</v>
      </c>
    </row>
    <row r="43" spans="1:10" x14ac:dyDescent="0.25">
      <c r="A43" s="50">
        <f>'A) Base RI'!A45</f>
        <v>5474</v>
      </c>
      <c r="B43" s="308" t="str">
        <f>'A) Base RI'!B45</f>
        <v>La Chaux (Cossonay)</v>
      </c>
      <c r="C43" s="99">
        <f>'B) D RI'!U45</f>
        <v>13388.045367965367</v>
      </c>
      <c r="D43" s="115">
        <f>'E) Fact soc'!G49/C43</f>
        <v>23.834813534493328</v>
      </c>
      <c r="E43" s="142">
        <f>'H) Péréquation directe'!I54/C43</f>
        <v>6.2584319920244109</v>
      </c>
      <c r="F43" s="115">
        <f>+'I) Dépenses thématiques'!O43/'J) Plafonnement effort'!C43</f>
        <v>-7.7752346145547548</v>
      </c>
      <c r="G43" s="142">
        <f t="shared" si="1"/>
        <v>22.318010911962986</v>
      </c>
      <c r="H43" s="323">
        <f t="shared" si="2"/>
        <v>0</v>
      </c>
      <c r="I43" s="58">
        <f t="shared" si="3"/>
        <v>0</v>
      </c>
      <c r="J43" s="34">
        <f t="shared" si="4"/>
        <v>22.318010911962986</v>
      </c>
    </row>
    <row r="44" spans="1:10" x14ac:dyDescent="0.25">
      <c r="A44" s="50">
        <f>'A) Base RI'!A46</f>
        <v>5475</v>
      </c>
      <c r="B44" s="308" t="str">
        <f>'A) Base RI'!B46</f>
        <v>Chavannes-le-Veyron</v>
      </c>
      <c r="C44" s="99">
        <f>'B) D RI'!U46</f>
        <v>3775.6794805194804</v>
      </c>
      <c r="D44" s="115">
        <f>'E) Fact soc'!G50/C44</f>
        <v>16.504514247079975</v>
      </c>
      <c r="E44" s="142">
        <f>'H) Péréquation directe'!I55/C44</f>
        <v>-0.85360019553271871</v>
      </c>
      <c r="F44" s="115">
        <f>+'I) Dépenses thématiques'!O44/'J) Plafonnement effort'!C44</f>
        <v>-11.334559442160442</v>
      </c>
      <c r="G44" s="142">
        <f t="shared" si="1"/>
        <v>4.3163546093868135</v>
      </c>
      <c r="H44" s="323">
        <f t="shared" si="2"/>
        <v>0</v>
      </c>
      <c r="I44" s="58">
        <f t="shared" si="3"/>
        <v>0</v>
      </c>
      <c r="J44" s="34">
        <f t="shared" si="4"/>
        <v>4.3163546093868135</v>
      </c>
    </row>
    <row r="45" spans="1:10" x14ac:dyDescent="0.25">
      <c r="A45" s="50">
        <f>'A) Base RI'!A47</f>
        <v>5476</v>
      </c>
      <c r="B45" s="308" t="str">
        <f>'A) Base RI'!B47</f>
        <v>Chevilly</v>
      </c>
      <c r="C45" s="99">
        <f>'B) D RI'!U47</f>
        <v>10077.570765765768</v>
      </c>
      <c r="D45" s="115">
        <f>'E) Fact soc'!G51/C45</f>
        <v>15.994931562718778</v>
      </c>
      <c r="E45" s="142">
        <f>'H) Péréquation directe'!I56/C45</f>
        <v>9.0104941034787345</v>
      </c>
      <c r="F45" s="115">
        <f>+'I) Dépenses thématiques'!O45/'J) Plafonnement effort'!C45</f>
        <v>-3.3567192125626248</v>
      </c>
      <c r="G45" s="142">
        <f t="shared" si="1"/>
        <v>21.648706453634887</v>
      </c>
      <c r="H45" s="323">
        <f t="shared" si="2"/>
        <v>0</v>
      </c>
      <c r="I45" s="58">
        <f t="shared" si="3"/>
        <v>0</v>
      </c>
      <c r="J45" s="34">
        <f t="shared" si="4"/>
        <v>21.648706453634887</v>
      </c>
    </row>
    <row r="46" spans="1:10" x14ac:dyDescent="0.25">
      <c r="A46" s="50">
        <f>'A) Base RI'!A48</f>
        <v>5477</v>
      </c>
      <c r="B46" s="308" t="str">
        <f>'A) Base RI'!B48</f>
        <v>Cossonay</v>
      </c>
      <c r="C46" s="99">
        <f>'B) D RI'!U48</f>
        <v>123540.83633802818</v>
      </c>
      <c r="D46" s="115">
        <f>'E) Fact soc'!G52/C46</f>
        <v>20.537416363013907</v>
      </c>
      <c r="E46" s="142">
        <f>'H) Péréquation directe'!I57/C46</f>
        <v>2.2809279014721899</v>
      </c>
      <c r="F46" s="115">
        <f>+'I) Dépenses thématiques'!O46/'J) Plafonnement effort'!C46</f>
        <v>-4.6150568417054556</v>
      </c>
      <c r="G46" s="142">
        <f t="shared" si="1"/>
        <v>18.20328742278064</v>
      </c>
      <c r="H46" s="323">
        <f t="shared" si="2"/>
        <v>0</v>
      </c>
      <c r="I46" s="58">
        <f t="shared" si="3"/>
        <v>0</v>
      </c>
      <c r="J46" s="34">
        <f t="shared" si="4"/>
        <v>18.20328742278064</v>
      </c>
    </row>
    <row r="47" spans="1:10" x14ac:dyDescent="0.25">
      <c r="A47" s="50">
        <f>'A) Base RI'!A49</f>
        <v>5478</v>
      </c>
      <c r="B47" s="308" t="str">
        <f>'A) Base RI'!B49</f>
        <v>Cottens</v>
      </c>
      <c r="C47" s="99">
        <f>'B) D RI'!U49</f>
        <v>16872.928378378379</v>
      </c>
      <c r="D47" s="115">
        <f>'E) Fact soc'!G53/C47</f>
        <v>18.167836946997447</v>
      </c>
      <c r="E47" s="142">
        <f>'H) Péréquation directe'!I58/C47</f>
        <v>10.452933050681409</v>
      </c>
      <c r="F47" s="115">
        <f>+'I) Dépenses thématiques'!O47/'J) Plafonnement effort'!C47</f>
        <v>-1.7994908203745847</v>
      </c>
      <c r="G47" s="142">
        <f t="shared" si="1"/>
        <v>26.82127917730427</v>
      </c>
      <c r="H47" s="323">
        <f t="shared" si="2"/>
        <v>0</v>
      </c>
      <c r="I47" s="58">
        <f t="shared" si="3"/>
        <v>0</v>
      </c>
      <c r="J47" s="34">
        <f t="shared" si="4"/>
        <v>26.82127917730427</v>
      </c>
    </row>
    <row r="48" spans="1:10" x14ac:dyDescent="0.25">
      <c r="A48" s="50">
        <f>'A) Base RI'!A50</f>
        <v>5479</v>
      </c>
      <c r="B48" s="308" t="str">
        <f>'A) Base RI'!B50</f>
        <v>Cuarnens</v>
      </c>
      <c r="C48" s="99">
        <f>'B) D RI'!U50</f>
        <v>15098.323116883119</v>
      </c>
      <c r="D48" s="115">
        <f>'E) Fact soc'!G54/C48</f>
        <v>19.925774378928942</v>
      </c>
      <c r="E48" s="142">
        <f>'H) Péréquation directe'!I59/C48</f>
        <v>5.8367986358792328</v>
      </c>
      <c r="F48" s="115">
        <f>+'I) Dépenses thématiques'!O48/'J) Plafonnement effort'!C48</f>
        <v>-9.3444528818750374</v>
      </c>
      <c r="G48" s="142">
        <f t="shared" si="1"/>
        <v>16.41812013293314</v>
      </c>
      <c r="H48" s="323">
        <f t="shared" si="2"/>
        <v>0</v>
      </c>
      <c r="I48" s="58">
        <f t="shared" si="3"/>
        <v>0</v>
      </c>
      <c r="J48" s="34">
        <f t="shared" si="4"/>
        <v>16.41812013293314</v>
      </c>
    </row>
    <row r="49" spans="1:10" x14ac:dyDescent="0.25">
      <c r="A49" s="50">
        <f>'A) Base RI'!A51</f>
        <v>5480</v>
      </c>
      <c r="B49" s="308" t="str">
        <f>'A) Base RI'!B51</f>
        <v>Daillens</v>
      </c>
      <c r="C49" s="99">
        <f>'B) D RI'!U51</f>
        <v>41105.758873239436</v>
      </c>
      <c r="D49" s="115">
        <f>'E) Fact soc'!G55/C49</f>
        <v>17.638870298972524</v>
      </c>
      <c r="E49" s="142">
        <f>'H) Péréquation directe'!I60/C49</f>
        <v>15.049445139993935</v>
      </c>
      <c r="F49" s="115">
        <f>+'I) Dépenses thématiques'!O49/'J) Plafonnement effort'!C49</f>
        <v>-3.2104612681527973</v>
      </c>
      <c r="G49" s="142">
        <f t="shared" si="1"/>
        <v>29.477854170813657</v>
      </c>
      <c r="H49" s="323">
        <f t="shared" si="2"/>
        <v>0</v>
      </c>
      <c r="I49" s="58">
        <f t="shared" si="3"/>
        <v>0</v>
      </c>
      <c r="J49" s="34">
        <f t="shared" si="4"/>
        <v>29.477854170813657</v>
      </c>
    </row>
    <row r="50" spans="1:10" x14ac:dyDescent="0.25">
      <c r="A50" s="50">
        <f>'A) Base RI'!A52</f>
        <v>5481</v>
      </c>
      <c r="B50" s="308" t="str">
        <f>'A) Base RI'!B52</f>
        <v>Dizy</v>
      </c>
      <c r="C50" s="99">
        <f>'B) D RI'!U52</f>
        <v>8417.6035443037963</v>
      </c>
      <c r="D50" s="115">
        <f>'E) Fact soc'!G56/C50</f>
        <v>16.822989624167953</v>
      </c>
      <c r="E50" s="142">
        <f>'H) Péréquation directe'!I61/C50</f>
        <v>10.933406305974241</v>
      </c>
      <c r="F50" s="115">
        <f>+'I) Dépenses thématiques'!O50/'J) Plafonnement effort'!C50</f>
        <v>-0.87844226628860522</v>
      </c>
      <c r="G50" s="142">
        <f t="shared" si="1"/>
        <v>26.877953663853589</v>
      </c>
      <c r="H50" s="323">
        <f t="shared" si="2"/>
        <v>0</v>
      </c>
      <c r="I50" s="58">
        <f t="shared" si="3"/>
        <v>0</v>
      </c>
      <c r="J50" s="34">
        <f t="shared" si="4"/>
        <v>26.877953663853589</v>
      </c>
    </row>
    <row r="51" spans="1:10" x14ac:dyDescent="0.25">
      <c r="A51" s="50">
        <f>'A) Base RI'!A53</f>
        <v>5482</v>
      </c>
      <c r="B51" s="308" t="str">
        <f>'A) Base RI'!B53</f>
        <v>Eclépens</v>
      </c>
      <c r="C51" s="99">
        <f>'B) D RI'!U53</f>
        <v>48921.463913043473</v>
      </c>
      <c r="D51" s="115">
        <f>'E) Fact soc'!G57/C51</f>
        <v>21.204118318993476</v>
      </c>
      <c r="E51" s="142">
        <f>'H) Péréquation directe'!I62/C51</f>
        <v>16.773439703634082</v>
      </c>
      <c r="F51" s="115">
        <f>+'I) Dépenses thématiques'!O51/'J) Plafonnement effort'!C51</f>
        <v>-1.9984759401463759</v>
      </c>
      <c r="G51" s="142">
        <f t="shared" si="1"/>
        <v>35.979082082481185</v>
      </c>
      <c r="H51" s="323">
        <f t="shared" si="2"/>
        <v>0</v>
      </c>
      <c r="I51" s="58">
        <f t="shared" si="3"/>
        <v>0</v>
      </c>
      <c r="J51" s="34">
        <f t="shared" si="4"/>
        <v>35.979082082481185</v>
      </c>
    </row>
    <row r="52" spans="1:10" x14ac:dyDescent="0.25">
      <c r="A52" s="50">
        <f>'A) Base RI'!A54</f>
        <v>5483</v>
      </c>
      <c r="B52" s="308" t="str">
        <f>'A) Base RI'!B54</f>
        <v>Ferreyres</v>
      </c>
      <c r="C52" s="99">
        <f>'B) D RI'!U54</f>
        <v>12338.918289473684</v>
      </c>
      <c r="D52" s="115">
        <f>'E) Fact soc'!G58/C52</f>
        <v>16.837889227314104</v>
      </c>
      <c r="E52" s="142">
        <f>'H) Péréquation directe'!I63/C52</f>
        <v>12.649013410917879</v>
      </c>
      <c r="F52" s="115">
        <f>+'I) Dépenses thématiques'!O52/'J) Plafonnement effort'!C52</f>
        <v>-0.56878894069224428</v>
      </c>
      <c r="G52" s="142">
        <f t="shared" si="1"/>
        <v>28.918113697539738</v>
      </c>
      <c r="H52" s="323">
        <f t="shared" si="2"/>
        <v>0</v>
      </c>
      <c r="I52" s="58">
        <f t="shared" si="3"/>
        <v>0</v>
      </c>
      <c r="J52" s="34">
        <f t="shared" si="4"/>
        <v>28.918113697539738</v>
      </c>
    </row>
    <row r="53" spans="1:10" x14ac:dyDescent="0.25">
      <c r="A53" s="50">
        <f>'A) Base RI'!A55</f>
        <v>5484</v>
      </c>
      <c r="B53" s="308" t="str">
        <f>'A) Base RI'!B55</f>
        <v>Gollion</v>
      </c>
      <c r="C53" s="99">
        <f>'B) D RI'!U55</f>
        <v>33965.841756756759</v>
      </c>
      <c r="D53" s="115">
        <f>'E) Fact soc'!G59/C53</f>
        <v>20.939987700579614</v>
      </c>
      <c r="E53" s="142">
        <f>'H) Péréquation directe'!I64/C53</f>
        <v>11.831598731651148</v>
      </c>
      <c r="F53" s="115">
        <f>+'I) Dépenses thématiques'!O53/'J) Plafonnement effort'!C53</f>
        <v>-4.0790338462414475</v>
      </c>
      <c r="G53" s="142">
        <f t="shared" si="1"/>
        <v>28.692552585989315</v>
      </c>
      <c r="H53" s="323">
        <f t="shared" si="2"/>
        <v>0</v>
      </c>
      <c r="I53" s="58">
        <f t="shared" si="3"/>
        <v>0</v>
      </c>
      <c r="J53" s="34">
        <f t="shared" si="4"/>
        <v>28.692552585989315</v>
      </c>
    </row>
    <row r="54" spans="1:10" x14ac:dyDescent="0.25">
      <c r="A54" s="50">
        <f>'A) Base RI'!A56</f>
        <v>5485</v>
      </c>
      <c r="B54" s="308" t="str">
        <f>'A) Base RI'!B56</f>
        <v>Grancy</v>
      </c>
      <c r="C54" s="99">
        <f>'B) D RI'!U56</f>
        <v>17740.37528571429</v>
      </c>
      <c r="D54" s="115">
        <f>'E) Fact soc'!G60/C54</f>
        <v>18.279403054902925</v>
      </c>
      <c r="E54" s="142">
        <f>'H) Péréquation directe'!I65/C54</f>
        <v>16.675249695555269</v>
      </c>
      <c r="F54" s="115">
        <f>+'I) Dépenses thématiques'!O54/'J) Plafonnement effort'!C54</f>
        <v>-1.9939949390022158</v>
      </c>
      <c r="G54" s="142">
        <f t="shared" si="1"/>
        <v>32.960657811455981</v>
      </c>
      <c r="H54" s="323">
        <f t="shared" si="2"/>
        <v>0</v>
      </c>
      <c r="I54" s="58">
        <f t="shared" si="3"/>
        <v>0</v>
      </c>
      <c r="J54" s="34">
        <f t="shared" si="4"/>
        <v>32.960657811455981</v>
      </c>
    </row>
    <row r="55" spans="1:10" x14ac:dyDescent="0.25">
      <c r="A55" s="50">
        <f>'A) Base RI'!A57</f>
        <v>5486</v>
      </c>
      <c r="B55" s="308" t="str">
        <f>'A) Base RI'!B57</f>
        <v>L'Isle</v>
      </c>
      <c r="C55" s="99">
        <f>'B) D RI'!U57</f>
        <v>25696.695921052633</v>
      </c>
      <c r="D55" s="115">
        <f>'E) Fact soc'!G61/C55</f>
        <v>19.957762544467172</v>
      </c>
      <c r="E55" s="142">
        <f>'H) Péréquation directe'!I66/C55</f>
        <v>-2.5313267137857109</v>
      </c>
      <c r="F55" s="115">
        <f>+'I) Dépenses thématiques'!O55/'J) Plafonnement effort'!C55</f>
        <v>-12.929232363321089</v>
      </c>
      <c r="G55" s="142">
        <f t="shared" si="1"/>
        <v>4.4972034673603734</v>
      </c>
      <c r="H55" s="323">
        <f t="shared" si="2"/>
        <v>0</v>
      </c>
      <c r="I55" s="58">
        <f t="shared" si="3"/>
        <v>0</v>
      </c>
      <c r="J55" s="34">
        <f t="shared" si="4"/>
        <v>4.4972034673603734</v>
      </c>
    </row>
    <row r="56" spans="1:10" x14ac:dyDescent="0.25">
      <c r="A56" s="50">
        <f>'A) Base RI'!A58</f>
        <v>5487</v>
      </c>
      <c r="B56" s="308" t="str">
        <f>'A) Base RI'!B58</f>
        <v>Lussery-Villars</v>
      </c>
      <c r="C56" s="99">
        <f>'B) D RI'!U58</f>
        <v>14347.116805555555</v>
      </c>
      <c r="D56" s="115">
        <f>'E) Fact soc'!G62/C56</f>
        <v>18.92415328060757</v>
      </c>
      <c r="E56" s="142">
        <f>'H) Péréquation directe'!I67/C56</f>
        <v>6.8434792228707275</v>
      </c>
      <c r="F56" s="115">
        <f>+'I) Dépenses thématiques'!O56/'J) Plafonnement effort'!C56</f>
        <v>-0.88220158364958368</v>
      </c>
      <c r="G56" s="142">
        <f t="shared" si="1"/>
        <v>24.885430919828714</v>
      </c>
      <c r="H56" s="323">
        <f t="shared" si="2"/>
        <v>0</v>
      </c>
      <c r="I56" s="58">
        <f t="shared" si="3"/>
        <v>0</v>
      </c>
      <c r="J56" s="34">
        <f t="shared" si="4"/>
        <v>24.885430919828714</v>
      </c>
    </row>
    <row r="57" spans="1:10" x14ac:dyDescent="0.25">
      <c r="A57" s="50">
        <f>'A) Base RI'!A59</f>
        <v>5488</v>
      </c>
      <c r="B57" s="308" t="str">
        <f>'A) Base RI'!B59</f>
        <v>Mauraz</v>
      </c>
      <c r="C57" s="99">
        <f>'B) D RI'!U59</f>
        <v>1636.236081081081</v>
      </c>
      <c r="D57" s="115">
        <f>'E) Fact soc'!G63/C57</f>
        <v>15.776168524359456</v>
      </c>
      <c r="E57" s="142">
        <f>'H) Péréquation directe'!I68/C57</f>
        <v>1.1366863824791265</v>
      </c>
      <c r="F57" s="115">
        <f>+'I) Dépenses thématiques'!O57/'J) Plafonnement effort'!C57</f>
        <v>-1.1890603904957548</v>
      </c>
      <c r="G57" s="142">
        <f t="shared" si="1"/>
        <v>15.723794516342828</v>
      </c>
      <c r="H57" s="323">
        <f t="shared" si="2"/>
        <v>0</v>
      </c>
      <c r="I57" s="58">
        <f t="shared" si="3"/>
        <v>0</v>
      </c>
      <c r="J57" s="34">
        <f t="shared" si="4"/>
        <v>15.723794516342828</v>
      </c>
    </row>
    <row r="58" spans="1:10" x14ac:dyDescent="0.25">
      <c r="A58" s="50">
        <f>'A) Base RI'!A60</f>
        <v>5489</v>
      </c>
      <c r="B58" s="308" t="str">
        <f>'A) Base RI'!B60</f>
        <v>Mex</v>
      </c>
      <c r="C58" s="99">
        <f>'B) D RI'!U60</f>
        <v>52928.292459016397</v>
      </c>
      <c r="D58" s="115">
        <f>'E) Fact soc'!G64/C58</f>
        <v>25.552116125671905</v>
      </c>
      <c r="E58" s="142">
        <f>'H) Péréquation directe'!I69/C58</f>
        <v>18.337039261233855</v>
      </c>
      <c r="F58" s="115">
        <f>+'I) Dépenses thématiques'!O58/'J) Plafonnement effort'!C58</f>
        <v>0</v>
      </c>
      <c r="G58" s="142">
        <f t="shared" si="1"/>
        <v>43.889155386905756</v>
      </c>
      <c r="H58" s="323">
        <f t="shared" si="2"/>
        <v>0</v>
      </c>
      <c r="I58" s="58">
        <f t="shared" si="3"/>
        <v>0</v>
      </c>
      <c r="J58" s="34">
        <f t="shared" si="4"/>
        <v>43.889155386905756</v>
      </c>
    </row>
    <row r="59" spans="1:10" x14ac:dyDescent="0.25">
      <c r="A59" s="50">
        <f>'A) Base RI'!A61</f>
        <v>5490</v>
      </c>
      <c r="B59" s="308" t="str">
        <f>'A) Base RI'!B61</f>
        <v>Moiry</v>
      </c>
      <c r="C59" s="99">
        <f>'B) D RI'!U61</f>
        <v>8175.9358024691346</v>
      </c>
      <c r="D59" s="115">
        <f>'E) Fact soc'!G65/C59</f>
        <v>16.583583743789919</v>
      </c>
      <c r="E59" s="142">
        <f>'H) Péréquation directe'!I70/C59</f>
        <v>-4.2894868040584209</v>
      </c>
      <c r="F59" s="115">
        <f>+'I) Dépenses thématiques'!O59/'J) Plafonnement effort'!C59</f>
        <v>-5.4854742342327123</v>
      </c>
      <c r="G59" s="142">
        <f t="shared" si="1"/>
        <v>6.8086227054987871</v>
      </c>
      <c r="H59" s="323">
        <f t="shared" si="2"/>
        <v>0</v>
      </c>
      <c r="I59" s="58">
        <f t="shared" si="3"/>
        <v>0</v>
      </c>
      <c r="J59" s="34">
        <f t="shared" si="4"/>
        <v>6.8086227054987871</v>
      </c>
    </row>
    <row r="60" spans="1:10" x14ac:dyDescent="0.25">
      <c r="A60" s="50">
        <f>'A) Base RI'!A62</f>
        <v>5491</v>
      </c>
      <c r="B60" s="308" t="str">
        <f>'A) Base RI'!B62</f>
        <v>Mont-la-Ville</v>
      </c>
      <c r="C60" s="99">
        <f>'B) D RI'!U62</f>
        <v>10544.805394736843</v>
      </c>
      <c r="D60" s="115">
        <f>'E) Fact soc'!G66/C60</f>
        <v>18.025755322029511</v>
      </c>
      <c r="E60" s="142">
        <f>'H) Péréquation directe'!I71/C60</f>
        <v>-2.9945735378021787</v>
      </c>
      <c r="F60" s="115">
        <f>+'I) Dépenses thématiques'!O60/'J) Plafonnement effort'!C60</f>
        <v>-9.0633786028169201</v>
      </c>
      <c r="G60" s="142">
        <f t="shared" si="1"/>
        <v>5.967803181410412</v>
      </c>
      <c r="H60" s="323">
        <f t="shared" si="2"/>
        <v>0</v>
      </c>
      <c r="I60" s="58">
        <f t="shared" si="3"/>
        <v>0</v>
      </c>
      <c r="J60" s="34">
        <f t="shared" si="4"/>
        <v>5.967803181410412</v>
      </c>
    </row>
    <row r="61" spans="1:10" x14ac:dyDescent="0.25">
      <c r="A61" s="50">
        <f>'A) Base RI'!A63</f>
        <v>5492</v>
      </c>
      <c r="B61" s="308" t="str">
        <f>'A) Base RI'!B63</f>
        <v>Montricher</v>
      </c>
      <c r="C61" s="99">
        <f>'B) D RI'!U63</f>
        <v>222873.70244791667</v>
      </c>
      <c r="D61" s="115">
        <f>'E) Fact soc'!G67/C61</f>
        <v>42.122786183151867</v>
      </c>
      <c r="E61" s="142">
        <f>'H) Péréquation directe'!I72/C61</f>
        <v>19.465930919687807</v>
      </c>
      <c r="F61" s="115">
        <f>+'I) Dépenses thématiques'!O61/'J) Plafonnement effort'!C61</f>
        <v>-0.42183744484629448</v>
      </c>
      <c r="G61" s="142">
        <f t="shared" si="1"/>
        <v>61.166879657993377</v>
      </c>
      <c r="H61" s="323">
        <f t="shared" si="2"/>
        <v>-16.166879657993377</v>
      </c>
      <c r="I61" s="58">
        <f t="shared" si="3"/>
        <v>-3603172.3264068929</v>
      </c>
      <c r="J61" s="34">
        <f t="shared" si="4"/>
        <v>45</v>
      </c>
    </row>
    <row r="62" spans="1:10" x14ac:dyDescent="0.25">
      <c r="A62" s="50">
        <f>'A) Base RI'!A64</f>
        <v>5493</v>
      </c>
      <c r="B62" s="308" t="str">
        <f>'A) Base RI'!B64</f>
        <v>Orny</v>
      </c>
      <c r="C62" s="99">
        <f>'B) D RI'!U64</f>
        <v>9896.3592518440455</v>
      </c>
      <c r="D62" s="115">
        <f>'E) Fact soc'!G68/C62</f>
        <v>21.378239305052826</v>
      </c>
      <c r="E62" s="142">
        <f>'H) Péréquation directe'!I73/C62</f>
        <v>2.2761448440998451</v>
      </c>
      <c r="F62" s="115">
        <f>+'I) Dépenses thématiques'!O62/'J) Plafonnement effort'!C62</f>
        <v>-33.199994734309023</v>
      </c>
      <c r="G62" s="142">
        <f t="shared" si="1"/>
        <v>-9.54561058515635</v>
      </c>
      <c r="H62" s="323">
        <f t="shared" si="2"/>
        <v>0</v>
      </c>
      <c r="I62" s="58">
        <f t="shared" si="3"/>
        <v>0</v>
      </c>
      <c r="J62" s="34">
        <f t="shared" si="4"/>
        <v>-9.54561058515635</v>
      </c>
    </row>
    <row r="63" spans="1:10" x14ac:dyDescent="0.25">
      <c r="A63" s="50">
        <f>'A) Base RI'!A65</f>
        <v>5494</v>
      </c>
      <c r="B63" s="308" t="str">
        <f>'A) Base RI'!B65</f>
        <v>Pampigny</v>
      </c>
      <c r="C63" s="99">
        <f>'B) D RI'!U65</f>
        <v>36998.378139682543</v>
      </c>
      <c r="D63" s="115">
        <f>'E) Fact soc'!G69/C63</f>
        <v>16.577676360406844</v>
      </c>
      <c r="E63" s="142">
        <f>'H) Péréquation directe'!I74/C63</f>
        <v>7.146408326938583</v>
      </c>
      <c r="F63" s="115">
        <f>+'I) Dépenses thématiques'!O63/'J) Plafonnement effort'!C63</f>
        <v>-6.1548426987101639</v>
      </c>
      <c r="G63" s="142">
        <f t="shared" si="1"/>
        <v>17.569241988635262</v>
      </c>
      <c r="H63" s="323">
        <f t="shared" si="2"/>
        <v>0</v>
      </c>
      <c r="I63" s="58">
        <f t="shared" si="3"/>
        <v>0</v>
      </c>
      <c r="J63" s="34">
        <f t="shared" si="4"/>
        <v>17.569241988635262</v>
      </c>
    </row>
    <row r="64" spans="1:10" x14ac:dyDescent="0.25">
      <c r="A64" s="50">
        <f>'A) Base RI'!A66</f>
        <v>5495</v>
      </c>
      <c r="B64" s="308" t="str">
        <f>'A) Base RI'!B66</f>
        <v>Penthalaz</v>
      </c>
      <c r="C64" s="99">
        <f>'B) D RI'!U66</f>
        <v>92865.132567567576</v>
      </c>
      <c r="D64" s="115">
        <f>'E) Fact soc'!G70/C64</f>
        <v>19.861963747059779</v>
      </c>
      <c r="E64" s="142">
        <f>'H) Péréquation directe'!I75/C64</f>
        <v>-3.3026446282677964</v>
      </c>
      <c r="F64" s="115">
        <f>+'I) Dépenses thématiques'!O64/'J) Plafonnement effort'!C64</f>
        <v>-5.284347220544463</v>
      </c>
      <c r="G64" s="142">
        <f t="shared" si="1"/>
        <v>11.27497189824752</v>
      </c>
      <c r="H64" s="323">
        <f t="shared" si="2"/>
        <v>0</v>
      </c>
      <c r="I64" s="58">
        <f t="shared" si="3"/>
        <v>0</v>
      </c>
      <c r="J64" s="34">
        <f t="shared" si="4"/>
        <v>11.27497189824752</v>
      </c>
    </row>
    <row r="65" spans="1:10" x14ac:dyDescent="0.25">
      <c r="A65" s="50">
        <f>'A) Base RI'!A67</f>
        <v>5496</v>
      </c>
      <c r="B65" s="308" t="str">
        <f>'A) Base RI'!B67</f>
        <v>Penthaz</v>
      </c>
      <c r="C65" s="99">
        <f>'B) D RI'!U67</f>
        <v>54824.850845070439</v>
      </c>
      <c r="D65" s="115">
        <f>'E) Fact soc'!G71/C65</f>
        <v>18.425688819644691</v>
      </c>
      <c r="E65" s="142">
        <f>'H) Péréquation directe'!I76/C65</f>
        <v>4.6804056414794131</v>
      </c>
      <c r="F65" s="115">
        <f>+'I) Dépenses thématiques'!O65/'J) Plafonnement effort'!C65</f>
        <v>-4.4692760883563611</v>
      </c>
      <c r="G65" s="142">
        <f t="shared" si="1"/>
        <v>18.636818372767742</v>
      </c>
      <c r="H65" s="323">
        <f t="shared" si="2"/>
        <v>0</v>
      </c>
      <c r="I65" s="58">
        <f t="shared" si="3"/>
        <v>0</v>
      </c>
      <c r="J65" s="34">
        <f t="shared" si="4"/>
        <v>18.636818372767742</v>
      </c>
    </row>
    <row r="66" spans="1:10" x14ac:dyDescent="0.25">
      <c r="A66" s="50">
        <f>'A) Base RI'!A68</f>
        <v>5497</v>
      </c>
      <c r="B66" s="308" t="str">
        <f>'A) Base RI'!B68</f>
        <v>Pompaples</v>
      </c>
      <c r="C66" s="99">
        <f>'B) D RI'!U68</f>
        <v>21718.90772727273</v>
      </c>
      <c r="D66" s="115">
        <f>'E) Fact soc'!G72/C66</f>
        <v>27.364047765817212</v>
      </c>
      <c r="E66" s="142">
        <f>'H) Péréquation directe'!I77/C66</f>
        <v>1.6651157172217381</v>
      </c>
      <c r="F66" s="115">
        <f>+'I) Dépenses thématiques'!O66/'J) Plafonnement effort'!C66</f>
        <v>-8.3560050954345435</v>
      </c>
      <c r="G66" s="142">
        <f t="shared" si="1"/>
        <v>20.673158387604406</v>
      </c>
      <c r="H66" s="323">
        <f t="shared" si="2"/>
        <v>0</v>
      </c>
      <c r="I66" s="58">
        <f t="shared" si="3"/>
        <v>0</v>
      </c>
      <c r="J66" s="34">
        <f t="shared" si="4"/>
        <v>20.673158387604406</v>
      </c>
    </row>
    <row r="67" spans="1:10" x14ac:dyDescent="0.25">
      <c r="A67" s="50">
        <f>'A) Base RI'!A69</f>
        <v>5498</v>
      </c>
      <c r="B67" s="308" t="str">
        <f>'A) Base RI'!B69</f>
        <v>La Sarraz</v>
      </c>
      <c r="C67" s="99">
        <f>'B) D RI'!U69</f>
        <v>70914.560303030303</v>
      </c>
      <c r="D67" s="115">
        <f>'E) Fact soc'!G73/C67</f>
        <v>21.860979078865018</v>
      </c>
      <c r="E67" s="142">
        <f>'H) Péréquation directe'!I78/C67</f>
        <v>-1.0823705227549452</v>
      </c>
      <c r="F67" s="115">
        <f>+'I) Dépenses thématiques'!O67/'J) Plafonnement effort'!C67</f>
        <v>-8.6202415353014068</v>
      </c>
      <c r="G67" s="142">
        <f t="shared" si="1"/>
        <v>12.158367020808665</v>
      </c>
      <c r="H67" s="323">
        <f t="shared" si="2"/>
        <v>0</v>
      </c>
      <c r="I67" s="58">
        <f t="shared" si="3"/>
        <v>0</v>
      </c>
      <c r="J67" s="34">
        <f t="shared" si="4"/>
        <v>12.158367020808665</v>
      </c>
    </row>
    <row r="68" spans="1:10" x14ac:dyDescent="0.25">
      <c r="A68" s="50">
        <f>'A) Base RI'!A70</f>
        <v>5499</v>
      </c>
      <c r="B68" s="308" t="str">
        <f>'A) Base RI'!B70</f>
        <v>Senarclens</v>
      </c>
      <c r="C68" s="99">
        <f>'B) D RI'!U70</f>
        <v>20155.097956204383</v>
      </c>
      <c r="D68" s="115">
        <f>'E) Fact soc'!G74/C68</f>
        <v>24.580053545686148</v>
      </c>
      <c r="E68" s="142">
        <f>'H) Péréquation directe'!I79/C68</f>
        <v>14.433295852792796</v>
      </c>
      <c r="F68" s="115">
        <f>+'I) Dépenses thématiques'!O68/'J) Plafonnement effort'!C68</f>
        <v>-1.1989230871157897</v>
      </c>
      <c r="G68" s="142">
        <f t="shared" si="1"/>
        <v>37.814426311363157</v>
      </c>
      <c r="H68" s="323">
        <f t="shared" si="2"/>
        <v>0</v>
      </c>
      <c r="I68" s="58">
        <f t="shared" si="3"/>
        <v>0</v>
      </c>
      <c r="J68" s="34">
        <f t="shared" si="4"/>
        <v>37.814426311363157</v>
      </c>
    </row>
    <row r="69" spans="1:10" x14ac:dyDescent="0.25">
      <c r="A69" s="50">
        <f>'A) Base RI'!A71</f>
        <v>5500</v>
      </c>
      <c r="B69" s="308" t="str">
        <f>'A) Base RI'!B71</f>
        <v>Sévery</v>
      </c>
      <c r="C69" s="99">
        <f>'B) D RI'!U71</f>
        <v>8930.8127555555548</v>
      </c>
      <c r="D69" s="115">
        <f>'E) Fact soc'!G75/C69</f>
        <v>17.613744280249229</v>
      </c>
      <c r="E69" s="142">
        <f>'H) Péréquation directe'!I80/C69</f>
        <v>12.765029532182277</v>
      </c>
      <c r="F69" s="115">
        <f>+'I) Dépenses thématiques'!O69/'J) Plafonnement effort'!C69</f>
        <v>-0.80027693585006465</v>
      </c>
      <c r="G69" s="142">
        <f t="shared" si="1"/>
        <v>29.57849687658144</v>
      </c>
      <c r="H69" s="323">
        <f t="shared" si="2"/>
        <v>0</v>
      </c>
      <c r="I69" s="58">
        <f t="shared" si="3"/>
        <v>0</v>
      </c>
      <c r="J69" s="34">
        <f t="shared" si="4"/>
        <v>29.57849687658144</v>
      </c>
    </row>
    <row r="70" spans="1:10" x14ac:dyDescent="0.25">
      <c r="A70" s="50">
        <f>'A) Base RI'!A72</f>
        <v>5501</v>
      </c>
      <c r="B70" s="308" t="str">
        <f>'A) Base RI'!B72</f>
        <v>Sullens</v>
      </c>
      <c r="C70" s="99">
        <f>'B) D RI'!U72</f>
        <v>34225.937428571429</v>
      </c>
      <c r="D70" s="115">
        <f>'E) Fact soc'!G76/C70</f>
        <v>18.420090701475903</v>
      </c>
      <c r="E70" s="142">
        <f>'H) Péréquation directe'!I81/C70</f>
        <v>9.9592034416122779</v>
      </c>
      <c r="F70" s="115">
        <f>+'I) Dépenses thématiques'!O70/'J) Plafonnement effort'!C70</f>
        <v>-1.8305977005859906</v>
      </c>
      <c r="G70" s="142">
        <f t="shared" ref="G70:G133" si="5">SUM(D70:F70)</f>
        <v>26.548696442502191</v>
      </c>
      <c r="H70" s="323">
        <f t="shared" ref="H70:H133" si="6">IF(G70&gt;H$4,H$4-G70,0)</f>
        <v>0</v>
      </c>
      <c r="I70" s="58">
        <f t="shared" ref="I70:I133" si="7">H70*C70</f>
        <v>0</v>
      </c>
      <c r="J70" s="34">
        <f t="shared" ref="J70:J133" si="8">G70+H70</f>
        <v>26.548696442502191</v>
      </c>
    </row>
    <row r="71" spans="1:10" x14ac:dyDescent="0.25">
      <c r="A71" s="50">
        <f>'A) Base RI'!A73</f>
        <v>5503</v>
      </c>
      <c r="B71" s="308" t="str">
        <f>'A) Base RI'!B73</f>
        <v>Vufflens-la-Ville</v>
      </c>
      <c r="C71" s="99">
        <f>'B) D RI'!U73</f>
        <v>64516.192437810947</v>
      </c>
      <c r="D71" s="115">
        <f>'E) Fact soc'!G77/C71</f>
        <v>19.326306455857988</v>
      </c>
      <c r="E71" s="142">
        <f>'H) Péréquation directe'!I82/C71</f>
        <v>16.576052317195003</v>
      </c>
      <c r="F71" s="115">
        <f>+'I) Dépenses thématiques'!O71/'J) Plafonnement effort'!C71</f>
        <v>0</v>
      </c>
      <c r="G71" s="142">
        <f t="shared" si="5"/>
        <v>35.902358773052995</v>
      </c>
      <c r="H71" s="323">
        <f t="shared" si="6"/>
        <v>0</v>
      </c>
      <c r="I71" s="58">
        <f t="shared" si="7"/>
        <v>0</v>
      </c>
      <c r="J71" s="34">
        <f t="shared" si="8"/>
        <v>35.902358773052995</v>
      </c>
    </row>
    <row r="72" spans="1:10" x14ac:dyDescent="0.25">
      <c r="A72" s="50">
        <f>'A) Base RI'!A74</f>
        <v>5511</v>
      </c>
      <c r="B72" s="308" t="str">
        <f>'A) Base RI'!B74</f>
        <v>Assens</v>
      </c>
      <c r="C72" s="99">
        <f>'B) D RI'!U74</f>
        <v>48081.721857142853</v>
      </c>
      <c r="D72" s="115">
        <f>'E) Fact soc'!G78/C72</f>
        <v>16.699531775199535</v>
      </c>
      <c r="E72" s="142">
        <f>'H) Péréquation directe'!I83/C72</f>
        <v>16.816936865460217</v>
      </c>
      <c r="F72" s="115">
        <f>+'I) Dépenses thématiques'!O72/'J) Plafonnement effort'!C72</f>
        <v>-2.839278910658694</v>
      </c>
      <c r="G72" s="142">
        <f t="shared" si="5"/>
        <v>30.677189730001057</v>
      </c>
      <c r="H72" s="323">
        <f t="shared" si="6"/>
        <v>0</v>
      </c>
      <c r="I72" s="58">
        <f t="shared" si="7"/>
        <v>0</v>
      </c>
      <c r="J72" s="34">
        <f t="shared" si="8"/>
        <v>30.677189730001057</v>
      </c>
    </row>
    <row r="73" spans="1:10" x14ac:dyDescent="0.25">
      <c r="A73" s="50">
        <f>'A) Base RI'!A75</f>
        <v>5512</v>
      </c>
      <c r="B73" s="308" t="str">
        <f>'A) Base RI'!B75</f>
        <v>Bercher</v>
      </c>
      <c r="C73" s="99">
        <f>'B) D RI'!U75</f>
        <v>37529.742911392401</v>
      </c>
      <c r="D73" s="115">
        <f>'E) Fact soc'!G79/C73</f>
        <v>18.970244627758813</v>
      </c>
      <c r="E73" s="142">
        <f>'H) Péréquation directe'!I84/C73</f>
        <v>2.9795790941405729</v>
      </c>
      <c r="F73" s="115">
        <f>+'I) Dépenses thématiques'!O73/'J) Plafonnement effort'!C73</f>
        <v>-4.7109446752425423</v>
      </c>
      <c r="G73" s="142">
        <f t="shared" si="5"/>
        <v>17.238879046656841</v>
      </c>
      <c r="H73" s="323">
        <f t="shared" si="6"/>
        <v>0</v>
      </c>
      <c r="I73" s="58">
        <f t="shared" si="7"/>
        <v>0</v>
      </c>
      <c r="J73" s="34">
        <f t="shared" si="8"/>
        <v>17.238879046656841</v>
      </c>
    </row>
    <row r="74" spans="1:10" x14ac:dyDescent="0.25">
      <c r="A74" s="50">
        <f>'A) Base RI'!A76</f>
        <v>5513</v>
      </c>
      <c r="B74" s="308" t="str">
        <f>'A) Base RI'!B76</f>
        <v>Bioley-Orjulaz</v>
      </c>
      <c r="C74" s="99">
        <f>'B) D RI'!U76</f>
        <v>21045.596470588232</v>
      </c>
      <c r="D74" s="115">
        <f>'E) Fact soc'!G80/C74</f>
        <v>25.931363712040746</v>
      </c>
      <c r="E74" s="142">
        <f>'H) Péréquation directe'!I85/C74</f>
        <v>15.755249227321487</v>
      </c>
      <c r="F74" s="115">
        <f>+'I) Dépenses thématiques'!O74/'J) Plafonnement effort'!C74</f>
        <v>-1.2613408801964283</v>
      </c>
      <c r="G74" s="142">
        <f t="shared" si="5"/>
        <v>40.425272059165806</v>
      </c>
      <c r="H74" s="323">
        <f t="shared" si="6"/>
        <v>0</v>
      </c>
      <c r="I74" s="58">
        <f t="shared" si="7"/>
        <v>0</v>
      </c>
      <c r="J74" s="34">
        <f t="shared" si="8"/>
        <v>40.425272059165806</v>
      </c>
    </row>
    <row r="75" spans="1:10" x14ac:dyDescent="0.25">
      <c r="A75" s="50">
        <f>'A) Base RI'!A77</f>
        <v>5514</v>
      </c>
      <c r="B75" s="308" t="str">
        <f>'A) Base RI'!B77</f>
        <v>Bottens</v>
      </c>
      <c r="C75" s="99">
        <f>'B) D RI'!U77</f>
        <v>40912.963623188407</v>
      </c>
      <c r="D75" s="115">
        <f>'E) Fact soc'!G81/C75</f>
        <v>17.298692181499149</v>
      </c>
      <c r="E75" s="142">
        <f>'H) Péréquation directe'!I86/C75</f>
        <v>7.2668938907254459</v>
      </c>
      <c r="F75" s="115">
        <f>+'I) Dépenses thématiques'!O75/'J) Plafonnement effort'!C75</f>
        <v>0</v>
      </c>
      <c r="G75" s="142">
        <f t="shared" si="5"/>
        <v>24.565586072224594</v>
      </c>
      <c r="H75" s="323">
        <f t="shared" si="6"/>
        <v>0</v>
      </c>
      <c r="I75" s="58">
        <f t="shared" si="7"/>
        <v>0</v>
      </c>
      <c r="J75" s="34">
        <f t="shared" si="8"/>
        <v>24.565586072224594</v>
      </c>
    </row>
    <row r="76" spans="1:10" x14ac:dyDescent="0.25">
      <c r="A76" s="50">
        <f>'A) Base RI'!A78</f>
        <v>5515</v>
      </c>
      <c r="B76" s="308" t="str">
        <f>'A) Base RI'!B78</f>
        <v>Bretigny-sur-Morrens</v>
      </c>
      <c r="C76" s="99">
        <f>'B) D RI'!U78</f>
        <v>27693.425342465755</v>
      </c>
      <c r="D76" s="115">
        <f>'E) Fact soc'!G82/C76</f>
        <v>17.787986286554681</v>
      </c>
      <c r="E76" s="142">
        <f>'H) Péréquation directe'!I87/C76</f>
        <v>8.9697754269066099</v>
      </c>
      <c r="F76" s="115">
        <f>+'I) Dépenses thématiques'!O76/'J) Plafonnement effort'!C76</f>
        <v>-1.6476996753173274</v>
      </c>
      <c r="G76" s="142">
        <f t="shared" si="5"/>
        <v>25.110062038143965</v>
      </c>
      <c r="H76" s="323">
        <f t="shared" si="6"/>
        <v>0</v>
      </c>
      <c r="I76" s="58">
        <f t="shared" si="7"/>
        <v>0</v>
      </c>
      <c r="J76" s="34">
        <f t="shared" si="8"/>
        <v>25.110062038143965</v>
      </c>
    </row>
    <row r="77" spans="1:10" x14ac:dyDescent="0.25">
      <c r="A77" s="50">
        <f>'A) Base RI'!A79</f>
        <v>5516</v>
      </c>
      <c r="B77" s="308" t="str">
        <f>'A) Base RI'!B79</f>
        <v>Cugy</v>
      </c>
      <c r="C77" s="99">
        <f>'B) D RI'!U79</f>
        <v>110018.3817142857</v>
      </c>
      <c r="D77" s="115">
        <f>'E) Fact soc'!G83/C77</f>
        <v>18.558610923803066</v>
      </c>
      <c r="E77" s="142">
        <f>'H) Péréquation directe'!I88/C77</f>
        <v>10.914698076488943</v>
      </c>
      <c r="F77" s="115">
        <f>+'I) Dépenses thématiques'!O77/'J) Plafonnement effort'!C77</f>
        <v>-2.4354017532280641</v>
      </c>
      <c r="G77" s="142">
        <f t="shared" si="5"/>
        <v>27.037907247063945</v>
      </c>
      <c r="H77" s="323">
        <f t="shared" si="6"/>
        <v>0</v>
      </c>
      <c r="I77" s="58">
        <f t="shared" si="7"/>
        <v>0</v>
      </c>
      <c r="J77" s="34">
        <f t="shared" si="8"/>
        <v>27.037907247063945</v>
      </c>
    </row>
    <row r="78" spans="1:10" x14ac:dyDescent="0.25">
      <c r="A78" s="50">
        <f>'A) Base RI'!A80</f>
        <v>5518</v>
      </c>
      <c r="B78" s="308" t="str">
        <f>'A) Base RI'!B80</f>
        <v>Echallens</v>
      </c>
      <c r="C78" s="99">
        <f>'B) D RI'!U80</f>
        <v>186251.15094594596</v>
      </c>
      <c r="D78" s="115">
        <f>'E) Fact soc'!G84/C78</f>
        <v>17.487847503956868</v>
      </c>
      <c r="E78" s="142">
        <f>'H) Péréquation directe'!I89/C78</f>
        <v>-0.50160427097323212</v>
      </c>
      <c r="F78" s="115">
        <f>+'I) Dépenses thématiques'!O78/'J) Plafonnement effort'!C78</f>
        <v>-5.7467636515972993</v>
      </c>
      <c r="G78" s="142">
        <f t="shared" si="5"/>
        <v>11.239479581386338</v>
      </c>
      <c r="H78" s="323">
        <f t="shared" si="6"/>
        <v>0</v>
      </c>
      <c r="I78" s="58">
        <f t="shared" si="7"/>
        <v>0</v>
      </c>
      <c r="J78" s="34">
        <f t="shared" si="8"/>
        <v>11.239479581386338</v>
      </c>
    </row>
    <row r="79" spans="1:10" x14ac:dyDescent="0.25">
      <c r="A79" s="50">
        <f>'A) Base RI'!A81</f>
        <v>5520</v>
      </c>
      <c r="B79" s="308" t="str">
        <f>'A) Base RI'!B81</f>
        <v>Essertines-sur-Yverdon</v>
      </c>
      <c r="C79" s="99">
        <f>'B) D RI'!U81</f>
        <v>32026.22082191781</v>
      </c>
      <c r="D79" s="115">
        <f>'E) Fact soc'!G85/C79</f>
        <v>18.94659536193722</v>
      </c>
      <c r="E79" s="142">
        <f>'H) Péréquation directe'!I90/C79</f>
        <v>8.0595657219894008</v>
      </c>
      <c r="F79" s="115">
        <f>+'I) Dépenses thématiques'!O79/'J) Plafonnement effort'!C79</f>
        <v>-7.2865375140469233</v>
      </c>
      <c r="G79" s="142">
        <f t="shared" si="5"/>
        <v>19.719623569879698</v>
      </c>
      <c r="H79" s="323">
        <f t="shared" si="6"/>
        <v>0</v>
      </c>
      <c r="I79" s="58">
        <f t="shared" si="7"/>
        <v>0</v>
      </c>
      <c r="J79" s="34">
        <f t="shared" si="8"/>
        <v>19.719623569879698</v>
      </c>
    </row>
    <row r="80" spans="1:10" x14ac:dyDescent="0.25">
      <c r="A80" s="50">
        <f>'A) Base RI'!A82</f>
        <v>5521</v>
      </c>
      <c r="B80" s="308" t="str">
        <f>'A) Base RI'!B82</f>
        <v>Etagnières</v>
      </c>
      <c r="C80" s="99">
        <f>'B) D RI'!U82</f>
        <v>40939.440821917808</v>
      </c>
      <c r="D80" s="115">
        <f>'E) Fact soc'!G86/C80</f>
        <v>17.94839213598215</v>
      </c>
      <c r="E80" s="142">
        <f>'H) Péréquation directe'!I91/C80</f>
        <v>10.984288427509435</v>
      </c>
      <c r="F80" s="115">
        <f>+'I) Dépenses thématiques'!O80/'J) Plafonnement effort'!C80</f>
        <v>-2.5821189719992716E-2</v>
      </c>
      <c r="G80" s="142">
        <f t="shared" si="5"/>
        <v>28.906859373771596</v>
      </c>
      <c r="H80" s="323">
        <f t="shared" si="6"/>
        <v>0</v>
      </c>
      <c r="I80" s="58">
        <f t="shared" si="7"/>
        <v>0</v>
      </c>
      <c r="J80" s="34">
        <f t="shared" si="8"/>
        <v>28.906859373771596</v>
      </c>
    </row>
    <row r="81" spans="1:10" x14ac:dyDescent="0.25">
      <c r="A81" s="50">
        <f>'A) Base RI'!A83</f>
        <v>5522</v>
      </c>
      <c r="B81" s="308" t="str">
        <f>'A) Base RI'!B83</f>
        <v>Fey</v>
      </c>
      <c r="C81" s="99">
        <f>'B) D RI'!U83</f>
        <v>20215.813200000001</v>
      </c>
      <c r="D81" s="115">
        <f>'E) Fact soc'!G87/C81</f>
        <v>19.186533930782979</v>
      </c>
      <c r="E81" s="142">
        <f>'H) Péréquation directe'!I92/C81</f>
        <v>2.8987170536362159</v>
      </c>
      <c r="F81" s="115">
        <f>+'I) Dépenses thématiques'!O81/'J) Plafonnement effort'!C81</f>
        <v>-0.95267060045845675</v>
      </c>
      <c r="G81" s="142">
        <f t="shared" si="5"/>
        <v>21.132580383960736</v>
      </c>
      <c r="H81" s="323">
        <f t="shared" si="6"/>
        <v>0</v>
      </c>
      <c r="I81" s="58">
        <f t="shared" si="7"/>
        <v>0</v>
      </c>
      <c r="J81" s="34">
        <f t="shared" si="8"/>
        <v>21.132580383960736</v>
      </c>
    </row>
    <row r="82" spans="1:10" x14ac:dyDescent="0.25">
      <c r="A82" s="50">
        <f>'A) Base RI'!A84</f>
        <v>5523</v>
      </c>
      <c r="B82" s="308" t="str">
        <f>'A) Base RI'!B84</f>
        <v>Froideville</v>
      </c>
      <c r="C82" s="99">
        <f>'B) D RI'!U84</f>
        <v>83831.156184210529</v>
      </c>
      <c r="D82" s="115">
        <f>'E) Fact soc'!G88/C82</f>
        <v>17.498948891155848</v>
      </c>
      <c r="E82" s="142">
        <f>'H) Péréquation directe'!I93/C82</f>
        <v>3.3301383708809142</v>
      </c>
      <c r="F82" s="115">
        <f>+'I) Dépenses thématiques'!O82/'J) Plafonnement effort'!C82</f>
        <v>-1.7742605454217921</v>
      </c>
      <c r="G82" s="142">
        <f t="shared" si="5"/>
        <v>19.054826716614969</v>
      </c>
      <c r="H82" s="323">
        <f t="shared" si="6"/>
        <v>0</v>
      </c>
      <c r="I82" s="58">
        <f t="shared" si="7"/>
        <v>0</v>
      </c>
      <c r="J82" s="34">
        <f t="shared" si="8"/>
        <v>19.054826716614969</v>
      </c>
    </row>
    <row r="83" spans="1:10" x14ac:dyDescent="0.25">
      <c r="A83" s="50">
        <f>'A) Base RI'!A85</f>
        <v>5527</v>
      </c>
      <c r="B83" s="308" t="str">
        <f>'A) Base RI'!B85</f>
        <v>Morrens</v>
      </c>
      <c r="C83" s="99">
        <f>'B) D RI'!U85</f>
        <v>39666.797042253522</v>
      </c>
      <c r="D83" s="115">
        <f>'E) Fact soc'!G89/C83</f>
        <v>17.837117128627089</v>
      </c>
      <c r="E83" s="142">
        <f>'H) Péréquation directe'!I94/C83</f>
        <v>11.1831070937302</v>
      </c>
      <c r="F83" s="115">
        <f>+'I) Dépenses thématiques'!O83/'J) Plafonnement effort'!C83</f>
        <v>-0.75113117186499656</v>
      </c>
      <c r="G83" s="142">
        <f t="shared" si="5"/>
        <v>28.269093050492291</v>
      </c>
      <c r="H83" s="323">
        <f t="shared" si="6"/>
        <v>0</v>
      </c>
      <c r="I83" s="58">
        <f t="shared" si="7"/>
        <v>0</v>
      </c>
      <c r="J83" s="34">
        <f t="shared" si="8"/>
        <v>28.269093050492291</v>
      </c>
    </row>
    <row r="84" spans="1:10" x14ac:dyDescent="0.25">
      <c r="A84" s="50">
        <f>'A) Base RI'!A86</f>
        <v>5529</v>
      </c>
      <c r="B84" s="308" t="str">
        <f>'A) Base RI'!B86</f>
        <v>Oulens-sous-Echallens</v>
      </c>
      <c r="C84" s="99">
        <f>'B) D RI'!U86</f>
        <v>20224.362535211272</v>
      </c>
      <c r="D84" s="115">
        <f>'E) Fact soc'!G90/C84</f>
        <v>18.388925782245902</v>
      </c>
      <c r="E84" s="142">
        <f>'H) Péréquation directe'!I95/C84</f>
        <v>10.667149827356894</v>
      </c>
      <c r="F84" s="115">
        <f>+'I) Dépenses thématiques'!O84/'J) Plafonnement effort'!C84</f>
        <v>-6.0663001206451757</v>
      </c>
      <c r="G84" s="142">
        <f t="shared" si="5"/>
        <v>22.989775488957619</v>
      </c>
      <c r="H84" s="323">
        <f t="shared" si="6"/>
        <v>0</v>
      </c>
      <c r="I84" s="58">
        <f t="shared" si="7"/>
        <v>0</v>
      </c>
      <c r="J84" s="34">
        <f t="shared" si="8"/>
        <v>22.989775488957619</v>
      </c>
    </row>
    <row r="85" spans="1:10" x14ac:dyDescent="0.25">
      <c r="A85" s="50">
        <f>'A) Base RI'!A87</f>
        <v>5530</v>
      </c>
      <c r="B85" s="308" t="str">
        <f>'A) Base RI'!B87</f>
        <v>Pailly</v>
      </c>
      <c r="C85" s="99">
        <f>'B) D RI'!U87</f>
        <v>16275.145870967741</v>
      </c>
      <c r="D85" s="115">
        <f>'E) Fact soc'!G91/C85</f>
        <v>18.915039008533025</v>
      </c>
      <c r="E85" s="142">
        <f>'H) Péréquation directe'!I96/C85</f>
        <v>3.7295560932939762</v>
      </c>
      <c r="F85" s="115">
        <f>+'I) Dépenses thématiques'!O85/'J) Plafonnement effort'!C85</f>
        <v>-33.432174413968191</v>
      </c>
      <c r="G85" s="142">
        <f t="shared" si="5"/>
        <v>-10.78757931214119</v>
      </c>
      <c r="H85" s="323">
        <f t="shared" si="6"/>
        <v>0</v>
      </c>
      <c r="I85" s="58">
        <f t="shared" si="7"/>
        <v>0</v>
      </c>
      <c r="J85" s="34">
        <f t="shared" si="8"/>
        <v>-10.78757931214119</v>
      </c>
    </row>
    <row r="86" spans="1:10" x14ac:dyDescent="0.25">
      <c r="A86" s="50">
        <f>'A) Base RI'!A88</f>
        <v>5531</v>
      </c>
      <c r="B86" s="308" t="str">
        <f>'A) Base RI'!B88</f>
        <v>Penthéréaz</v>
      </c>
      <c r="C86" s="99">
        <f>'B) D RI'!U88</f>
        <v>13115.607307692309</v>
      </c>
      <c r="D86" s="115">
        <f>'E) Fact soc'!G92/C86</f>
        <v>17.972314636717254</v>
      </c>
      <c r="E86" s="142">
        <f>'H) Péréquation directe'!I97/C86</f>
        <v>5.391879401991762</v>
      </c>
      <c r="F86" s="115">
        <f>+'I) Dépenses thématiques'!O86/'J) Plafonnement effort'!C86</f>
        <v>-4.6153334155997747</v>
      </c>
      <c r="G86" s="142">
        <f t="shared" si="5"/>
        <v>18.748860623109241</v>
      </c>
      <c r="H86" s="323">
        <f t="shared" si="6"/>
        <v>0</v>
      </c>
      <c r="I86" s="58">
        <f t="shared" si="7"/>
        <v>0</v>
      </c>
      <c r="J86" s="34">
        <f t="shared" si="8"/>
        <v>18.748860623109241</v>
      </c>
    </row>
    <row r="87" spans="1:10" x14ac:dyDescent="0.25">
      <c r="A87" s="50">
        <f>'A) Base RI'!A89</f>
        <v>5533</v>
      </c>
      <c r="B87" s="308" t="str">
        <f>'A) Base RI'!B89</f>
        <v>Poliez-Pittet</v>
      </c>
      <c r="C87" s="99">
        <f>'B) D RI'!U89</f>
        <v>27509.250422535213</v>
      </c>
      <c r="D87" s="115">
        <f>'E) Fact soc'!G93/C87</f>
        <v>16.457689093332931</v>
      </c>
      <c r="E87" s="142">
        <f>'H) Péréquation directe'!I98/C87</f>
        <v>8.2627762938191136</v>
      </c>
      <c r="F87" s="115">
        <f>+'I) Dépenses thématiques'!O87/'J) Plafonnement effort'!C87</f>
        <v>-1.6710855054861489</v>
      </c>
      <c r="G87" s="142">
        <f t="shared" si="5"/>
        <v>23.049379881665896</v>
      </c>
      <c r="H87" s="323">
        <f t="shared" si="6"/>
        <v>0</v>
      </c>
      <c r="I87" s="58">
        <f t="shared" si="7"/>
        <v>0</v>
      </c>
      <c r="J87" s="34">
        <f t="shared" si="8"/>
        <v>23.049379881665896</v>
      </c>
    </row>
    <row r="88" spans="1:10" x14ac:dyDescent="0.25">
      <c r="A88" s="50">
        <f>'A) Base RI'!A90</f>
        <v>5534</v>
      </c>
      <c r="B88" s="308" t="str">
        <f>'A) Base RI'!B90</f>
        <v>Rueyres</v>
      </c>
      <c r="C88" s="99">
        <f>'B) D RI'!U90</f>
        <v>9282.5224657534254</v>
      </c>
      <c r="D88" s="115">
        <f>'E) Fact soc'!G94/C88</f>
        <v>17.021500818749086</v>
      </c>
      <c r="E88" s="142">
        <f>'H) Péréquation directe'!I99/C88</f>
        <v>11.247798859475081</v>
      </c>
      <c r="F88" s="115">
        <f>+'I) Dépenses thématiques'!O88/'J) Plafonnement effort'!C88</f>
        <v>-2.3050817743889693</v>
      </c>
      <c r="G88" s="142">
        <f t="shared" si="5"/>
        <v>25.964217903835195</v>
      </c>
      <c r="H88" s="323">
        <f t="shared" si="6"/>
        <v>0</v>
      </c>
      <c r="I88" s="58">
        <f t="shared" si="7"/>
        <v>0</v>
      </c>
      <c r="J88" s="34">
        <f t="shared" si="8"/>
        <v>25.964217903835195</v>
      </c>
    </row>
    <row r="89" spans="1:10" x14ac:dyDescent="0.25">
      <c r="A89" s="50">
        <f>'A) Base RI'!A91</f>
        <v>5535</v>
      </c>
      <c r="B89" s="308" t="str">
        <f>'A) Base RI'!B91</f>
        <v>Saint-Barthélemy</v>
      </c>
      <c r="C89" s="99">
        <f>'B) D RI'!U91</f>
        <v>23206.167922077926</v>
      </c>
      <c r="D89" s="115">
        <f>'E) Fact soc'!G95/C89</f>
        <v>16.907866359529152</v>
      </c>
      <c r="E89" s="142">
        <f>'H) Péréquation directe'!I100/C89</f>
        <v>4.1551010925546317</v>
      </c>
      <c r="F89" s="115">
        <f>+'I) Dépenses thématiques'!O89/'J) Plafonnement effort'!C89</f>
        <v>0</v>
      </c>
      <c r="G89" s="142">
        <f t="shared" si="5"/>
        <v>21.062967452083782</v>
      </c>
      <c r="H89" s="323">
        <f t="shared" si="6"/>
        <v>0</v>
      </c>
      <c r="I89" s="58">
        <f t="shared" si="7"/>
        <v>0</v>
      </c>
      <c r="J89" s="34">
        <f t="shared" si="8"/>
        <v>21.062967452083782</v>
      </c>
    </row>
    <row r="90" spans="1:10" x14ac:dyDescent="0.25">
      <c r="A90" s="50">
        <f>'A) Base RI'!A92</f>
        <v>5537</v>
      </c>
      <c r="B90" s="308" t="str">
        <f>'A) Base RI'!B92</f>
        <v>Villars-le-Terroir</v>
      </c>
      <c r="C90" s="99">
        <f>'B) D RI'!U92</f>
        <v>33504.625479452057</v>
      </c>
      <c r="D90" s="115">
        <f>'E) Fact soc'!G96/C90</f>
        <v>17.943065302373743</v>
      </c>
      <c r="E90" s="142">
        <f>'H) Péréquation directe'!I101/C90</f>
        <v>3.0665744405712605</v>
      </c>
      <c r="F90" s="115">
        <f>+'I) Dépenses thématiques'!O90/'J) Plafonnement effort'!C90</f>
        <v>-1.422676613786378</v>
      </c>
      <c r="G90" s="142">
        <f t="shared" si="5"/>
        <v>19.586963129158626</v>
      </c>
      <c r="H90" s="323">
        <f t="shared" si="6"/>
        <v>0</v>
      </c>
      <c r="I90" s="58">
        <f t="shared" si="7"/>
        <v>0</v>
      </c>
      <c r="J90" s="34">
        <f t="shared" si="8"/>
        <v>19.586963129158626</v>
      </c>
    </row>
    <row r="91" spans="1:10" x14ac:dyDescent="0.25">
      <c r="A91" s="50">
        <f>'A) Base RI'!A93</f>
        <v>5539</v>
      </c>
      <c r="B91" s="308" t="str">
        <f>'A) Base RI'!B93</f>
        <v>Vuarrens</v>
      </c>
      <c r="C91" s="99">
        <f>'B) D RI'!U93</f>
        <v>26926.432233333333</v>
      </c>
      <c r="D91" s="115">
        <f>'E) Fact soc'!G97/C91</f>
        <v>17.549914655526255</v>
      </c>
      <c r="E91" s="142">
        <f>'H) Péréquation directe'!I102/C91</f>
        <v>6.2536656954348652E-2</v>
      </c>
      <c r="F91" s="115">
        <f>+'I) Dépenses thématiques'!O91/'J) Plafonnement effort'!C91</f>
        <v>-1.5084871056447313</v>
      </c>
      <c r="G91" s="142">
        <f t="shared" si="5"/>
        <v>16.103964206835872</v>
      </c>
      <c r="H91" s="323">
        <f t="shared" si="6"/>
        <v>0</v>
      </c>
      <c r="I91" s="58">
        <f t="shared" si="7"/>
        <v>0</v>
      </c>
      <c r="J91" s="34">
        <f t="shared" si="8"/>
        <v>16.103964206835872</v>
      </c>
    </row>
    <row r="92" spans="1:10" x14ac:dyDescent="0.25">
      <c r="A92" s="50">
        <f>'A) Base RI'!A94</f>
        <v>5540</v>
      </c>
      <c r="B92" s="308" t="str">
        <f>'A) Base RI'!B94</f>
        <v>Montilliez</v>
      </c>
      <c r="C92" s="99">
        <f>'B) D RI'!U94</f>
        <v>56983.650067567571</v>
      </c>
      <c r="D92" s="115">
        <f>'E) Fact soc'!G98/C92</f>
        <v>17.62883617332227</v>
      </c>
      <c r="E92" s="142">
        <f>'H) Péréquation directe'!I103/C92</f>
        <v>5.2644316555730448</v>
      </c>
      <c r="F92" s="115">
        <f>+'I) Dépenses thématiques'!O92/'J) Plafonnement effort'!C92</f>
        <v>-5.2383466431156398</v>
      </c>
      <c r="G92" s="142">
        <f t="shared" si="5"/>
        <v>17.654921185779674</v>
      </c>
      <c r="H92" s="323">
        <f t="shared" si="6"/>
        <v>0</v>
      </c>
      <c r="I92" s="58">
        <f t="shared" si="7"/>
        <v>0</v>
      </c>
      <c r="J92" s="34">
        <f t="shared" si="8"/>
        <v>17.654921185779674</v>
      </c>
    </row>
    <row r="93" spans="1:10" x14ac:dyDescent="0.25">
      <c r="A93" s="50">
        <f>'A) Base RI'!A95</f>
        <v>5541</v>
      </c>
      <c r="B93" s="308" t="str">
        <f>'A) Base RI'!B95</f>
        <v>Goumoëns</v>
      </c>
      <c r="C93" s="99">
        <f>'B) D RI'!U95</f>
        <v>38548.273636363643</v>
      </c>
      <c r="D93" s="115">
        <f>'E) Fact soc'!G99/C93</f>
        <v>17.646536979251469</v>
      </c>
      <c r="E93" s="142">
        <f>'H) Péréquation directe'!I104/C93</f>
        <v>8.6916125097502768</v>
      </c>
      <c r="F93" s="115">
        <f>+'I) Dépenses thématiques'!O93/'J) Plafonnement effort'!C93</f>
        <v>-0.52939746081306538</v>
      </c>
      <c r="G93" s="142">
        <f t="shared" si="5"/>
        <v>25.808752028188678</v>
      </c>
      <c r="H93" s="323">
        <f t="shared" si="6"/>
        <v>0</v>
      </c>
      <c r="I93" s="58">
        <f t="shared" si="7"/>
        <v>0</v>
      </c>
      <c r="J93" s="34">
        <f t="shared" si="8"/>
        <v>25.808752028188678</v>
      </c>
    </row>
    <row r="94" spans="1:10" x14ac:dyDescent="0.25">
      <c r="A94" s="50">
        <f>'A) Base RI'!A96</f>
        <v>5551</v>
      </c>
      <c r="B94" s="308" t="str">
        <f>'A) Base RI'!B96</f>
        <v>Bonvillars</v>
      </c>
      <c r="C94" s="99">
        <f>'B) D RI'!U96</f>
        <v>18775.330727272729</v>
      </c>
      <c r="D94" s="115">
        <f>'E) Fact soc'!G100/C94</f>
        <v>19.030478975000204</v>
      </c>
      <c r="E94" s="142">
        <f>'H) Péréquation directe'!I105/C94</f>
        <v>14.442017378423539</v>
      </c>
      <c r="F94" s="115">
        <f>+'I) Dépenses thématiques'!O94/'J) Plafonnement effort'!C94</f>
        <v>-4.1708462411881104</v>
      </c>
      <c r="G94" s="142">
        <f t="shared" si="5"/>
        <v>29.301650112235635</v>
      </c>
      <c r="H94" s="323">
        <f t="shared" si="6"/>
        <v>0</v>
      </c>
      <c r="I94" s="58">
        <f t="shared" si="7"/>
        <v>0</v>
      </c>
      <c r="J94" s="34">
        <f t="shared" si="8"/>
        <v>29.301650112235635</v>
      </c>
    </row>
    <row r="95" spans="1:10" x14ac:dyDescent="0.25">
      <c r="A95" s="50">
        <f>'A) Base RI'!A97</f>
        <v>5552</v>
      </c>
      <c r="B95" s="308" t="str">
        <f>'A) Base RI'!B97</f>
        <v>Bullet</v>
      </c>
      <c r="C95" s="99">
        <f>'B) D RI'!U97</f>
        <v>17788.918428571429</v>
      </c>
      <c r="D95" s="115">
        <f>'E) Fact soc'!G101/C95</f>
        <v>19.102676554491119</v>
      </c>
      <c r="E95" s="142">
        <f>'H) Péréquation directe'!I106/C95</f>
        <v>3.1155882934907191</v>
      </c>
      <c r="F95" s="115">
        <f>+'I) Dépenses thématiques'!O95/'J) Plafonnement effort'!C95</f>
        <v>-11.496514047682124</v>
      </c>
      <c r="G95" s="142">
        <f t="shared" si="5"/>
        <v>10.721750800299715</v>
      </c>
      <c r="H95" s="323">
        <f t="shared" si="6"/>
        <v>0</v>
      </c>
      <c r="I95" s="58">
        <f t="shared" si="7"/>
        <v>0</v>
      </c>
      <c r="J95" s="34">
        <f t="shared" si="8"/>
        <v>10.721750800299715</v>
      </c>
    </row>
    <row r="96" spans="1:10" x14ac:dyDescent="0.25">
      <c r="A96" s="50">
        <f>'A) Base RI'!A98</f>
        <v>5553</v>
      </c>
      <c r="B96" s="308" t="str">
        <f>'A) Base RI'!B98</f>
        <v>Champagne</v>
      </c>
      <c r="C96" s="99">
        <f>'B) D RI'!U98</f>
        <v>34060.380307692314</v>
      </c>
      <c r="D96" s="115">
        <f>'E) Fact soc'!G102/C96</f>
        <v>18.881983082046855</v>
      </c>
      <c r="E96" s="142">
        <f>'H) Péréquation directe'!I107/C96</f>
        <v>9.9991931491409716</v>
      </c>
      <c r="F96" s="115">
        <f>+'I) Dépenses thématiques'!O96/'J) Plafonnement effort'!C96</f>
        <v>-7.4291575912301093</v>
      </c>
      <c r="G96" s="142">
        <f t="shared" si="5"/>
        <v>21.452018639957718</v>
      </c>
      <c r="H96" s="323">
        <f t="shared" si="6"/>
        <v>0</v>
      </c>
      <c r="I96" s="58">
        <f t="shared" si="7"/>
        <v>0</v>
      </c>
      <c r="J96" s="34">
        <f t="shared" si="8"/>
        <v>21.452018639957718</v>
      </c>
    </row>
    <row r="97" spans="1:10" x14ac:dyDescent="0.25">
      <c r="A97" s="50">
        <f>'A) Base RI'!A99</f>
        <v>5554</v>
      </c>
      <c r="B97" s="308" t="str">
        <f>'A) Base RI'!B99</f>
        <v>Concise</v>
      </c>
      <c r="C97" s="99">
        <f>'B) D RI'!U99</f>
        <v>31701.023466666669</v>
      </c>
      <c r="D97" s="115">
        <f>'E) Fact soc'!G103/C97</f>
        <v>17.640544924135501</v>
      </c>
      <c r="E97" s="142">
        <f>'H) Péréquation directe'!I108/C97</f>
        <v>7.6788203768314265</v>
      </c>
      <c r="F97" s="115">
        <f>+'I) Dépenses thématiques'!O97/'J) Plafonnement effort'!C97</f>
        <v>-4.7709292969367674</v>
      </c>
      <c r="G97" s="142">
        <f t="shared" si="5"/>
        <v>20.548436004030162</v>
      </c>
      <c r="H97" s="323">
        <f t="shared" si="6"/>
        <v>0</v>
      </c>
      <c r="I97" s="58">
        <f t="shared" si="7"/>
        <v>0</v>
      </c>
      <c r="J97" s="34">
        <f t="shared" si="8"/>
        <v>20.548436004030162</v>
      </c>
    </row>
    <row r="98" spans="1:10" x14ac:dyDescent="0.25">
      <c r="A98" s="50">
        <f>'A) Base RI'!A100</f>
        <v>5555</v>
      </c>
      <c r="B98" s="308" t="str">
        <f>'A) Base RI'!B100</f>
        <v>Corcelles-près-Concise</v>
      </c>
      <c r="C98" s="99">
        <f>'B) D RI'!U100</f>
        <v>13631.876197183097</v>
      </c>
      <c r="D98" s="115">
        <f>'E) Fact soc'!G104/C98</f>
        <v>20.320884094238384</v>
      </c>
      <c r="E98" s="142">
        <f>'H) Péréquation directe'!I109/C98</f>
        <v>11.568305852146272</v>
      </c>
      <c r="F98" s="115">
        <f>+'I) Dépenses thématiques'!O98/'J) Plafonnement effort'!C98</f>
        <v>-7.4736657078844866</v>
      </c>
      <c r="G98" s="142">
        <f t="shared" si="5"/>
        <v>24.415524238500169</v>
      </c>
      <c r="H98" s="323">
        <f t="shared" si="6"/>
        <v>0</v>
      </c>
      <c r="I98" s="58">
        <f t="shared" si="7"/>
        <v>0</v>
      </c>
      <c r="J98" s="34">
        <f t="shared" si="8"/>
        <v>24.415524238500169</v>
      </c>
    </row>
    <row r="99" spans="1:10" x14ac:dyDescent="0.25">
      <c r="A99" s="50">
        <f>'A) Base RI'!A101</f>
        <v>5556</v>
      </c>
      <c r="B99" s="308" t="str">
        <f>'A) Base RI'!B101</f>
        <v>Fiez</v>
      </c>
      <c r="C99" s="99">
        <f>'B) D RI'!U101</f>
        <v>12908.608502415458</v>
      </c>
      <c r="D99" s="115">
        <f>'E) Fact soc'!G105/C99</f>
        <v>34.157160166921201</v>
      </c>
      <c r="E99" s="142">
        <f>'H) Péréquation directe'!I110/C99</f>
        <v>6.6825647577647826</v>
      </c>
      <c r="F99" s="115">
        <f>+'I) Dépenses thématiques'!O99/'J) Plafonnement effort'!C99</f>
        <v>-9.3395537238685602</v>
      </c>
      <c r="G99" s="142">
        <f t="shared" si="5"/>
        <v>31.50017120081742</v>
      </c>
      <c r="H99" s="323">
        <f t="shared" si="6"/>
        <v>0</v>
      </c>
      <c r="I99" s="58">
        <f t="shared" si="7"/>
        <v>0</v>
      </c>
      <c r="J99" s="34">
        <f t="shared" si="8"/>
        <v>31.50017120081742</v>
      </c>
    </row>
    <row r="100" spans="1:10" x14ac:dyDescent="0.25">
      <c r="A100" s="50">
        <f>'A) Base RI'!A102</f>
        <v>5557</v>
      </c>
      <c r="B100" s="308" t="str">
        <f>'A) Base RI'!B102</f>
        <v>Fontaines-sur-Grandson</v>
      </c>
      <c r="C100" s="99">
        <f>'B) D RI'!U102</f>
        <v>4431.6020289855087</v>
      </c>
      <c r="D100" s="115">
        <f>'E) Fact soc'!G106/C100</f>
        <v>19.231736036929092</v>
      </c>
      <c r="E100" s="142">
        <f>'H) Péréquation directe'!I111/C100</f>
        <v>-7.4979792283273028</v>
      </c>
      <c r="F100" s="115">
        <f>+'I) Dépenses thématiques'!O100/'J) Plafonnement effort'!C100</f>
        <v>-8.6008256280795319</v>
      </c>
      <c r="G100" s="142">
        <f t="shared" si="5"/>
        <v>3.1329311805222577</v>
      </c>
      <c r="H100" s="323">
        <f t="shared" si="6"/>
        <v>0</v>
      </c>
      <c r="I100" s="58">
        <f t="shared" si="7"/>
        <v>0</v>
      </c>
      <c r="J100" s="34">
        <f t="shared" si="8"/>
        <v>3.1329311805222577</v>
      </c>
    </row>
    <row r="101" spans="1:10" x14ac:dyDescent="0.25">
      <c r="A101" s="50">
        <f>'A) Base RI'!A103</f>
        <v>5559</v>
      </c>
      <c r="B101" s="308" t="str">
        <f>'A) Base RI'!B103</f>
        <v>Giez</v>
      </c>
      <c r="C101" s="99">
        <f>'B) D RI'!U103</f>
        <v>15789.686212121214</v>
      </c>
      <c r="D101" s="115">
        <f>'E) Fact soc'!G107/C101</f>
        <v>17.942543431401049</v>
      </c>
      <c r="E101" s="142">
        <f>'H) Péréquation directe'!I112/C101</f>
        <v>13.152656454139491</v>
      </c>
      <c r="F101" s="115">
        <f>+'I) Dépenses thématiques'!O101/'J) Plafonnement effort'!C101</f>
        <v>-1.103339388334323</v>
      </c>
      <c r="G101" s="142">
        <f t="shared" si="5"/>
        <v>29.991860497206215</v>
      </c>
      <c r="H101" s="323">
        <f t="shared" si="6"/>
        <v>0</v>
      </c>
      <c r="I101" s="58">
        <f t="shared" si="7"/>
        <v>0</v>
      </c>
      <c r="J101" s="34">
        <f t="shared" si="8"/>
        <v>29.991860497206215</v>
      </c>
    </row>
    <row r="102" spans="1:10" x14ac:dyDescent="0.25">
      <c r="A102" s="50">
        <f>'A) Base RI'!A104</f>
        <v>5560</v>
      </c>
      <c r="B102" s="308" t="str">
        <f>'A) Base RI'!B104</f>
        <v>Grandevent</v>
      </c>
      <c r="C102" s="99">
        <f>'B) D RI'!U104</f>
        <v>6263.3176470588232</v>
      </c>
      <c r="D102" s="115">
        <f>'E) Fact soc'!G108/C102</f>
        <v>17.960877295504986</v>
      </c>
      <c r="E102" s="142">
        <f>'H) Péréquation directe'!I113/C102</f>
        <v>3.471625522842404</v>
      </c>
      <c r="F102" s="115">
        <f>+'I) Dépenses thématiques'!O102/'J) Plafonnement effort'!C102</f>
        <v>-2.9859743567588688</v>
      </c>
      <c r="G102" s="142">
        <f t="shared" si="5"/>
        <v>18.446528461588521</v>
      </c>
      <c r="H102" s="323">
        <f t="shared" si="6"/>
        <v>0</v>
      </c>
      <c r="I102" s="58">
        <f t="shared" si="7"/>
        <v>0</v>
      </c>
      <c r="J102" s="34">
        <f t="shared" si="8"/>
        <v>18.446528461588521</v>
      </c>
    </row>
    <row r="103" spans="1:10" x14ac:dyDescent="0.25">
      <c r="A103" s="50">
        <f>'A) Base RI'!A105</f>
        <v>5561</v>
      </c>
      <c r="B103" s="308" t="str">
        <f>'A) Base RI'!B105</f>
        <v>Grandson</v>
      </c>
      <c r="C103" s="99">
        <f>'B) D RI'!U105</f>
        <v>115658.41101449275</v>
      </c>
      <c r="D103" s="115">
        <f>'E) Fact soc'!G109/C103</f>
        <v>18.183553145656997</v>
      </c>
      <c r="E103" s="142">
        <f>'H) Péréquation directe'!I114/C103</f>
        <v>6.3703631692459322</v>
      </c>
      <c r="F103" s="115">
        <f>+'I) Dépenses thématiques'!O103/'J) Plafonnement effort'!C103</f>
        <v>-7.6690447857000041</v>
      </c>
      <c r="G103" s="142">
        <f t="shared" si="5"/>
        <v>16.884871529202925</v>
      </c>
      <c r="H103" s="323">
        <f t="shared" si="6"/>
        <v>0</v>
      </c>
      <c r="I103" s="58">
        <f t="shared" si="7"/>
        <v>0</v>
      </c>
      <c r="J103" s="34">
        <f t="shared" si="8"/>
        <v>16.884871529202925</v>
      </c>
    </row>
    <row r="104" spans="1:10" x14ac:dyDescent="0.25">
      <c r="A104" s="50">
        <f>'A) Base RI'!A106</f>
        <v>5562</v>
      </c>
      <c r="B104" s="308" t="str">
        <f>'A) Base RI'!B106</f>
        <v>Mauborget</v>
      </c>
      <c r="C104" s="99">
        <f>'B) D RI'!U106</f>
        <v>5902.7637857142863</v>
      </c>
      <c r="D104" s="115">
        <f>'E) Fact soc'!G110/C104</f>
        <v>18.123107144260956</v>
      </c>
      <c r="E104" s="142">
        <f>'H) Péréquation directe'!I115/C104</f>
        <v>17.522675231939669</v>
      </c>
      <c r="F104" s="115">
        <f>+'I) Dépenses thématiques'!O104/'J) Plafonnement effort'!C104</f>
        <v>-1.7220483176083137</v>
      </c>
      <c r="G104" s="142">
        <f t="shared" si="5"/>
        <v>33.923734058592316</v>
      </c>
      <c r="H104" s="323">
        <f t="shared" si="6"/>
        <v>0</v>
      </c>
      <c r="I104" s="58">
        <f t="shared" si="7"/>
        <v>0</v>
      </c>
      <c r="J104" s="34">
        <f t="shared" si="8"/>
        <v>33.923734058592316</v>
      </c>
    </row>
    <row r="105" spans="1:10" x14ac:dyDescent="0.25">
      <c r="A105" s="50">
        <f>'A) Base RI'!A107</f>
        <v>5563</v>
      </c>
      <c r="B105" s="308" t="str">
        <f>'A) Base RI'!B107</f>
        <v>Mutrux</v>
      </c>
      <c r="C105" s="99">
        <f>'B) D RI'!U107</f>
        <v>3109.2766878980892</v>
      </c>
      <c r="D105" s="115">
        <f>'E) Fact soc'!G111/C105</f>
        <v>17.744954391447472</v>
      </c>
      <c r="E105" s="142">
        <f>'H) Péréquation directe'!I116/C105</f>
        <v>-20.081259487461182</v>
      </c>
      <c r="F105" s="115">
        <f>+'I) Dépenses thématiques'!O105/'J) Plafonnement effort'!C105</f>
        <v>-11.432752193128909</v>
      </c>
      <c r="G105" s="142">
        <f t="shared" si="5"/>
        <v>-13.769057289142619</v>
      </c>
      <c r="H105" s="323">
        <f t="shared" si="6"/>
        <v>0</v>
      </c>
      <c r="I105" s="58">
        <f t="shared" si="7"/>
        <v>0</v>
      </c>
      <c r="J105" s="34">
        <f t="shared" si="8"/>
        <v>-13.769057289142619</v>
      </c>
    </row>
    <row r="106" spans="1:10" x14ac:dyDescent="0.25">
      <c r="A106" s="50">
        <f>'A) Base RI'!A108</f>
        <v>5564</v>
      </c>
      <c r="B106" s="308" t="str">
        <f>'A) Base RI'!B108</f>
        <v>Novalles</v>
      </c>
      <c r="C106" s="99">
        <f>'B) D RI'!U108</f>
        <v>2625.7898355263155</v>
      </c>
      <c r="D106" s="115">
        <f>'E) Fact soc'!G112/C106</f>
        <v>18.985145833204534</v>
      </c>
      <c r="E106" s="142">
        <f>'H) Péréquation directe'!I117/C106</f>
        <v>-1.7372927290410063</v>
      </c>
      <c r="F106" s="115">
        <f>+'I) Dépenses thématiques'!O106/'J) Plafonnement effort'!C106</f>
        <v>-4.3123857275225141</v>
      </c>
      <c r="G106" s="142">
        <f t="shared" si="5"/>
        <v>12.935467376641014</v>
      </c>
      <c r="H106" s="323">
        <f t="shared" si="6"/>
        <v>0</v>
      </c>
      <c r="I106" s="58">
        <f t="shared" si="7"/>
        <v>0</v>
      </c>
      <c r="J106" s="34">
        <f t="shared" si="8"/>
        <v>12.935467376641014</v>
      </c>
    </row>
    <row r="107" spans="1:10" x14ac:dyDescent="0.25">
      <c r="A107" s="50">
        <f>'A) Base RI'!A109</f>
        <v>5565</v>
      </c>
      <c r="B107" s="308" t="str">
        <f>'A) Base RI'!B109</f>
        <v>Onnens</v>
      </c>
      <c r="C107" s="99">
        <f>'B) D RI'!U109</f>
        <v>18487.846307692304</v>
      </c>
      <c r="D107" s="115">
        <f>'E) Fact soc'!G113/C107</f>
        <v>18.439765418255678</v>
      </c>
      <c r="E107" s="142">
        <f>'H) Péréquation directe'!I118/C107</f>
        <v>14.022131716163875</v>
      </c>
      <c r="F107" s="115">
        <f>+'I) Dépenses thématiques'!O107/'J) Plafonnement effort'!C107</f>
        <v>-2.6585458687325096</v>
      </c>
      <c r="G107" s="142">
        <f t="shared" si="5"/>
        <v>29.803351265687041</v>
      </c>
      <c r="H107" s="323">
        <f t="shared" si="6"/>
        <v>0</v>
      </c>
      <c r="I107" s="58">
        <f t="shared" si="7"/>
        <v>0</v>
      </c>
      <c r="J107" s="34">
        <f t="shared" si="8"/>
        <v>29.803351265687041</v>
      </c>
    </row>
    <row r="108" spans="1:10" x14ac:dyDescent="0.25">
      <c r="A108" s="50">
        <f>'A) Base RI'!A110</f>
        <v>5566</v>
      </c>
      <c r="B108" s="308" t="str">
        <f>'A) Base RI'!B110</f>
        <v>Provence</v>
      </c>
      <c r="C108" s="99">
        <f>'B) D RI'!U110</f>
        <v>7938.210164609055</v>
      </c>
      <c r="D108" s="115">
        <f>'E) Fact soc'!G114/C108</f>
        <v>18.270579681206822</v>
      </c>
      <c r="E108" s="142">
        <f>'H) Péréquation directe'!I119/C108</f>
        <v>-17.630811272181131</v>
      </c>
      <c r="F108" s="115">
        <f>+'I) Dépenses thématiques'!O108/'J) Plafonnement effort'!C108</f>
        <v>-26.453013593049732</v>
      </c>
      <c r="G108" s="142">
        <f t="shared" si="5"/>
        <v>-25.813245184024041</v>
      </c>
      <c r="H108" s="323">
        <f t="shared" si="6"/>
        <v>0</v>
      </c>
      <c r="I108" s="58">
        <f t="shared" si="7"/>
        <v>0</v>
      </c>
      <c r="J108" s="34">
        <f t="shared" si="8"/>
        <v>-25.813245184024041</v>
      </c>
    </row>
    <row r="109" spans="1:10" x14ac:dyDescent="0.25">
      <c r="A109" s="50">
        <f>'A) Base RI'!A111</f>
        <v>5568</v>
      </c>
      <c r="B109" s="308" t="str">
        <f>'A) Base RI'!B111</f>
        <v>Sainte-Croix</v>
      </c>
      <c r="C109" s="99">
        <f>'B) D RI'!U111</f>
        <v>99640.524428571414</v>
      </c>
      <c r="D109" s="115">
        <f>'E) Fact soc'!G115/C109</f>
        <v>25.124483784058203</v>
      </c>
      <c r="E109" s="142">
        <f>'H) Péréquation directe'!I120/C109</f>
        <v>-21.718431873717581</v>
      </c>
      <c r="F109" s="115">
        <f>+'I) Dépenses thématiques'!O109/'J) Plafonnement effort'!C109</f>
        <v>-12.369675562985334</v>
      </c>
      <c r="G109" s="142">
        <f t="shared" si="5"/>
        <v>-8.9636236526447117</v>
      </c>
      <c r="H109" s="323">
        <f t="shared" si="6"/>
        <v>0</v>
      </c>
      <c r="I109" s="58">
        <f t="shared" si="7"/>
        <v>0</v>
      </c>
      <c r="J109" s="34">
        <f t="shared" si="8"/>
        <v>-8.9636236526447117</v>
      </c>
    </row>
    <row r="110" spans="1:10" x14ac:dyDescent="0.25">
      <c r="A110" s="50">
        <f>'A) Base RI'!A112</f>
        <v>5571</v>
      </c>
      <c r="B110" s="308" t="str">
        <f>'A) Base RI'!B112</f>
        <v>Tévenon</v>
      </c>
      <c r="C110" s="99">
        <f>'B) D RI'!U112</f>
        <v>21324.629931506846</v>
      </c>
      <c r="D110" s="115">
        <f>'E) Fact soc'!G116/C110</f>
        <v>18.600109910138276</v>
      </c>
      <c r="E110" s="142">
        <f>'H) Péréquation directe'!I121/C110</f>
        <v>-1.577099740237935</v>
      </c>
      <c r="F110" s="115">
        <f>+'I) Dépenses thématiques'!O110/'J) Plafonnement effort'!C110</f>
        <v>-8.8060612805701055</v>
      </c>
      <c r="G110" s="142">
        <f t="shared" si="5"/>
        <v>8.2169488893302365</v>
      </c>
      <c r="H110" s="323">
        <f t="shared" si="6"/>
        <v>0</v>
      </c>
      <c r="I110" s="58">
        <f t="shared" si="7"/>
        <v>0</v>
      </c>
      <c r="J110" s="34">
        <f t="shared" si="8"/>
        <v>8.2169488893302365</v>
      </c>
    </row>
    <row r="111" spans="1:10" x14ac:dyDescent="0.25">
      <c r="A111" s="50">
        <f>'A) Base RI'!A113</f>
        <v>5581</v>
      </c>
      <c r="B111" s="308" t="str">
        <f>'A) Base RI'!B113</f>
        <v>Belmont-sur-Lausanne</v>
      </c>
      <c r="C111" s="99">
        <f>'B) D RI'!U113</f>
        <v>192051.94455635498</v>
      </c>
      <c r="D111" s="115">
        <f>'E) Fact soc'!G117/C111</f>
        <v>20.319881469992374</v>
      </c>
      <c r="E111" s="142">
        <f>'H) Péréquation directe'!I122/C111</f>
        <v>14.065720185098217</v>
      </c>
      <c r="F111" s="115">
        <f>+'I) Dépenses thématiques'!O111/'J) Plafonnement effort'!C111</f>
        <v>-2.1574375808534851</v>
      </c>
      <c r="G111" s="142">
        <f t="shared" si="5"/>
        <v>32.228164074237107</v>
      </c>
      <c r="H111" s="323">
        <f t="shared" si="6"/>
        <v>0</v>
      </c>
      <c r="I111" s="58">
        <f t="shared" si="7"/>
        <v>0</v>
      </c>
      <c r="J111" s="34">
        <f t="shared" si="8"/>
        <v>32.228164074237107</v>
      </c>
    </row>
    <row r="112" spans="1:10" x14ac:dyDescent="0.25">
      <c r="A112" s="50">
        <f>'A) Base RI'!A114</f>
        <v>5582</v>
      </c>
      <c r="B112" s="308" t="str">
        <f>'A) Base RI'!B114</f>
        <v>Cheseaux-sur-Lausanne</v>
      </c>
      <c r="C112" s="99">
        <f>'B) D RI'!U114</f>
        <v>179002.65087248324</v>
      </c>
      <c r="D112" s="115">
        <f>'E) Fact soc'!G118/C112</f>
        <v>17.005440571044129</v>
      </c>
      <c r="E112" s="142">
        <f>'H) Péréquation directe'!I123/C112</f>
        <v>9.4897526038964628</v>
      </c>
      <c r="F112" s="115">
        <f>+'I) Dépenses thématiques'!O112/'J) Plafonnement effort'!C112</f>
        <v>-2.4233850317340986</v>
      </c>
      <c r="G112" s="142">
        <f t="shared" si="5"/>
        <v>24.071808143206493</v>
      </c>
      <c r="H112" s="323">
        <f t="shared" si="6"/>
        <v>0</v>
      </c>
      <c r="I112" s="58">
        <f t="shared" si="7"/>
        <v>0</v>
      </c>
      <c r="J112" s="34">
        <f t="shared" si="8"/>
        <v>24.071808143206493</v>
      </c>
    </row>
    <row r="113" spans="1:10" x14ac:dyDescent="0.25">
      <c r="A113" s="50">
        <f>'A) Base RI'!A115</f>
        <v>5583</v>
      </c>
      <c r="B113" s="308" t="str">
        <f>'A) Base RI'!B115</f>
        <v>Crissier</v>
      </c>
      <c r="C113" s="99">
        <f>'B) D RI'!U115</f>
        <v>294545.40292307688</v>
      </c>
      <c r="D113" s="115">
        <f>'E) Fact soc'!G119/C113</f>
        <v>19.152797051336471</v>
      </c>
      <c r="E113" s="142">
        <f>'H) Péréquation directe'!I124/C113</f>
        <v>3.9789222410781924</v>
      </c>
      <c r="F113" s="115">
        <f>+'I) Dépenses thématiques'!O113/'J) Plafonnement effort'!C113</f>
        <v>-8.0959473778794777</v>
      </c>
      <c r="G113" s="142">
        <f t="shared" si="5"/>
        <v>15.035771914535184</v>
      </c>
      <c r="H113" s="323">
        <f t="shared" si="6"/>
        <v>0</v>
      </c>
      <c r="I113" s="58">
        <f t="shared" si="7"/>
        <v>0</v>
      </c>
      <c r="J113" s="34">
        <f t="shared" si="8"/>
        <v>15.035771914535184</v>
      </c>
    </row>
    <row r="114" spans="1:10" x14ac:dyDescent="0.25">
      <c r="A114" s="50">
        <f>'A) Base RI'!A116</f>
        <v>5584</v>
      </c>
      <c r="B114" s="308" t="str">
        <f>'A) Base RI'!B116</f>
        <v>Epalinges</v>
      </c>
      <c r="C114" s="99">
        <f>'B) D RI'!U116</f>
        <v>414398.09409090912</v>
      </c>
      <c r="D114" s="115">
        <f>'E) Fact soc'!G120/C114</f>
        <v>19.293548540784528</v>
      </c>
      <c r="E114" s="142">
        <f>'H) Péréquation directe'!I125/C114</f>
        <v>8.9371886909123273</v>
      </c>
      <c r="F114" s="115">
        <f>+'I) Dépenses thématiques'!O114/'J) Plafonnement effort'!C114</f>
        <v>-8.634456785579701</v>
      </c>
      <c r="G114" s="142">
        <f t="shared" si="5"/>
        <v>19.596280446117156</v>
      </c>
      <c r="H114" s="323">
        <f t="shared" si="6"/>
        <v>0</v>
      </c>
      <c r="I114" s="58">
        <f t="shared" si="7"/>
        <v>0</v>
      </c>
      <c r="J114" s="34">
        <f t="shared" si="8"/>
        <v>19.596280446117156</v>
      </c>
    </row>
    <row r="115" spans="1:10" x14ac:dyDescent="0.25">
      <c r="A115" s="50">
        <f>'A) Base RI'!A117</f>
        <v>5585</v>
      </c>
      <c r="B115" s="308" t="str">
        <f>'A) Base RI'!B117</f>
        <v>Jouxtens-Mézery</v>
      </c>
      <c r="C115" s="99">
        <f>'B) D RI'!U117</f>
        <v>171586.66471698115</v>
      </c>
      <c r="D115" s="115">
        <f>'E) Fact soc'!G121/C115</f>
        <v>29.580764026030515</v>
      </c>
      <c r="E115" s="142">
        <f>'H) Péréquation directe'!I126/C115</f>
        <v>18.347448246977439</v>
      </c>
      <c r="F115" s="115">
        <f>+'I) Dépenses thématiques'!O115/'J) Plafonnement effort'!C115</f>
        <v>0</v>
      </c>
      <c r="G115" s="142">
        <f t="shared" si="5"/>
        <v>47.928212273007958</v>
      </c>
      <c r="H115" s="323">
        <f t="shared" si="6"/>
        <v>-2.9282122730079578</v>
      </c>
      <c r="I115" s="58">
        <f t="shared" si="7"/>
        <v>-502442.17750876572</v>
      </c>
      <c r="J115" s="34">
        <f t="shared" si="8"/>
        <v>45</v>
      </c>
    </row>
    <row r="116" spans="1:10" x14ac:dyDescent="0.25">
      <c r="A116" s="50">
        <f>'A) Base RI'!A118</f>
        <v>5586</v>
      </c>
      <c r="B116" s="308" t="str">
        <f>'A) Base RI'!B118</f>
        <v>Lausanne</v>
      </c>
      <c r="C116" s="99">
        <f>'B) D RI'!U118</f>
        <v>5871810.1056962032</v>
      </c>
      <c r="D116" s="115">
        <f>'E) Fact soc'!G122/C116</f>
        <v>19.217091223034572</v>
      </c>
      <c r="E116" s="142">
        <f>'H) Péréquation directe'!I127/C116</f>
        <v>-5.5190925265138535</v>
      </c>
      <c r="F116" s="115">
        <f>+'I) Dépenses thématiques'!O116/'J) Plafonnement effort'!C116</f>
        <v>-8.1524907148111847</v>
      </c>
      <c r="G116" s="142">
        <f t="shared" si="5"/>
        <v>5.5455079817095339</v>
      </c>
      <c r="H116" s="323">
        <f t="shared" si="6"/>
        <v>0</v>
      </c>
      <c r="I116" s="58">
        <f t="shared" si="7"/>
        <v>0</v>
      </c>
      <c r="J116" s="34">
        <f t="shared" si="8"/>
        <v>5.5455079817095339</v>
      </c>
    </row>
    <row r="117" spans="1:10" x14ac:dyDescent="0.25">
      <c r="A117" s="50">
        <f>'A) Base RI'!A119</f>
        <v>5587</v>
      </c>
      <c r="B117" s="308" t="str">
        <f>'A) Base RI'!B119</f>
        <v>Le Mont-sur-Lausanne</v>
      </c>
      <c r="C117" s="99">
        <f>'B) D RI'!U119</f>
        <v>415945.64633333334</v>
      </c>
      <c r="D117" s="115">
        <f>'E) Fact soc'!G123/C117</f>
        <v>20.142522151687565</v>
      </c>
      <c r="E117" s="142">
        <f>'H) Péréquation directe'!I128/C117</f>
        <v>11.269857241679885</v>
      </c>
      <c r="F117" s="115">
        <f>+'I) Dépenses thématiques'!O117/'J) Plafonnement effort'!C117</f>
        <v>-5.6452931836152347</v>
      </c>
      <c r="G117" s="142">
        <f t="shared" si="5"/>
        <v>25.767086209752218</v>
      </c>
      <c r="H117" s="323">
        <f t="shared" si="6"/>
        <v>0</v>
      </c>
      <c r="I117" s="58">
        <f t="shared" si="7"/>
        <v>0</v>
      </c>
      <c r="J117" s="34">
        <f t="shared" si="8"/>
        <v>25.767086209752218</v>
      </c>
    </row>
    <row r="118" spans="1:10" x14ac:dyDescent="0.25">
      <c r="A118" s="50">
        <f>'A) Base RI'!A120</f>
        <v>5588</v>
      </c>
      <c r="B118" s="308" t="str">
        <f>'A) Base RI'!B120</f>
        <v>Paudex</v>
      </c>
      <c r="C118" s="99">
        <f>'B) D RI'!U120</f>
        <v>147210.22826945415</v>
      </c>
      <c r="D118" s="115">
        <f>'E) Fact soc'!G124/C118</f>
        <v>27.881038224327348</v>
      </c>
      <c r="E118" s="142">
        <f>'H) Péréquation directe'!I129/C118</f>
        <v>18.045936148466701</v>
      </c>
      <c r="F118" s="115">
        <f>+'I) Dépenses thématiques'!O118/'J) Plafonnement effort'!C118</f>
        <v>0</v>
      </c>
      <c r="G118" s="142">
        <f t="shared" si="5"/>
        <v>45.926974372794049</v>
      </c>
      <c r="H118" s="323">
        <f t="shared" si="6"/>
        <v>-0.92697437279404937</v>
      </c>
      <c r="I118" s="58">
        <f t="shared" si="7"/>
        <v>-136460.1090189461</v>
      </c>
      <c r="J118" s="34">
        <f t="shared" si="8"/>
        <v>45</v>
      </c>
    </row>
    <row r="119" spans="1:10" x14ac:dyDescent="0.25">
      <c r="A119" s="50">
        <f>'A) Base RI'!A121</f>
        <v>5589</v>
      </c>
      <c r="B119" s="308" t="str">
        <f>'A) Base RI'!B121</f>
        <v>Prilly</v>
      </c>
      <c r="C119" s="99">
        <f>'B) D RI'!U121</f>
        <v>397261.42585034011</v>
      </c>
      <c r="D119" s="115">
        <f>'E) Fact soc'!G125/C119</f>
        <v>18.657734542378165</v>
      </c>
      <c r="E119" s="142">
        <f>'H) Péréquation directe'!I130/C119</f>
        <v>-5.2239449609659223</v>
      </c>
      <c r="F119" s="115">
        <f>+'I) Dépenses thématiques'!O119/'J) Plafonnement effort'!C119</f>
        <v>-5.497311852575101</v>
      </c>
      <c r="G119" s="142">
        <f t="shared" si="5"/>
        <v>7.9364777288371409</v>
      </c>
      <c r="H119" s="323">
        <f t="shared" si="6"/>
        <v>0</v>
      </c>
      <c r="I119" s="58">
        <f t="shared" si="7"/>
        <v>0</v>
      </c>
      <c r="J119" s="34">
        <f t="shared" si="8"/>
        <v>7.9364777288371409</v>
      </c>
    </row>
    <row r="120" spans="1:10" x14ac:dyDescent="0.25">
      <c r="A120" s="50">
        <f>'A) Base RI'!A122</f>
        <v>5590</v>
      </c>
      <c r="B120" s="308" t="str">
        <f>'A) Base RI'!B122</f>
        <v>Pully</v>
      </c>
      <c r="C120" s="99">
        <f>'B) D RI'!U122</f>
        <v>1436103.5918735364</v>
      </c>
      <c r="D120" s="115">
        <f>'E) Fact soc'!G126/C120</f>
        <v>27.384023271087795</v>
      </c>
      <c r="E120" s="142">
        <f>'H) Péréquation directe'!I131/C120</f>
        <v>10.980734200292217</v>
      </c>
      <c r="F120" s="115">
        <f>+'I) Dépenses thématiques'!O120/'J) Plafonnement effort'!C120</f>
        <v>-1.2050315928122646</v>
      </c>
      <c r="G120" s="142">
        <f t="shared" si="5"/>
        <v>37.159725878567748</v>
      </c>
      <c r="H120" s="323">
        <f t="shared" si="6"/>
        <v>0</v>
      </c>
      <c r="I120" s="58">
        <f t="shared" si="7"/>
        <v>0</v>
      </c>
      <c r="J120" s="34">
        <f t="shared" si="8"/>
        <v>37.159725878567748</v>
      </c>
    </row>
    <row r="121" spans="1:10" x14ac:dyDescent="0.25">
      <c r="A121" s="50">
        <f>'A) Base RI'!A123</f>
        <v>5591</v>
      </c>
      <c r="B121" s="308" t="str">
        <f>'A) Base RI'!B123</f>
        <v>Renens</v>
      </c>
      <c r="C121" s="99">
        <f>'B) D RI'!U123</f>
        <v>526209.31525022746</v>
      </c>
      <c r="D121" s="115">
        <f>'E) Fact soc'!G127/C121</f>
        <v>19.109579040222119</v>
      </c>
      <c r="E121" s="142">
        <f>'H) Péréquation directe'!I132/C121</f>
        <v>-30.370024859183758</v>
      </c>
      <c r="F121" s="115">
        <f>+'I) Dépenses thématiques'!O121/'J) Plafonnement effort'!C121</f>
        <v>-10.89717521585847</v>
      </c>
      <c r="G121" s="142">
        <f t="shared" si="5"/>
        <v>-22.15762103482011</v>
      </c>
      <c r="H121" s="323">
        <f t="shared" si="6"/>
        <v>0</v>
      </c>
      <c r="I121" s="58">
        <f t="shared" si="7"/>
        <v>0</v>
      </c>
      <c r="J121" s="34">
        <f t="shared" si="8"/>
        <v>-22.15762103482011</v>
      </c>
    </row>
    <row r="122" spans="1:10" x14ac:dyDescent="0.25">
      <c r="A122" s="50">
        <f>'A) Base RI'!A124</f>
        <v>5592</v>
      </c>
      <c r="B122" s="308" t="str">
        <f>'A) Base RI'!B124</f>
        <v>Romanel-sur-Lausanne</v>
      </c>
      <c r="C122" s="99">
        <f>'B) D RI'!U124</f>
        <v>111498.54042857142</v>
      </c>
      <c r="D122" s="115">
        <f>'E) Fact soc'!G128/C122</f>
        <v>17.780720683884649</v>
      </c>
      <c r="E122" s="142">
        <f>'H) Péréquation directe'!I133/C122</f>
        <v>4.7732898229676746</v>
      </c>
      <c r="F122" s="115">
        <f>+'I) Dépenses thématiques'!O122/'J) Plafonnement effort'!C122</f>
        <v>-2.5055216539586662</v>
      </c>
      <c r="G122" s="142">
        <f t="shared" si="5"/>
        <v>20.048488852893655</v>
      </c>
      <c r="H122" s="323">
        <f t="shared" si="6"/>
        <v>0</v>
      </c>
      <c r="I122" s="58">
        <f t="shared" si="7"/>
        <v>0</v>
      </c>
      <c r="J122" s="34">
        <f t="shared" si="8"/>
        <v>20.048488852893655</v>
      </c>
    </row>
    <row r="123" spans="1:10" x14ac:dyDescent="0.25">
      <c r="A123" s="50">
        <f>'A) Base RI'!A125</f>
        <v>5601</v>
      </c>
      <c r="B123" s="308" t="str">
        <f>'A) Base RI'!B125</f>
        <v>Chexbres</v>
      </c>
      <c r="C123" s="99">
        <f>'B) D RI'!U125</f>
        <v>116832.8703125</v>
      </c>
      <c r="D123" s="115">
        <f>'E) Fact soc'!G129/C123</f>
        <v>22.528014619042704</v>
      </c>
      <c r="E123" s="142">
        <f>'H) Péréquation directe'!I134/C123</f>
        <v>15.255812453720205</v>
      </c>
      <c r="F123" s="115">
        <f>+'I) Dépenses thématiques'!O123/'J) Plafonnement effort'!C123</f>
        <v>-1.152993397874156</v>
      </c>
      <c r="G123" s="142">
        <f t="shared" si="5"/>
        <v>36.630833674888756</v>
      </c>
      <c r="H123" s="323">
        <f t="shared" si="6"/>
        <v>0</v>
      </c>
      <c r="I123" s="58">
        <f t="shared" si="7"/>
        <v>0</v>
      </c>
      <c r="J123" s="34">
        <f t="shared" si="8"/>
        <v>36.630833674888756</v>
      </c>
    </row>
    <row r="124" spans="1:10" x14ac:dyDescent="0.25">
      <c r="A124" s="50">
        <f>'A) Base RI'!A126</f>
        <v>5604</v>
      </c>
      <c r="B124" s="308" t="str">
        <f>'A) Base RI'!B126</f>
        <v>Forel (Lavaux)</v>
      </c>
      <c r="C124" s="99">
        <f>'B) D RI'!U126</f>
        <v>69144.285441176457</v>
      </c>
      <c r="D124" s="115">
        <f>'E) Fact soc'!G130/C124</f>
        <v>18.294930326419909</v>
      </c>
      <c r="E124" s="142">
        <f>'H) Péréquation directe'!I135/C124</f>
        <v>6.1251597665251474</v>
      </c>
      <c r="F124" s="115">
        <f>+'I) Dépenses thématiques'!O124/'J) Plafonnement effort'!C124</f>
        <v>-4.1079611357700134</v>
      </c>
      <c r="G124" s="142">
        <f t="shared" si="5"/>
        <v>20.312128957175041</v>
      </c>
      <c r="H124" s="323">
        <f t="shared" si="6"/>
        <v>0</v>
      </c>
      <c r="I124" s="58">
        <f t="shared" si="7"/>
        <v>0</v>
      </c>
      <c r="J124" s="34">
        <f t="shared" si="8"/>
        <v>20.312128957175041</v>
      </c>
    </row>
    <row r="125" spans="1:10" x14ac:dyDescent="0.25">
      <c r="A125" s="50">
        <f>'A) Base RI'!A127</f>
        <v>5606</v>
      </c>
      <c r="B125" s="308" t="str">
        <f>'A) Base RI'!B127</f>
        <v>Lutry</v>
      </c>
      <c r="C125" s="99">
        <f>'B) D RI'!U127</f>
        <v>819312.37389961397</v>
      </c>
      <c r="D125" s="115">
        <f>'E) Fact soc'!G131/C125</f>
        <v>27.443712908066466</v>
      </c>
      <c r="E125" s="142">
        <f>'H) Péréquation directe'!I136/C125</f>
        <v>13.891794300777155</v>
      </c>
      <c r="F125" s="115">
        <f>+'I) Dépenses thématiques'!O125/'J) Plafonnement effort'!C125</f>
        <v>-1.9006624411034663</v>
      </c>
      <c r="G125" s="142">
        <f t="shared" si="5"/>
        <v>39.434844767740159</v>
      </c>
      <c r="H125" s="323">
        <f t="shared" si="6"/>
        <v>0</v>
      </c>
      <c r="I125" s="58">
        <f t="shared" si="7"/>
        <v>0</v>
      </c>
      <c r="J125" s="34">
        <f t="shared" si="8"/>
        <v>39.434844767740159</v>
      </c>
    </row>
    <row r="126" spans="1:10" x14ac:dyDescent="0.25">
      <c r="A126" s="50">
        <f>'A) Base RI'!A128</f>
        <v>5607</v>
      </c>
      <c r="B126" s="308" t="str">
        <f>'A) Base RI'!B128</f>
        <v>Puidoux</v>
      </c>
      <c r="C126" s="99">
        <f>'B) D RI'!U128</f>
        <v>104767.98296273292</v>
      </c>
      <c r="D126" s="115">
        <f>'E) Fact soc'!G132/C126</f>
        <v>19.403752679866098</v>
      </c>
      <c r="E126" s="142">
        <f>'H) Péréquation directe'!I137/C126</f>
        <v>7.6063240495534998</v>
      </c>
      <c r="F126" s="115">
        <f>+'I) Dépenses thématiques'!O126/'J) Plafonnement effort'!C126</f>
        <v>-8.3539963973051918</v>
      </c>
      <c r="G126" s="142">
        <f t="shared" si="5"/>
        <v>18.656080332114406</v>
      </c>
      <c r="H126" s="323">
        <f t="shared" si="6"/>
        <v>0</v>
      </c>
      <c r="I126" s="58">
        <f t="shared" si="7"/>
        <v>0</v>
      </c>
      <c r="J126" s="34">
        <f t="shared" si="8"/>
        <v>18.656080332114406</v>
      </c>
    </row>
    <row r="127" spans="1:10" x14ac:dyDescent="0.25">
      <c r="A127" s="50">
        <f>'A) Base RI'!A129</f>
        <v>5609</v>
      </c>
      <c r="B127" s="308" t="str">
        <f>'A) Base RI'!B129</f>
        <v>Rivaz</v>
      </c>
      <c r="C127" s="99">
        <f>'B) D RI'!U129</f>
        <v>15550.240157480319</v>
      </c>
      <c r="D127" s="115">
        <f>'E) Fact soc'!G133/C127</f>
        <v>18.149676883472829</v>
      </c>
      <c r="E127" s="142">
        <f>'H) Péréquation directe'!I138/C127</f>
        <v>16.892172853306509</v>
      </c>
      <c r="F127" s="115">
        <f>+'I) Dépenses thématiques'!O127/'J) Plafonnement effort'!C127</f>
        <v>-3.9822136706499429</v>
      </c>
      <c r="G127" s="142">
        <f t="shared" si="5"/>
        <v>31.059636066129396</v>
      </c>
      <c r="H127" s="323">
        <f t="shared" si="6"/>
        <v>0</v>
      </c>
      <c r="I127" s="58">
        <f t="shared" si="7"/>
        <v>0</v>
      </c>
      <c r="J127" s="34">
        <f t="shared" si="8"/>
        <v>31.059636066129396</v>
      </c>
    </row>
    <row r="128" spans="1:10" x14ac:dyDescent="0.25">
      <c r="A128" s="50">
        <f>'A) Base RI'!A130</f>
        <v>5610</v>
      </c>
      <c r="B128" s="308" t="str">
        <f>'A) Base RI'!B130</f>
        <v>St-Saphorin (Lavaux)</v>
      </c>
      <c r="C128" s="99">
        <f>'B) D RI'!U130</f>
        <v>15345.496567164178</v>
      </c>
      <c r="D128" s="115">
        <f>'E) Fact soc'!G134/C128</f>
        <v>23.427481695367369</v>
      </c>
      <c r="E128" s="142">
        <f>'H) Péréquation directe'!I139/C128</f>
        <v>14.267289766776305</v>
      </c>
      <c r="F128" s="115">
        <f>+'I) Dépenses thématiques'!O128/'J) Plafonnement effort'!C128</f>
        <v>-6.6870283504926791</v>
      </c>
      <c r="G128" s="142">
        <f t="shared" si="5"/>
        <v>31.007743111650999</v>
      </c>
      <c r="H128" s="323">
        <f t="shared" si="6"/>
        <v>0</v>
      </c>
      <c r="I128" s="58">
        <f t="shared" si="7"/>
        <v>0</v>
      </c>
      <c r="J128" s="34">
        <f t="shared" si="8"/>
        <v>31.007743111650999</v>
      </c>
    </row>
    <row r="129" spans="1:10" x14ac:dyDescent="0.25">
      <c r="A129" s="50">
        <f>'A) Base RI'!A131</f>
        <v>5611</v>
      </c>
      <c r="B129" s="308" t="str">
        <f>'A) Base RI'!B131</f>
        <v>Savigny</v>
      </c>
      <c r="C129" s="99">
        <f>'B) D RI'!U131</f>
        <v>131982.7743236715</v>
      </c>
      <c r="D129" s="115">
        <f>'E) Fact soc'!G135/C129</f>
        <v>20.427448724717365</v>
      </c>
      <c r="E129" s="142">
        <f>'H) Péréquation directe'!I140/C129</f>
        <v>9.7055740705041167</v>
      </c>
      <c r="F129" s="115">
        <f>+'I) Dépenses thématiques'!O129/'J) Plafonnement effort'!C129</f>
        <v>-4.0314113473105051</v>
      </c>
      <c r="G129" s="142">
        <f t="shared" si="5"/>
        <v>26.101611447910976</v>
      </c>
      <c r="H129" s="323">
        <f t="shared" si="6"/>
        <v>0</v>
      </c>
      <c r="I129" s="58">
        <f t="shared" si="7"/>
        <v>0</v>
      </c>
      <c r="J129" s="34">
        <f t="shared" si="8"/>
        <v>26.101611447910976</v>
      </c>
    </row>
    <row r="130" spans="1:10" x14ac:dyDescent="0.25">
      <c r="A130" s="50">
        <f>'A) Base RI'!A132</f>
        <v>5613</v>
      </c>
      <c r="B130" s="308" t="str">
        <f>'A) Base RI'!B132</f>
        <v>Bourg-en-Lavaux</v>
      </c>
      <c r="C130" s="99">
        <f>'B) D RI'!U132</f>
        <v>329819.74420765025</v>
      </c>
      <c r="D130" s="115">
        <f>'E) Fact soc'!G136/C130</f>
        <v>22.367558479839776</v>
      </c>
      <c r="E130" s="142">
        <f>'H) Péréquation directe'!I141/C130</f>
        <v>14.028136286421411</v>
      </c>
      <c r="F130" s="115">
        <f>+'I) Dépenses thématiques'!O130/'J) Plafonnement effort'!C130</f>
        <v>-0.7017584265918847</v>
      </c>
      <c r="G130" s="142">
        <f t="shared" si="5"/>
        <v>35.6939363396693</v>
      </c>
      <c r="H130" s="323">
        <f t="shared" si="6"/>
        <v>0</v>
      </c>
      <c r="I130" s="58">
        <f t="shared" si="7"/>
        <v>0</v>
      </c>
      <c r="J130" s="34">
        <f t="shared" si="8"/>
        <v>35.6939363396693</v>
      </c>
    </row>
    <row r="131" spans="1:10" x14ac:dyDescent="0.25">
      <c r="A131" s="50">
        <f>'A) Base RI'!A133</f>
        <v>5621</v>
      </c>
      <c r="B131" s="308" t="str">
        <f>'A) Base RI'!B133</f>
        <v>Aclens</v>
      </c>
      <c r="C131" s="99">
        <f>'B) D RI'!U133</f>
        <v>29752.054618768325</v>
      </c>
      <c r="D131" s="115">
        <f>'E) Fact soc'!G137/C131</f>
        <v>29.43686575521172</v>
      </c>
      <c r="E131" s="142">
        <f>'H) Péréquation directe'!I142/C131</f>
        <v>17.750143720484651</v>
      </c>
      <c r="F131" s="115">
        <f>+'I) Dépenses thématiques'!O131/'J) Plafonnement effort'!C131</f>
        <v>-1.1201203328758016</v>
      </c>
      <c r="G131" s="142">
        <f t="shared" si="5"/>
        <v>46.066889142820571</v>
      </c>
      <c r="H131" s="323">
        <f t="shared" si="6"/>
        <v>-1.0668891428205711</v>
      </c>
      <c r="I131" s="58">
        <f t="shared" si="7"/>
        <v>-31742.144049368551</v>
      </c>
      <c r="J131" s="34">
        <f t="shared" si="8"/>
        <v>45</v>
      </c>
    </row>
    <row r="132" spans="1:10" x14ac:dyDescent="0.25">
      <c r="A132" s="50">
        <f>'A) Base RI'!A134</f>
        <v>5622</v>
      </c>
      <c r="B132" s="308" t="str">
        <f>'A) Base RI'!B134</f>
        <v>Bremblens</v>
      </c>
      <c r="C132" s="99">
        <f>'B) D RI'!U134</f>
        <v>30065.565151515151</v>
      </c>
      <c r="D132" s="115">
        <f>'E) Fact soc'!G138/C132</f>
        <v>19.407302828246088</v>
      </c>
      <c r="E132" s="142">
        <f>'H) Péréquation directe'!I143/C132</f>
        <v>17.76551728644738</v>
      </c>
      <c r="F132" s="115">
        <f>+'I) Dépenses thématiques'!O132/'J) Plafonnement effort'!C132</f>
        <v>0</v>
      </c>
      <c r="G132" s="142">
        <f t="shared" si="5"/>
        <v>37.172820114693465</v>
      </c>
      <c r="H132" s="323">
        <f t="shared" si="6"/>
        <v>0</v>
      </c>
      <c r="I132" s="58">
        <f t="shared" si="7"/>
        <v>0</v>
      </c>
      <c r="J132" s="34">
        <f t="shared" si="8"/>
        <v>37.172820114693465</v>
      </c>
    </row>
    <row r="133" spans="1:10" x14ac:dyDescent="0.25">
      <c r="A133" s="50">
        <f>'A) Base RI'!A135</f>
        <v>5623</v>
      </c>
      <c r="B133" s="308" t="str">
        <f>'A) Base RI'!B135</f>
        <v>Buchillon</v>
      </c>
      <c r="C133" s="99">
        <f>'B) D RI'!U135</f>
        <v>74720.547735849046</v>
      </c>
      <c r="D133" s="115">
        <f>'E) Fact soc'!G139/C133</f>
        <v>29.52181884503743</v>
      </c>
      <c r="E133" s="142">
        <f>'H) Péréquation directe'!I144/C133</f>
        <v>18.957833467016414</v>
      </c>
      <c r="F133" s="115">
        <f>+'I) Dépenses thématiques'!O133/'J) Plafonnement effort'!C133</f>
        <v>0</v>
      </c>
      <c r="G133" s="142">
        <f t="shared" si="5"/>
        <v>48.479652312053844</v>
      </c>
      <c r="H133" s="323">
        <f t="shared" si="6"/>
        <v>-3.4796523120538438</v>
      </c>
      <c r="I133" s="58">
        <f t="shared" si="7"/>
        <v>-260001.52668697675</v>
      </c>
      <c r="J133" s="34">
        <f t="shared" si="8"/>
        <v>45</v>
      </c>
    </row>
    <row r="134" spans="1:10" x14ac:dyDescent="0.25">
      <c r="A134" s="50">
        <f>'A) Base RI'!A136</f>
        <v>5624</v>
      </c>
      <c r="B134" s="308" t="str">
        <f>'A) Base RI'!B136</f>
        <v>Bussigny</v>
      </c>
      <c r="C134" s="99">
        <f>'B) D RI'!U136</f>
        <v>313352.53032258071</v>
      </c>
      <c r="D134" s="115">
        <f>'E) Fact soc'!G140/C134</f>
        <v>20.003351335477632</v>
      </c>
      <c r="E134" s="142">
        <f>'H) Péréquation directe'!I145/C134</f>
        <v>3.443912386874127</v>
      </c>
      <c r="F134" s="115">
        <f>+'I) Dépenses thématiques'!O134/'J) Plafonnement effort'!C134</f>
        <v>-3.4354719170650982</v>
      </c>
      <c r="G134" s="142">
        <f t="shared" ref="G134:G197" si="9">SUM(D134:F134)</f>
        <v>20.011791805286663</v>
      </c>
      <c r="H134" s="323">
        <f t="shared" ref="H134:H197" si="10">IF(G134&gt;H$4,H$4-G134,0)</f>
        <v>0</v>
      </c>
      <c r="I134" s="58">
        <f t="shared" ref="I134:I197" si="11">H134*C134</f>
        <v>0</v>
      </c>
      <c r="J134" s="34">
        <f t="shared" ref="J134:J197" si="12">G134+H134</f>
        <v>20.011791805286663</v>
      </c>
    </row>
    <row r="135" spans="1:10" x14ac:dyDescent="0.25">
      <c r="A135" s="50">
        <f>'A) Base RI'!A137</f>
        <v>5625</v>
      </c>
      <c r="B135" s="308" t="str">
        <f>'A) Base RI'!B137</f>
        <v>Bussy-Chardonney</v>
      </c>
      <c r="C135" s="99">
        <f>'B) D RI'!U137</f>
        <v>13647.695555555556</v>
      </c>
      <c r="D135" s="115">
        <f>'E) Fact soc'!G141/C135</f>
        <v>18.743620050160391</v>
      </c>
      <c r="E135" s="142">
        <f>'H) Péréquation directe'!I146/C135</f>
        <v>11.1026485345044</v>
      </c>
      <c r="F135" s="115">
        <f>+'I) Dépenses thématiques'!O135/'J) Plafonnement effort'!C135</f>
        <v>-1.1161464296048025</v>
      </c>
      <c r="G135" s="142">
        <f t="shared" si="9"/>
        <v>28.730122155059988</v>
      </c>
      <c r="H135" s="323">
        <f t="shared" si="10"/>
        <v>0</v>
      </c>
      <c r="I135" s="58">
        <f t="shared" si="11"/>
        <v>0</v>
      </c>
      <c r="J135" s="34">
        <f t="shared" si="12"/>
        <v>28.730122155059988</v>
      </c>
    </row>
    <row r="136" spans="1:10" x14ac:dyDescent="0.25">
      <c r="A136" s="50">
        <f>'A) Base RI'!A138</f>
        <v>5627</v>
      </c>
      <c r="B136" s="308" t="str">
        <f>'A) Base RI'!B138</f>
        <v>Chavannes-près-Renens</v>
      </c>
      <c r="C136" s="99">
        <f>'B) D RI'!U138</f>
        <v>167740.14928270038</v>
      </c>
      <c r="D136" s="115">
        <f>'E) Fact soc'!G142/C136</f>
        <v>24.02973820293839</v>
      </c>
      <c r="E136" s="142">
        <f>'H) Péréquation directe'!I147/C136</f>
        <v>-26.52226469197079</v>
      </c>
      <c r="F136" s="115">
        <f>+'I) Dépenses thématiques'!O136/'J) Plafonnement effort'!C136</f>
        <v>-8.7203129993556985</v>
      </c>
      <c r="G136" s="142">
        <f t="shared" si="9"/>
        <v>-11.212839488388099</v>
      </c>
      <c r="H136" s="323">
        <f t="shared" si="10"/>
        <v>0</v>
      </c>
      <c r="I136" s="58">
        <f t="shared" si="11"/>
        <v>0</v>
      </c>
      <c r="J136" s="34">
        <f t="shared" si="12"/>
        <v>-11.212839488388099</v>
      </c>
    </row>
    <row r="137" spans="1:10" x14ac:dyDescent="0.25">
      <c r="A137" s="50">
        <f>'A) Base RI'!A139</f>
        <v>5628</v>
      </c>
      <c r="B137" s="308" t="str">
        <f>'A) Base RI'!B139</f>
        <v>Chigny</v>
      </c>
      <c r="C137" s="99">
        <f>'B) D RI'!U139</f>
        <v>19513.351129032257</v>
      </c>
      <c r="D137" s="115">
        <f>'E) Fact soc'!G143/C137</f>
        <v>21.742149760492417</v>
      </c>
      <c r="E137" s="142">
        <f>'H) Péréquation directe'!I148/C137</f>
        <v>17.873213420156222</v>
      </c>
      <c r="F137" s="115">
        <f>+'I) Dépenses thématiques'!O137/'J) Plafonnement effort'!C137</f>
        <v>0</v>
      </c>
      <c r="G137" s="142">
        <f t="shared" si="9"/>
        <v>39.615363180648643</v>
      </c>
      <c r="H137" s="323">
        <f t="shared" si="10"/>
        <v>0</v>
      </c>
      <c r="I137" s="58">
        <f t="shared" si="11"/>
        <v>0</v>
      </c>
      <c r="J137" s="34">
        <f t="shared" si="12"/>
        <v>39.615363180648643</v>
      </c>
    </row>
    <row r="138" spans="1:10" x14ac:dyDescent="0.25">
      <c r="A138" s="50">
        <f>'A) Base RI'!A140</f>
        <v>5629</v>
      </c>
      <c r="B138" s="308" t="str">
        <f>'A) Base RI'!B140</f>
        <v>Clarmont</v>
      </c>
      <c r="C138" s="99">
        <f>'B) D RI'!U140</f>
        <v>7442.8926666666675</v>
      </c>
      <c r="D138" s="115">
        <f>'E) Fact soc'!G144/C138</f>
        <v>17.39748708159782</v>
      </c>
      <c r="E138" s="142">
        <f>'H) Péréquation directe'!I149/C138</f>
        <v>13.555781064679387</v>
      </c>
      <c r="F138" s="115">
        <f>+'I) Dépenses thématiques'!O138/'J) Plafonnement effort'!C138</f>
        <v>-5.5306983243701202</v>
      </c>
      <c r="G138" s="142">
        <f t="shared" si="9"/>
        <v>25.422569821907086</v>
      </c>
      <c r="H138" s="323">
        <f t="shared" si="10"/>
        <v>0</v>
      </c>
      <c r="I138" s="58">
        <f t="shared" si="11"/>
        <v>0</v>
      </c>
      <c r="J138" s="34">
        <f t="shared" si="12"/>
        <v>25.422569821907086</v>
      </c>
    </row>
    <row r="139" spans="1:10" x14ac:dyDescent="0.25">
      <c r="A139" s="50">
        <f>'A) Base RI'!A141</f>
        <v>5631</v>
      </c>
      <c r="B139" s="308" t="str">
        <f>'A) Base RI'!B141</f>
        <v>Denens</v>
      </c>
      <c r="C139" s="99">
        <f>'B) D RI'!U141</f>
        <v>45367.235142857142</v>
      </c>
      <c r="D139" s="115">
        <f>'E) Fact soc'!G145/C139</f>
        <v>21.829271687327701</v>
      </c>
      <c r="E139" s="142">
        <f>'H) Péréquation directe'!I150/C139</f>
        <v>17.905407879705539</v>
      </c>
      <c r="F139" s="115">
        <f>+'I) Dépenses thématiques'!O139/'J) Plafonnement effort'!C139</f>
        <v>-0.82910252353739278</v>
      </c>
      <c r="G139" s="142">
        <f t="shared" si="9"/>
        <v>38.905577043495846</v>
      </c>
      <c r="H139" s="323">
        <f t="shared" si="10"/>
        <v>0</v>
      </c>
      <c r="I139" s="58">
        <f t="shared" si="11"/>
        <v>0</v>
      </c>
      <c r="J139" s="34">
        <f t="shared" si="12"/>
        <v>38.905577043495846</v>
      </c>
    </row>
    <row r="140" spans="1:10" x14ac:dyDescent="0.25">
      <c r="A140" s="50">
        <f>'A) Base RI'!A142</f>
        <v>5632</v>
      </c>
      <c r="B140" s="308" t="str">
        <f>'A) Base RI'!B142</f>
        <v>Denges</v>
      </c>
      <c r="C140" s="99">
        <f>'B) D RI'!U142</f>
        <v>67164.535483870975</v>
      </c>
      <c r="D140" s="115">
        <f>'E) Fact soc'!G146/C140</f>
        <v>17.941022772996625</v>
      </c>
      <c r="E140" s="142">
        <f>'H) Péréquation directe'!I151/C140</f>
        <v>13.68634903784042</v>
      </c>
      <c r="F140" s="115">
        <f>+'I) Dépenses thématiques'!O140/'J) Plafonnement effort'!C140</f>
        <v>-0.34120368631563647</v>
      </c>
      <c r="G140" s="142">
        <f t="shared" si="9"/>
        <v>31.28616812452141</v>
      </c>
      <c r="H140" s="323">
        <f t="shared" si="10"/>
        <v>0</v>
      </c>
      <c r="I140" s="58">
        <f t="shared" si="11"/>
        <v>0</v>
      </c>
      <c r="J140" s="34">
        <f t="shared" si="12"/>
        <v>31.28616812452141</v>
      </c>
    </row>
    <row r="141" spans="1:10" x14ac:dyDescent="0.25">
      <c r="A141" s="50">
        <f>'A) Base RI'!A143</f>
        <v>5633</v>
      </c>
      <c r="B141" s="308" t="str">
        <f>'A) Base RI'!B143</f>
        <v>Echandens</v>
      </c>
      <c r="C141" s="99">
        <f>'B) D RI'!U143</f>
        <v>132114.82112903227</v>
      </c>
      <c r="D141" s="115">
        <f>'E) Fact soc'!G147/C141</f>
        <v>19.130878891577034</v>
      </c>
      <c r="E141" s="142">
        <f>'H) Péréquation directe'!I152/C141</f>
        <v>14.479064095268056</v>
      </c>
      <c r="F141" s="115">
        <f>+'I) Dépenses thématiques'!O141/'J) Plafonnement effort'!C141</f>
        <v>-3.0260066191616302</v>
      </c>
      <c r="G141" s="142">
        <f t="shared" si="9"/>
        <v>30.58393636768346</v>
      </c>
      <c r="H141" s="323">
        <f t="shared" si="10"/>
        <v>0</v>
      </c>
      <c r="I141" s="58">
        <f t="shared" si="11"/>
        <v>0</v>
      </c>
      <c r="J141" s="34">
        <f t="shared" si="12"/>
        <v>30.58393636768346</v>
      </c>
    </row>
    <row r="142" spans="1:10" x14ac:dyDescent="0.25">
      <c r="A142" s="50">
        <f>'A) Base RI'!A144</f>
        <v>5634</v>
      </c>
      <c r="B142" s="308" t="str">
        <f>'A) Base RI'!B144</f>
        <v>Echichens</v>
      </c>
      <c r="C142" s="99">
        <f>'B) D RI'!U144</f>
        <v>126696.63529411763</v>
      </c>
      <c r="D142" s="115">
        <f>'E) Fact soc'!G148/C142</f>
        <v>20.366724292301111</v>
      </c>
      <c r="E142" s="142">
        <f>'H) Péréquation directe'!I153/C142</f>
        <v>14.365248784477863</v>
      </c>
      <c r="F142" s="115">
        <f>+'I) Dépenses thématiques'!O142/'J) Plafonnement effort'!C142</f>
        <v>0</v>
      </c>
      <c r="G142" s="142">
        <f t="shared" si="9"/>
        <v>34.731973076778971</v>
      </c>
      <c r="H142" s="323">
        <f t="shared" si="10"/>
        <v>0</v>
      </c>
      <c r="I142" s="58">
        <f t="shared" si="11"/>
        <v>0</v>
      </c>
      <c r="J142" s="34">
        <f t="shared" si="12"/>
        <v>34.731973076778971</v>
      </c>
    </row>
    <row r="143" spans="1:10" x14ac:dyDescent="0.25">
      <c r="A143" s="50">
        <f>'A) Base RI'!A145</f>
        <v>5635</v>
      </c>
      <c r="B143" s="308" t="str">
        <f>'A) Base RI'!B145</f>
        <v>Ecublens</v>
      </c>
      <c r="C143" s="99">
        <f>'B) D RI'!U145</f>
        <v>448558.27357385395</v>
      </c>
      <c r="D143" s="115">
        <f>'E) Fact soc'!G149/C143</f>
        <v>18.865745679983636</v>
      </c>
      <c r="E143" s="142">
        <f>'H) Péréquation directe'!I154/C143</f>
        <v>-0.21609766542568257</v>
      </c>
      <c r="F143" s="115">
        <f>+'I) Dépenses thématiques'!O143/'J) Plafonnement effort'!C143</f>
        <v>-6.1237475048035499</v>
      </c>
      <c r="G143" s="142">
        <f t="shared" si="9"/>
        <v>12.525900509754404</v>
      </c>
      <c r="H143" s="323">
        <f t="shared" si="10"/>
        <v>0</v>
      </c>
      <c r="I143" s="58">
        <f t="shared" si="11"/>
        <v>0</v>
      </c>
      <c r="J143" s="34">
        <f t="shared" si="12"/>
        <v>12.525900509754404</v>
      </c>
    </row>
    <row r="144" spans="1:10" x14ac:dyDescent="0.25">
      <c r="A144" s="50">
        <f>'A) Base RI'!A146</f>
        <v>5636</v>
      </c>
      <c r="B144" s="308" t="str">
        <f>'A) Base RI'!B146</f>
        <v>Etoy</v>
      </c>
      <c r="C144" s="99">
        <f>'B) D RI'!U146</f>
        <v>151105.62688524593</v>
      </c>
      <c r="D144" s="115">
        <f>'E) Fact soc'!G150/C144</f>
        <v>22.104152385724081</v>
      </c>
      <c r="E144" s="142">
        <f>'H) Péréquation directe'!I155/C144</f>
        <v>14.828937566383379</v>
      </c>
      <c r="F144" s="115">
        <f>+'I) Dépenses thématiques'!O144/'J) Plafonnement effort'!C144</f>
        <v>0</v>
      </c>
      <c r="G144" s="142">
        <f t="shared" si="9"/>
        <v>36.933089952107458</v>
      </c>
      <c r="H144" s="323">
        <f t="shared" si="10"/>
        <v>0</v>
      </c>
      <c r="I144" s="58">
        <f t="shared" si="11"/>
        <v>0</v>
      </c>
      <c r="J144" s="34">
        <f t="shared" si="12"/>
        <v>36.933089952107458</v>
      </c>
    </row>
    <row r="145" spans="1:10" x14ac:dyDescent="0.25">
      <c r="A145" s="50">
        <f>'A) Base RI'!A147</f>
        <v>5637</v>
      </c>
      <c r="B145" s="308" t="str">
        <f>'A) Base RI'!B147</f>
        <v>Lavigny</v>
      </c>
      <c r="C145" s="99">
        <f>'B) D RI'!U147</f>
        <v>36088.085548098432</v>
      </c>
      <c r="D145" s="115">
        <f>'E) Fact soc'!G151/C145</f>
        <v>19.043487175631416</v>
      </c>
      <c r="E145" s="142">
        <f>'H) Péréquation directe'!I156/C145</f>
        <v>10.738594308679581</v>
      </c>
      <c r="F145" s="115">
        <f>+'I) Dépenses thématiques'!O145/'J) Plafonnement effort'!C145</f>
        <v>-2.5464633359098121</v>
      </c>
      <c r="G145" s="142">
        <f t="shared" si="9"/>
        <v>27.235618148401183</v>
      </c>
      <c r="H145" s="323">
        <f t="shared" si="10"/>
        <v>0</v>
      </c>
      <c r="I145" s="58">
        <f t="shared" si="11"/>
        <v>0</v>
      </c>
      <c r="J145" s="34">
        <f t="shared" si="12"/>
        <v>27.235618148401183</v>
      </c>
    </row>
    <row r="146" spans="1:10" x14ac:dyDescent="0.25">
      <c r="A146" s="50">
        <f>'A) Base RI'!A148</f>
        <v>5638</v>
      </c>
      <c r="B146" s="308" t="str">
        <f>'A) Base RI'!B148</f>
        <v>Lonay</v>
      </c>
      <c r="C146" s="99">
        <f>'B) D RI'!U148</f>
        <v>147307.25563636364</v>
      </c>
      <c r="D146" s="115">
        <f>'E) Fact soc'!G152/C146</f>
        <v>39.278831187885388</v>
      </c>
      <c r="E146" s="142">
        <f>'H) Péréquation directe'!I157/C146</f>
        <v>15.671761468059062</v>
      </c>
      <c r="F146" s="115">
        <f>+'I) Dépenses thématiques'!O146/'J) Plafonnement effort'!C146</f>
        <v>-2.1002883723905588</v>
      </c>
      <c r="G146" s="142">
        <f t="shared" si="9"/>
        <v>52.850304283553889</v>
      </c>
      <c r="H146" s="323">
        <f t="shared" si="10"/>
        <v>-7.8503042835538892</v>
      </c>
      <c r="I146" s="58">
        <f t="shared" si="11"/>
        <v>-1156406.7799207133</v>
      </c>
      <c r="J146" s="34">
        <f t="shared" si="12"/>
        <v>45</v>
      </c>
    </row>
    <row r="147" spans="1:10" x14ac:dyDescent="0.25">
      <c r="A147" s="50">
        <f>'A) Base RI'!A149</f>
        <v>5639</v>
      </c>
      <c r="B147" s="308" t="str">
        <f>'A) Base RI'!B149</f>
        <v>Lully</v>
      </c>
      <c r="C147" s="99">
        <f>'B) D RI'!U149</f>
        <v>51219.676393442627</v>
      </c>
      <c r="D147" s="115">
        <f>'E) Fact soc'!G153/C147</f>
        <v>22.200789606209963</v>
      </c>
      <c r="E147" s="142">
        <f>'H) Péréquation directe'!I158/C147</f>
        <v>18.095508850260931</v>
      </c>
      <c r="F147" s="115">
        <f>+'I) Dépenses thématiques'!O147/'J) Plafonnement effort'!C147</f>
        <v>0</v>
      </c>
      <c r="G147" s="142">
        <f t="shared" si="9"/>
        <v>40.296298456470893</v>
      </c>
      <c r="H147" s="323">
        <f t="shared" si="10"/>
        <v>0</v>
      </c>
      <c r="I147" s="58">
        <f t="shared" si="11"/>
        <v>0</v>
      </c>
      <c r="J147" s="34">
        <f t="shared" si="12"/>
        <v>40.296298456470893</v>
      </c>
    </row>
    <row r="148" spans="1:10" x14ac:dyDescent="0.25">
      <c r="A148" s="50">
        <f>'A) Base RI'!A150</f>
        <v>5640</v>
      </c>
      <c r="B148" s="308" t="str">
        <f>'A) Base RI'!B150</f>
        <v>Lussy-sur-Morges</v>
      </c>
      <c r="C148" s="99">
        <f>'B) D RI'!U150</f>
        <v>55173.413636363643</v>
      </c>
      <c r="D148" s="115">
        <f>'E) Fact soc'!G154/C148</f>
        <v>38.427899595684735</v>
      </c>
      <c r="E148" s="142">
        <f>'H) Péréquation directe'!I159/C148</f>
        <v>18.51935730132368</v>
      </c>
      <c r="F148" s="115">
        <f>+'I) Dépenses thématiques'!O148/'J) Plafonnement effort'!C148</f>
        <v>0</v>
      </c>
      <c r="G148" s="142">
        <f t="shared" si="9"/>
        <v>56.947256897008415</v>
      </c>
      <c r="H148" s="323">
        <f t="shared" si="10"/>
        <v>-11.947256897008415</v>
      </c>
      <c r="I148" s="58">
        <f t="shared" si="11"/>
        <v>-659170.94659854367</v>
      </c>
      <c r="J148" s="34">
        <f t="shared" si="12"/>
        <v>45</v>
      </c>
    </row>
    <row r="149" spans="1:10" x14ac:dyDescent="0.25">
      <c r="A149" s="50">
        <f>'A) Base RI'!A151</f>
        <v>5642</v>
      </c>
      <c r="B149" s="308" t="str">
        <f>'A) Base RI'!B151</f>
        <v>Morges</v>
      </c>
      <c r="C149" s="99">
        <f>'B) D RI'!U151</f>
        <v>737766.82978102157</v>
      </c>
      <c r="D149" s="115">
        <f>'E) Fact soc'!G155/C149</f>
        <v>20.672992023000514</v>
      </c>
      <c r="E149" s="142">
        <f>'H) Péréquation directe'!I160/C149</f>
        <v>5.7431069969405035</v>
      </c>
      <c r="F149" s="115">
        <f>+'I) Dépenses thématiques'!O149/'J) Plafonnement effort'!C149</f>
        <v>-1.12681979963862</v>
      </c>
      <c r="G149" s="142">
        <f t="shared" si="9"/>
        <v>25.289279220302397</v>
      </c>
      <c r="H149" s="323">
        <f t="shared" si="10"/>
        <v>0</v>
      </c>
      <c r="I149" s="58">
        <f t="shared" si="11"/>
        <v>0</v>
      </c>
      <c r="J149" s="34">
        <f t="shared" si="12"/>
        <v>25.289279220302397</v>
      </c>
    </row>
    <row r="150" spans="1:10" x14ac:dyDescent="0.25">
      <c r="A150" s="50">
        <f>'A) Base RI'!A152</f>
        <v>5643</v>
      </c>
      <c r="B150" s="308" t="str">
        <f>'A) Base RI'!B152</f>
        <v>Préverenges</v>
      </c>
      <c r="C150" s="99">
        <f>'B) D RI'!U152</f>
        <v>261619.24140624996</v>
      </c>
      <c r="D150" s="115">
        <f>'E) Fact soc'!G156/C150</f>
        <v>18.206796763725702</v>
      </c>
      <c r="E150" s="142">
        <f>'H) Péréquation directe'!I161/C150</f>
        <v>12.461361541967976</v>
      </c>
      <c r="F150" s="115">
        <f>+'I) Dépenses thématiques'!O150/'J) Plafonnement effort'!C150</f>
        <v>0</v>
      </c>
      <c r="G150" s="142">
        <f t="shared" si="9"/>
        <v>30.66815830569368</v>
      </c>
      <c r="H150" s="323">
        <f t="shared" si="10"/>
        <v>0</v>
      </c>
      <c r="I150" s="58">
        <f t="shared" si="11"/>
        <v>0</v>
      </c>
      <c r="J150" s="34">
        <f t="shared" si="12"/>
        <v>30.66815830569368</v>
      </c>
    </row>
    <row r="151" spans="1:10" x14ac:dyDescent="0.25">
      <c r="A151" s="50">
        <f>'A) Base RI'!A153</f>
        <v>5644</v>
      </c>
      <c r="B151" s="308" t="str">
        <f>'A) Base RI'!B153</f>
        <v>Reverolle</v>
      </c>
      <c r="C151" s="99">
        <f>'B) D RI'!U153</f>
        <v>14956.659078947367</v>
      </c>
      <c r="D151" s="115">
        <f>'E) Fact soc'!G157/C151</f>
        <v>17.485918333124886</v>
      </c>
      <c r="E151" s="142">
        <f>'H) Péréquation directe'!I162/C151</f>
        <v>13.295528301961452</v>
      </c>
      <c r="F151" s="115">
        <f>+'I) Dépenses thématiques'!O151/'J) Plafonnement effort'!C151</f>
        <v>-2.4594928140131644</v>
      </c>
      <c r="G151" s="142">
        <f t="shared" si="9"/>
        <v>28.321953821073176</v>
      </c>
      <c r="H151" s="323">
        <f t="shared" si="10"/>
        <v>0</v>
      </c>
      <c r="I151" s="58">
        <f t="shared" si="11"/>
        <v>0</v>
      </c>
      <c r="J151" s="34">
        <f t="shared" si="12"/>
        <v>28.321953821073176</v>
      </c>
    </row>
    <row r="152" spans="1:10" x14ac:dyDescent="0.25">
      <c r="A152" s="50">
        <f>'A) Base RI'!A154</f>
        <v>5645</v>
      </c>
      <c r="B152" s="308" t="str">
        <f>'A) Base RI'!B154</f>
        <v>Romanel-sur-Morges</v>
      </c>
      <c r="C152" s="99">
        <f>'B) D RI'!U154</f>
        <v>26019.982455357142</v>
      </c>
      <c r="D152" s="115">
        <f>'E) Fact soc'!G158/C152</f>
        <v>19.140136472047462</v>
      </c>
      <c r="E152" s="142">
        <f>'H) Péréquation directe'!I163/C152</f>
        <v>17.781636630282772</v>
      </c>
      <c r="F152" s="115">
        <f>+'I) Dépenses thématiques'!O152/'J) Plafonnement effort'!C152</f>
        <v>0</v>
      </c>
      <c r="G152" s="142">
        <f t="shared" si="9"/>
        <v>36.921773102330235</v>
      </c>
      <c r="H152" s="323">
        <f t="shared" si="10"/>
        <v>0</v>
      </c>
      <c r="I152" s="58">
        <f t="shared" si="11"/>
        <v>0</v>
      </c>
      <c r="J152" s="34">
        <f t="shared" si="12"/>
        <v>36.921773102330235</v>
      </c>
    </row>
    <row r="153" spans="1:10" x14ac:dyDescent="0.25">
      <c r="A153" s="50">
        <f>'A) Base RI'!A155</f>
        <v>5646</v>
      </c>
      <c r="B153" s="308" t="str">
        <f>'A) Base RI'!B155</f>
        <v>Saint-Prex</v>
      </c>
      <c r="C153" s="99">
        <f>'B) D RI'!U155</f>
        <v>564783.52799999982</v>
      </c>
      <c r="D153" s="115">
        <f>'E) Fact soc'!G159/C153</f>
        <v>28.37359613873544</v>
      </c>
      <c r="E153" s="142">
        <f>'H) Péréquation directe'!I164/C153</f>
        <v>16.090519574547976</v>
      </c>
      <c r="F153" s="115">
        <f>+'I) Dépenses thématiques'!O153/'J) Plafonnement effort'!C153</f>
        <v>0</v>
      </c>
      <c r="G153" s="142">
        <f t="shared" si="9"/>
        <v>44.464115713283419</v>
      </c>
      <c r="H153" s="323">
        <f t="shared" si="10"/>
        <v>0</v>
      </c>
      <c r="I153" s="58">
        <f t="shared" si="11"/>
        <v>0</v>
      </c>
      <c r="J153" s="34">
        <f t="shared" si="12"/>
        <v>44.464115713283419</v>
      </c>
    </row>
    <row r="154" spans="1:10" x14ac:dyDescent="0.25">
      <c r="A154" s="50">
        <f>'A) Base RI'!A156</f>
        <v>5648</v>
      </c>
      <c r="B154" s="308" t="str">
        <f>'A) Base RI'!B156</f>
        <v>Saint-Sulpice</v>
      </c>
      <c r="C154" s="99">
        <f>'B) D RI'!U156</f>
        <v>360934.92836363643</v>
      </c>
      <c r="D154" s="115">
        <f>'E) Fact soc'!G160/C154</f>
        <v>26.484881785170892</v>
      </c>
      <c r="E154" s="142">
        <f>'H) Péréquation directe'!I165/C154</f>
        <v>15.66842561582134</v>
      </c>
      <c r="F154" s="115">
        <f>+'I) Dépenses thématiques'!O154/'J) Plafonnement effort'!C154</f>
        <v>0</v>
      </c>
      <c r="G154" s="142">
        <f t="shared" si="9"/>
        <v>42.153307400992233</v>
      </c>
      <c r="H154" s="323">
        <f t="shared" si="10"/>
        <v>0</v>
      </c>
      <c r="I154" s="58">
        <f t="shared" si="11"/>
        <v>0</v>
      </c>
      <c r="J154" s="34">
        <f t="shared" si="12"/>
        <v>42.153307400992233</v>
      </c>
    </row>
    <row r="155" spans="1:10" x14ac:dyDescent="0.25">
      <c r="A155" s="50">
        <f>'A) Base RI'!A157</f>
        <v>5649</v>
      </c>
      <c r="B155" s="308" t="str">
        <f>'A) Base RI'!B157</f>
        <v>Tolochenaz</v>
      </c>
      <c r="C155" s="99">
        <f>'B) D RI'!U157</f>
        <v>176105.76399999997</v>
      </c>
      <c r="D155" s="115">
        <f>'E) Fact soc'!G161/C155</f>
        <v>29.367905064457659</v>
      </c>
      <c r="E155" s="142">
        <f>'H) Péréquation directe'!I166/C155</f>
        <v>17.577301615313015</v>
      </c>
      <c r="F155" s="115">
        <f>+'I) Dépenses thématiques'!O155/'J) Plafonnement effort'!C155</f>
        <v>0</v>
      </c>
      <c r="G155" s="142">
        <f t="shared" si="9"/>
        <v>46.945206679770678</v>
      </c>
      <c r="H155" s="323">
        <f t="shared" si="10"/>
        <v>-1.9452066797706777</v>
      </c>
      <c r="I155" s="58">
        <f t="shared" si="11"/>
        <v>-342562.1084789185</v>
      </c>
      <c r="J155" s="34">
        <f t="shared" si="12"/>
        <v>45</v>
      </c>
    </row>
    <row r="156" spans="1:10" x14ac:dyDescent="0.25">
      <c r="A156" s="50">
        <f>'A) Base RI'!A158</f>
        <v>5650</v>
      </c>
      <c r="B156" s="308" t="str">
        <f>'A) Base RI'!B158</f>
        <v>Vaux-sur-Morges</v>
      </c>
      <c r="C156" s="99">
        <f>'B) D RI'!U158</f>
        <v>169595.47750000004</v>
      </c>
      <c r="D156" s="115">
        <f>'E) Fact soc'!G162/C156</f>
        <v>46.559201564810472</v>
      </c>
      <c r="E156" s="142">
        <f>'H) Péréquation directe'!I167/C156</f>
        <v>19.867356749574377</v>
      </c>
      <c r="F156" s="115">
        <f>+'I) Dépenses thématiques'!O156/'J) Plafonnement effort'!C156</f>
        <v>0</v>
      </c>
      <c r="G156" s="142">
        <f t="shared" si="9"/>
        <v>66.426558314384849</v>
      </c>
      <c r="H156" s="323">
        <f t="shared" si="10"/>
        <v>-21.426558314384849</v>
      </c>
      <c r="I156" s="58">
        <f t="shared" si="11"/>
        <v>-3633847.3885096945</v>
      </c>
      <c r="J156" s="34">
        <f t="shared" si="12"/>
        <v>45</v>
      </c>
    </row>
    <row r="157" spans="1:10" x14ac:dyDescent="0.25">
      <c r="A157" s="50">
        <f>'A) Base RI'!A159</f>
        <v>5651</v>
      </c>
      <c r="B157" s="308" t="str">
        <f>'A) Base RI'!B159</f>
        <v>Villars-Sainte-Croix</v>
      </c>
      <c r="C157" s="99">
        <f>'B) D RI'!U159</f>
        <v>47710.277796610164</v>
      </c>
      <c r="D157" s="115">
        <f>'E) Fact soc'!G163/C157</f>
        <v>21.045003564918385</v>
      </c>
      <c r="E157" s="142">
        <f>'H) Péréquation directe'!I168/C157</f>
        <v>17.592150404681469</v>
      </c>
      <c r="F157" s="115">
        <f>+'I) Dépenses thématiques'!O157/'J) Plafonnement effort'!C157</f>
        <v>0</v>
      </c>
      <c r="G157" s="142">
        <f t="shared" si="9"/>
        <v>38.637153969599851</v>
      </c>
      <c r="H157" s="323">
        <f t="shared" si="10"/>
        <v>0</v>
      </c>
      <c r="I157" s="58">
        <f t="shared" si="11"/>
        <v>0</v>
      </c>
      <c r="J157" s="34">
        <f t="shared" si="12"/>
        <v>38.637153969599851</v>
      </c>
    </row>
    <row r="158" spans="1:10" x14ac:dyDescent="0.25">
      <c r="A158" s="50">
        <f>'A) Base RI'!A160</f>
        <v>5652</v>
      </c>
      <c r="B158" s="308" t="str">
        <f>'A) Base RI'!B160</f>
        <v>Villars-sous-Yens</v>
      </c>
      <c r="C158" s="99">
        <f>'B) D RI'!U160</f>
        <v>25794.085109649121</v>
      </c>
      <c r="D158" s="115">
        <f>'E) Fact soc'!G164/C158</f>
        <v>16.895132615441057</v>
      </c>
      <c r="E158" s="142">
        <f>'H) Péréquation directe'!I169/C158</f>
        <v>15.315416035331282</v>
      </c>
      <c r="F158" s="115">
        <f>+'I) Dépenses thématiques'!O158/'J) Plafonnement effort'!C158</f>
        <v>-0.12096724225113334</v>
      </c>
      <c r="G158" s="142">
        <f t="shared" si="9"/>
        <v>32.089581408521205</v>
      </c>
      <c r="H158" s="323">
        <f t="shared" si="10"/>
        <v>0</v>
      </c>
      <c r="I158" s="58">
        <f t="shared" si="11"/>
        <v>0</v>
      </c>
      <c r="J158" s="34">
        <f t="shared" si="12"/>
        <v>32.089581408521205</v>
      </c>
    </row>
    <row r="159" spans="1:10" x14ac:dyDescent="0.25">
      <c r="A159" s="50">
        <f>'A) Base RI'!A161</f>
        <v>5653</v>
      </c>
      <c r="B159" s="308" t="str">
        <f>'A) Base RI'!B161</f>
        <v>Vufflens-le-Château</v>
      </c>
      <c r="C159" s="99">
        <f>'B) D RI'!U161</f>
        <v>58104.710727272715</v>
      </c>
      <c r="D159" s="115">
        <f>'E) Fact soc'!G165/C159</f>
        <v>20.824571273606146</v>
      </c>
      <c r="E159" s="142">
        <f>'H) Péréquation directe'!I170/C159</f>
        <v>18.133478123845446</v>
      </c>
      <c r="F159" s="115">
        <f>+'I) Dépenses thématiques'!O159/'J) Plafonnement effort'!C159</f>
        <v>0</v>
      </c>
      <c r="G159" s="142">
        <f t="shared" si="9"/>
        <v>38.958049397451589</v>
      </c>
      <c r="H159" s="323">
        <f t="shared" si="10"/>
        <v>0</v>
      </c>
      <c r="I159" s="58">
        <f t="shared" si="11"/>
        <v>0</v>
      </c>
      <c r="J159" s="34">
        <f t="shared" si="12"/>
        <v>38.958049397451589</v>
      </c>
    </row>
    <row r="160" spans="1:10" x14ac:dyDescent="0.25">
      <c r="A160" s="50">
        <f>'A) Base RI'!A162</f>
        <v>5654</v>
      </c>
      <c r="B160" s="308" t="str">
        <f>'A) Base RI'!B162</f>
        <v>Vullierens</v>
      </c>
      <c r="C160" s="99">
        <f>'B) D RI'!U162</f>
        <v>18548.379210526316</v>
      </c>
      <c r="D160" s="115">
        <f>'E) Fact soc'!G166/C160</f>
        <v>16.778473350511028</v>
      </c>
      <c r="E160" s="142">
        <f>'H) Péréquation directe'!I171/C160</f>
        <v>11.71112574463252</v>
      </c>
      <c r="F160" s="115">
        <f>+'I) Dépenses thématiques'!O160/'J) Plafonnement effort'!C160</f>
        <v>-0.32299181879148703</v>
      </c>
      <c r="G160" s="142">
        <f t="shared" si="9"/>
        <v>28.16660727635206</v>
      </c>
      <c r="H160" s="323">
        <f t="shared" si="10"/>
        <v>0</v>
      </c>
      <c r="I160" s="58">
        <f t="shared" si="11"/>
        <v>0</v>
      </c>
      <c r="J160" s="34">
        <f t="shared" si="12"/>
        <v>28.16660727635206</v>
      </c>
    </row>
    <row r="161" spans="1:10" x14ac:dyDescent="0.25">
      <c r="A161" s="50">
        <f>'A) Base RI'!A163</f>
        <v>5655</v>
      </c>
      <c r="B161" s="308" t="str">
        <f>'A) Base RI'!B163</f>
        <v>Yens</v>
      </c>
      <c r="C161" s="99">
        <f>'B) D RI'!U163</f>
        <v>71567.801506849311</v>
      </c>
      <c r="D161" s="115">
        <f>'E) Fact soc'!G167/C161</f>
        <v>23.188607842432123</v>
      </c>
      <c r="E161" s="142">
        <f>'H) Péréquation directe'!I172/C161</f>
        <v>16.378334876612254</v>
      </c>
      <c r="F161" s="115">
        <f>+'I) Dépenses thématiques'!O161/'J) Plafonnement effort'!C161</f>
        <v>-3.8570990037187981E-2</v>
      </c>
      <c r="G161" s="142">
        <f t="shared" si="9"/>
        <v>39.528371729007191</v>
      </c>
      <c r="H161" s="323">
        <f t="shared" si="10"/>
        <v>0</v>
      </c>
      <c r="I161" s="58">
        <f t="shared" si="11"/>
        <v>0</v>
      </c>
      <c r="J161" s="34">
        <f t="shared" si="12"/>
        <v>39.528371729007191</v>
      </c>
    </row>
    <row r="162" spans="1:10" x14ac:dyDescent="0.25">
      <c r="A162" s="50">
        <f>'A) Base RI'!A164</f>
        <v>5661</v>
      </c>
      <c r="B162" s="308" t="str">
        <f>'A) Base RI'!B164</f>
        <v>Boulens</v>
      </c>
      <c r="C162" s="99">
        <f>'B) D RI'!U164</f>
        <v>9056.8577215189871</v>
      </c>
      <c r="D162" s="115">
        <f>'E) Fact soc'!G168/C162</f>
        <v>17.088630347819169</v>
      </c>
      <c r="E162" s="142">
        <f>'H) Péréquation directe'!I173/C162</f>
        <v>-7.0475331046427376</v>
      </c>
      <c r="F162" s="115">
        <f>+'I) Dépenses thématiques'!O162/'J) Plafonnement effort'!C162</f>
        <v>-1.8076751575727441</v>
      </c>
      <c r="G162" s="142">
        <f t="shared" si="9"/>
        <v>8.2334220856036868</v>
      </c>
      <c r="H162" s="323">
        <f t="shared" si="10"/>
        <v>0</v>
      </c>
      <c r="I162" s="58">
        <f t="shared" si="11"/>
        <v>0</v>
      </c>
      <c r="J162" s="34">
        <f t="shared" si="12"/>
        <v>8.2334220856036868</v>
      </c>
    </row>
    <row r="163" spans="1:10" x14ac:dyDescent="0.25">
      <c r="A163" s="50">
        <f>'A) Base RI'!A165</f>
        <v>5663</v>
      </c>
      <c r="B163" s="308" t="str">
        <f>'A) Base RI'!B165</f>
        <v>Bussy-sur-Moudon</v>
      </c>
      <c r="C163" s="99">
        <f>'B) D RI'!U165</f>
        <v>5655.1166249999997</v>
      </c>
      <c r="D163" s="115">
        <f>'E) Fact soc'!G169/C163</f>
        <v>18.295426913659252</v>
      </c>
      <c r="E163" s="142">
        <f>'H) Péréquation directe'!I174/C163</f>
        <v>-1.6517468338892145</v>
      </c>
      <c r="F163" s="115">
        <f>+'I) Dépenses thématiques'!O163/'J) Plafonnement effort'!C163</f>
        <v>-12.792169919439994</v>
      </c>
      <c r="G163" s="142">
        <f t="shared" si="9"/>
        <v>3.8515101603300455</v>
      </c>
      <c r="H163" s="323">
        <f t="shared" si="10"/>
        <v>0</v>
      </c>
      <c r="I163" s="58">
        <f t="shared" si="11"/>
        <v>0</v>
      </c>
      <c r="J163" s="34">
        <f t="shared" si="12"/>
        <v>3.8515101603300455</v>
      </c>
    </row>
    <row r="164" spans="1:10" x14ac:dyDescent="0.25">
      <c r="A164" s="50">
        <f>'A) Base RI'!A166</f>
        <v>5665</v>
      </c>
      <c r="B164" s="308" t="str">
        <f>'A) Base RI'!B166</f>
        <v>Chavannes-sur-Moudon</v>
      </c>
      <c r="C164" s="99">
        <f>'B) D RI'!U166</f>
        <v>5028.5345205479452</v>
      </c>
      <c r="D164" s="115">
        <f>'E) Fact soc'!G170/C164</f>
        <v>16.083549331567593</v>
      </c>
      <c r="E164" s="142">
        <f>'H) Péréquation directe'!I175/C164</f>
        <v>-6.1445358483926436</v>
      </c>
      <c r="F164" s="115">
        <f>+'I) Dépenses thématiques'!O164/'J) Plafonnement effort'!C164</f>
        <v>-1.1030634977341092</v>
      </c>
      <c r="G164" s="142">
        <f t="shared" si="9"/>
        <v>8.8359499854408412</v>
      </c>
      <c r="H164" s="323">
        <f t="shared" si="10"/>
        <v>0</v>
      </c>
      <c r="I164" s="58">
        <f t="shared" si="11"/>
        <v>0</v>
      </c>
      <c r="J164" s="34">
        <f t="shared" si="12"/>
        <v>8.8359499854408412</v>
      </c>
    </row>
    <row r="165" spans="1:10" x14ac:dyDescent="0.25">
      <c r="A165" s="50">
        <f>'A) Base RI'!A167</f>
        <v>5669</v>
      </c>
      <c r="B165" s="308" t="str">
        <f>'A) Base RI'!B167</f>
        <v>Curtilles</v>
      </c>
      <c r="C165" s="99">
        <f>'B) D RI'!U167</f>
        <v>9029.3026666666665</v>
      </c>
      <c r="D165" s="115">
        <f>'E) Fact soc'!G171/C165</f>
        <v>19.4127837993375</v>
      </c>
      <c r="E165" s="142">
        <f>'H) Péréquation directe'!I176/C165</f>
        <v>2.3944462612057591</v>
      </c>
      <c r="F165" s="115">
        <f>+'I) Dépenses thématiques'!O165/'J) Plafonnement effort'!C165</f>
        <v>-0.74869391907267269</v>
      </c>
      <c r="G165" s="142">
        <f t="shared" si="9"/>
        <v>21.058536141470587</v>
      </c>
      <c r="H165" s="323">
        <f t="shared" si="10"/>
        <v>0</v>
      </c>
      <c r="I165" s="58">
        <f t="shared" si="11"/>
        <v>0</v>
      </c>
      <c r="J165" s="34">
        <f t="shared" si="12"/>
        <v>21.058536141470587</v>
      </c>
    </row>
    <row r="166" spans="1:10" x14ac:dyDescent="0.25">
      <c r="A166" s="50">
        <f>'A) Base RI'!A168</f>
        <v>5671</v>
      </c>
      <c r="B166" s="308" t="str">
        <f>'A) Base RI'!B168</f>
        <v>Dompierre</v>
      </c>
      <c r="C166" s="99">
        <f>'B) D RI'!U168</f>
        <v>6333.6785</v>
      </c>
      <c r="D166" s="115">
        <f>'E) Fact soc'!G172/C166</f>
        <v>15.780510392990774</v>
      </c>
      <c r="E166" s="142">
        <f>'H) Péréquation directe'!I177/C166</f>
        <v>-6.6705220432444809</v>
      </c>
      <c r="F166" s="115">
        <f>+'I) Dépenses thématiques'!O166/'J) Plafonnement effort'!C166</f>
        <v>-9.3264396235142026</v>
      </c>
      <c r="G166" s="142">
        <f t="shared" si="9"/>
        <v>-0.21645127376791073</v>
      </c>
      <c r="H166" s="323">
        <f t="shared" si="10"/>
        <v>0</v>
      </c>
      <c r="I166" s="58">
        <f t="shared" si="11"/>
        <v>0</v>
      </c>
      <c r="J166" s="34">
        <f t="shared" si="12"/>
        <v>-0.21645127376791073</v>
      </c>
    </row>
    <row r="167" spans="1:10" x14ac:dyDescent="0.25">
      <c r="A167" s="50">
        <f>'A) Base RI'!A169</f>
        <v>5673</v>
      </c>
      <c r="B167" s="308" t="str">
        <f>'A) Base RI'!B169</f>
        <v>Hermenches</v>
      </c>
      <c r="C167" s="99">
        <f>'B) D RI'!U169</f>
        <v>8912.655777777778</v>
      </c>
      <c r="D167" s="115">
        <f>'E) Fact soc'!G173/C167</f>
        <v>16.376011616396049</v>
      </c>
      <c r="E167" s="142">
        <f>'H) Péréquation directe'!I178/C167</f>
        <v>-5.9040216462173554</v>
      </c>
      <c r="F167" s="115">
        <f>+'I) Dépenses thématiques'!O167/'J) Plafonnement effort'!C167</f>
        <v>-6.2587487827234733</v>
      </c>
      <c r="G167" s="142">
        <f t="shared" si="9"/>
        <v>4.2132411874552202</v>
      </c>
      <c r="H167" s="323">
        <f t="shared" si="10"/>
        <v>0</v>
      </c>
      <c r="I167" s="58">
        <f t="shared" si="11"/>
        <v>0</v>
      </c>
      <c r="J167" s="34">
        <f t="shared" si="12"/>
        <v>4.2132411874552202</v>
      </c>
    </row>
    <row r="168" spans="1:10" x14ac:dyDescent="0.25">
      <c r="A168" s="50">
        <f>'A) Base RI'!A170</f>
        <v>5674</v>
      </c>
      <c r="B168" s="308" t="str">
        <f>'A) Base RI'!B170</f>
        <v>Lovatens</v>
      </c>
      <c r="C168" s="99">
        <f>'B) D RI'!U170</f>
        <v>3614.9058666666665</v>
      </c>
      <c r="D168" s="115">
        <f>'E) Fact soc'!G174/C168</f>
        <v>16.465778459430517</v>
      </c>
      <c r="E168" s="142">
        <f>'H) Péréquation directe'!I179/C168</f>
        <v>-1.9069306408485245</v>
      </c>
      <c r="F168" s="115">
        <f>+'I) Dépenses thématiques'!O168/'J) Plafonnement effort'!C168</f>
        <v>-4.9239359077455367</v>
      </c>
      <c r="G168" s="142">
        <f t="shared" si="9"/>
        <v>9.634911910836454</v>
      </c>
      <c r="H168" s="323">
        <f t="shared" si="10"/>
        <v>0</v>
      </c>
      <c r="I168" s="58">
        <f t="shared" si="11"/>
        <v>0</v>
      </c>
      <c r="J168" s="34">
        <f t="shared" si="12"/>
        <v>9.634911910836454</v>
      </c>
    </row>
    <row r="169" spans="1:10" x14ac:dyDescent="0.25">
      <c r="A169" s="50">
        <f>'A) Base RI'!A171</f>
        <v>5675</v>
      </c>
      <c r="B169" s="308" t="str">
        <f>'A) Base RI'!B171</f>
        <v>Lucens</v>
      </c>
      <c r="C169" s="99">
        <f>'B) D RI'!U171</f>
        <v>84285.039641873256</v>
      </c>
      <c r="D169" s="115">
        <f>'E) Fact soc'!G175/C169</f>
        <v>19.605007205235797</v>
      </c>
      <c r="E169" s="142">
        <f>'H) Péréquation directe'!I180/C169</f>
        <v>-17.770766869498157</v>
      </c>
      <c r="F169" s="115">
        <f>+'I) Dépenses thématiques'!O169/'J) Plafonnement effort'!C169</f>
        <v>-5.4970136351289396</v>
      </c>
      <c r="G169" s="142">
        <f t="shared" si="9"/>
        <v>-3.6627732993912998</v>
      </c>
      <c r="H169" s="323">
        <f t="shared" si="10"/>
        <v>0</v>
      </c>
      <c r="I169" s="58">
        <f t="shared" si="11"/>
        <v>0</v>
      </c>
      <c r="J169" s="34">
        <f t="shared" si="12"/>
        <v>-3.6627732993912998</v>
      </c>
    </row>
    <row r="170" spans="1:10" x14ac:dyDescent="0.25">
      <c r="A170" s="50">
        <f>'A) Base RI'!A172</f>
        <v>5678</v>
      </c>
      <c r="B170" s="308" t="str">
        <f>'A) Base RI'!B172</f>
        <v>Moudon</v>
      </c>
      <c r="C170" s="99">
        <f>'B) D RI'!U172</f>
        <v>115802.40466666668</v>
      </c>
      <c r="D170" s="115">
        <f>'E) Fact soc'!G176/C170</f>
        <v>21.916952664783206</v>
      </c>
      <c r="E170" s="142">
        <f>'H) Péréquation directe'!I181/C170</f>
        <v>-33.309784468800935</v>
      </c>
      <c r="F170" s="115">
        <f>+'I) Dépenses thématiques'!O170/'J) Plafonnement effort'!C170</f>
        <v>-10.608551454835359</v>
      </c>
      <c r="G170" s="142">
        <f t="shared" si="9"/>
        <v>-22.001383258853089</v>
      </c>
      <c r="H170" s="323">
        <f t="shared" si="10"/>
        <v>0</v>
      </c>
      <c r="I170" s="58">
        <f t="shared" si="11"/>
        <v>0</v>
      </c>
      <c r="J170" s="34">
        <f t="shared" si="12"/>
        <v>-22.001383258853089</v>
      </c>
    </row>
    <row r="171" spans="1:10" x14ac:dyDescent="0.25">
      <c r="A171" s="50">
        <f>'A) Base RI'!A173</f>
        <v>5680</v>
      </c>
      <c r="B171" s="308" t="str">
        <f>'A) Base RI'!B173</f>
        <v>Ogens</v>
      </c>
      <c r="C171" s="99">
        <f>'B) D RI'!U173</f>
        <v>7404.4946581196582</v>
      </c>
      <c r="D171" s="115">
        <f>'E) Fact soc'!G177/C171</f>
        <v>18.212239564024525</v>
      </c>
      <c r="E171" s="142">
        <f>'H) Péréquation directe'!I182/C171</f>
        <v>-5.8018024796407941</v>
      </c>
      <c r="F171" s="115">
        <f>+'I) Dépenses thématiques'!O171/'J) Plafonnement effort'!C171</f>
        <v>-2.3363054275044015</v>
      </c>
      <c r="G171" s="142">
        <f t="shared" si="9"/>
        <v>10.074131656879329</v>
      </c>
      <c r="H171" s="323">
        <f t="shared" si="10"/>
        <v>0</v>
      </c>
      <c r="I171" s="58">
        <f t="shared" si="11"/>
        <v>0</v>
      </c>
      <c r="J171" s="34">
        <f t="shared" si="12"/>
        <v>10.074131656879329</v>
      </c>
    </row>
    <row r="172" spans="1:10" x14ac:dyDescent="0.25">
      <c r="A172" s="50">
        <f>'A) Base RI'!A174</f>
        <v>5683</v>
      </c>
      <c r="B172" s="308" t="str">
        <f>'A) Base RI'!B174</f>
        <v>Prévonloup</v>
      </c>
      <c r="C172" s="99">
        <f>'B) D RI'!U174</f>
        <v>3876.1695945945944</v>
      </c>
      <c r="D172" s="115">
        <f>'E) Fact soc'!G178/C172</f>
        <v>18.988876249368698</v>
      </c>
      <c r="E172" s="142">
        <f>'H) Péréquation directe'!I183/C172</f>
        <v>-3.9746883363204226</v>
      </c>
      <c r="F172" s="115">
        <f>+'I) Dépenses thématiques'!O172/'J) Plafonnement effort'!C172</f>
        <v>-25.884053827868176</v>
      </c>
      <c r="G172" s="142">
        <f t="shared" si="9"/>
        <v>-10.869865914819901</v>
      </c>
      <c r="H172" s="323">
        <f t="shared" si="10"/>
        <v>0</v>
      </c>
      <c r="I172" s="58">
        <f t="shared" si="11"/>
        <v>0</v>
      </c>
      <c r="J172" s="34">
        <f t="shared" si="12"/>
        <v>-10.869865914819901</v>
      </c>
    </row>
    <row r="173" spans="1:10" x14ac:dyDescent="0.25">
      <c r="A173" s="50">
        <f>'A) Base RI'!A175</f>
        <v>5684</v>
      </c>
      <c r="B173" s="308" t="str">
        <f>'A) Base RI'!B175</f>
        <v>Rossenges</v>
      </c>
      <c r="C173" s="99">
        <f>'B) D RI'!U175</f>
        <v>2934.7781666666665</v>
      </c>
      <c r="D173" s="115">
        <f>'E) Fact soc'!G179/C173</f>
        <v>16.127251025463817</v>
      </c>
      <c r="E173" s="142">
        <f>'H) Péréquation directe'!I184/C173</f>
        <v>17.361315618535944</v>
      </c>
      <c r="F173" s="115">
        <f>+'I) Dépenses thématiques'!O173/'J) Plafonnement effort'!C173</f>
        <v>0</v>
      </c>
      <c r="G173" s="142">
        <f t="shared" si="9"/>
        <v>33.488566643999761</v>
      </c>
      <c r="H173" s="323">
        <f t="shared" si="10"/>
        <v>0</v>
      </c>
      <c r="I173" s="58">
        <f t="shared" si="11"/>
        <v>0</v>
      </c>
      <c r="J173" s="34">
        <f t="shared" si="12"/>
        <v>33.488566643999761</v>
      </c>
    </row>
    <row r="174" spans="1:10" x14ac:dyDescent="0.25">
      <c r="A174" s="50">
        <f>'A) Base RI'!A176</f>
        <v>5688</v>
      </c>
      <c r="B174" s="308" t="str">
        <f>'A) Base RI'!B176</f>
        <v>Syens</v>
      </c>
      <c r="C174" s="99">
        <f>'B) D RI'!U176</f>
        <v>6079.6888888888907</v>
      </c>
      <c r="D174" s="115">
        <f>'E) Fact soc'!G180/C174</f>
        <v>18.316002433989333</v>
      </c>
      <c r="E174" s="142">
        <f>'H) Péréquation directe'!I185/C174</f>
        <v>14.333248535648606</v>
      </c>
      <c r="F174" s="115">
        <f>+'I) Dépenses thématiques'!O174/'J) Plafonnement effort'!C174</f>
        <v>-2.9048553288545436</v>
      </c>
      <c r="G174" s="142">
        <f t="shared" si="9"/>
        <v>29.744395640783395</v>
      </c>
      <c r="H174" s="323">
        <f t="shared" si="10"/>
        <v>0</v>
      </c>
      <c r="I174" s="58">
        <f t="shared" si="11"/>
        <v>0</v>
      </c>
      <c r="J174" s="34">
        <f t="shared" si="12"/>
        <v>29.744395640783395</v>
      </c>
    </row>
    <row r="175" spans="1:10" x14ac:dyDescent="0.25">
      <c r="A175" s="50">
        <f>'A) Base RI'!A177</f>
        <v>5690</v>
      </c>
      <c r="B175" s="308" t="str">
        <f>'A) Base RI'!B177</f>
        <v>Villars-le-Comte</v>
      </c>
      <c r="C175" s="99">
        <f>'B) D RI'!U177</f>
        <v>3585.4957380952383</v>
      </c>
      <c r="D175" s="115">
        <f>'E) Fact soc'!G181/C175</f>
        <v>19.077190437242177</v>
      </c>
      <c r="E175" s="142">
        <f>'H) Péréquation directe'!I186/C175</f>
        <v>-0.30474430997690138</v>
      </c>
      <c r="F175" s="115">
        <f>+'I) Dépenses thématiques'!O175/'J) Plafonnement effort'!C175</f>
        <v>-0.92718106802804368</v>
      </c>
      <c r="G175" s="142">
        <f t="shared" si="9"/>
        <v>17.845265059237231</v>
      </c>
      <c r="H175" s="323">
        <f t="shared" si="10"/>
        <v>0</v>
      </c>
      <c r="I175" s="58">
        <f t="shared" si="11"/>
        <v>0</v>
      </c>
      <c r="J175" s="34">
        <f t="shared" si="12"/>
        <v>17.845265059237231</v>
      </c>
    </row>
    <row r="176" spans="1:10" x14ac:dyDescent="0.25">
      <c r="A176" s="50">
        <f>'A) Base RI'!A178</f>
        <v>5692</v>
      </c>
      <c r="B176" s="308" t="str">
        <f>'A) Base RI'!B178</f>
        <v>Vucherens</v>
      </c>
      <c r="C176" s="99">
        <f>'B) D RI'!U178</f>
        <v>17261.954936708858</v>
      </c>
      <c r="D176" s="115">
        <f>'E) Fact soc'!G182/C176</f>
        <v>18.310921984232767</v>
      </c>
      <c r="E176" s="142">
        <f>'H) Péréquation directe'!I187/C176</f>
        <v>2.7430558163847873</v>
      </c>
      <c r="F176" s="115">
        <f>+'I) Dépenses thématiques'!O176/'J) Plafonnement effort'!C176</f>
        <v>-2.882583146705505</v>
      </c>
      <c r="G176" s="142">
        <f t="shared" si="9"/>
        <v>18.171394653912046</v>
      </c>
      <c r="H176" s="323">
        <f t="shared" si="10"/>
        <v>0</v>
      </c>
      <c r="I176" s="58">
        <f t="shared" si="11"/>
        <v>0</v>
      </c>
      <c r="J176" s="34">
        <f t="shared" si="12"/>
        <v>18.171394653912046</v>
      </c>
    </row>
    <row r="177" spans="1:10" x14ac:dyDescent="0.25">
      <c r="A177" s="50">
        <f>'A) Base RI'!A179</f>
        <v>5693</v>
      </c>
      <c r="B177" s="308" t="str">
        <f>'A) Base RI'!B179</f>
        <v>Montanaire</v>
      </c>
      <c r="C177" s="99">
        <f>'B) D RI'!U179</f>
        <v>70163.69902777778</v>
      </c>
      <c r="D177" s="115">
        <f>'E) Fact soc'!G183/C177</f>
        <v>19.032335861112198</v>
      </c>
      <c r="E177" s="142">
        <f>'H) Péréquation directe'!I188/C177</f>
        <v>-3.685106695391271</v>
      </c>
      <c r="F177" s="115">
        <f>+'I) Dépenses thématiques'!O177/'J) Plafonnement effort'!C177</f>
        <v>-6.1726973857384015</v>
      </c>
      <c r="G177" s="142">
        <f t="shared" si="9"/>
        <v>9.1745317799825266</v>
      </c>
      <c r="H177" s="323">
        <f t="shared" si="10"/>
        <v>0</v>
      </c>
      <c r="I177" s="58">
        <f t="shared" si="11"/>
        <v>0</v>
      </c>
      <c r="J177" s="34">
        <f t="shared" si="12"/>
        <v>9.1745317799825266</v>
      </c>
    </row>
    <row r="178" spans="1:10" x14ac:dyDescent="0.25">
      <c r="A178" s="50">
        <f>'A) Base RI'!A180</f>
        <v>5701</v>
      </c>
      <c r="B178" s="308" t="str">
        <f>'A) Base RI'!B180</f>
        <v>Arnex-sur-Nyon</v>
      </c>
      <c r="C178" s="99">
        <f>'B) D RI'!U180</f>
        <v>14485.916142857144</v>
      </c>
      <c r="D178" s="115">
        <f>'E) Fact soc'!G184/C178</f>
        <v>22.229764735939931</v>
      </c>
      <c r="E178" s="142">
        <f>'H) Péréquation directe'!I189/C178</f>
        <v>18.102681629796635</v>
      </c>
      <c r="F178" s="115">
        <f>+'I) Dépenses thématiques'!O178/'J) Plafonnement effort'!C178</f>
        <v>0</v>
      </c>
      <c r="G178" s="142">
        <f t="shared" si="9"/>
        <v>40.332446365736565</v>
      </c>
      <c r="H178" s="323">
        <f t="shared" si="10"/>
        <v>0</v>
      </c>
      <c r="I178" s="58">
        <f t="shared" si="11"/>
        <v>0</v>
      </c>
      <c r="J178" s="34">
        <f t="shared" si="12"/>
        <v>40.332446365736565</v>
      </c>
    </row>
    <row r="179" spans="1:10" x14ac:dyDescent="0.25">
      <c r="A179" s="50">
        <f>'A) Base RI'!A181</f>
        <v>5702</v>
      </c>
      <c r="B179" s="308" t="str">
        <f>'A) Base RI'!B181</f>
        <v>Arzier-Le Muids</v>
      </c>
      <c r="C179" s="99">
        <f>'B) D RI'!U181</f>
        <v>155554.60781250003</v>
      </c>
      <c r="D179" s="115">
        <f>'E) Fact soc'!G185/C179</f>
        <v>22.947257325356372</v>
      </c>
      <c r="E179" s="142">
        <f>'H) Péréquation directe'!I190/C179</f>
        <v>15.544011412059678</v>
      </c>
      <c r="F179" s="115">
        <f>+'I) Dépenses thématiques'!O179/'J) Plafonnement effort'!C179</f>
        <v>-1.9381556636626869</v>
      </c>
      <c r="G179" s="142">
        <f t="shared" si="9"/>
        <v>36.553113073753366</v>
      </c>
      <c r="H179" s="323">
        <f t="shared" si="10"/>
        <v>0</v>
      </c>
      <c r="I179" s="58">
        <f t="shared" si="11"/>
        <v>0</v>
      </c>
      <c r="J179" s="34">
        <f t="shared" si="12"/>
        <v>36.553113073753366</v>
      </c>
    </row>
    <row r="180" spans="1:10" x14ac:dyDescent="0.25">
      <c r="A180" s="50">
        <f>'A) Base RI'!A182</f>
        <v>5703</v>
      </c>
      <c r="B180" s="308" t="str">
        <f>'A) Base RI'!B182</f>
        <v>Bassins</v>
      </c>
      <c r="C180" s="99">
        <f>'B) D RI'!U182</f>
        <v>56619.784440154435</v>
      </c>
      <c r="D180" s="115">
        <f>'E) Fact soc'!G186/C180</f>
        <v>19.541083952910999</v>
      </c>
      <c r="E180" s="142">
        <f>'H) Péréquation directe'!I191/C180</f>
        <v>13.847884735559392</v>
      </c>
      <c r="F180" s="115">
        <f>+'I) Dépenses thématiques'!O180/'J) Plafonnement effort'!C180</f>
        <v>-4.0584127492013957</v>
      </c>
      <c r="G180" s="142">
        <f t="shared" si="9"/>
        <v>29.330555939268997</v>
      </c>
      <c r="H180" s="323">
        <f t="shared" si="10"/>
        <v>0</v>
      </c>
      <c r="I180" s="58">
        <f t="shared" si="11"/>
        <v>0</v>
      </c>
      <c r="J180" s="34">
        <f t="shared" si="12"/>
        <v>29.330555939268997</v>
      </c>
    </row>
    <row r="181" spans="1:10" x14ac:dyDescent="0.25">
      <c r="A181" s="50">
        <f>'A) Base RI'!A183</f>
        <v>5704</v>
      </c>
      <c r="B181" s="308" t="str">
        <f>'A) Base RI'!B183</f>
        <v>Begnins</v>
      </c>
      <c r="C181" s="99">
        <f>'B) D RI'!U183</f>
        <v>127181.77029850746</v>
      </c>
      <c r="D181" s="115">
        <f>'E) Fact soc'!G187/C181</f>
        <v>24.898868329912411</v>
      </c>
      <c r="E181" s="142">
        <f>'H) Péréquation directe'!I192/C181</f>
        <v>16.567221827305016</v>
      </c>
      <c r="F181" s="115">
        <f>+'I) Dépenses thématiques'!O181/'J) Plafonnement effort'!C181</f>
        <v>0</v>
      </c>
      <c r="G181" s="142">
        <f t="shared" si="9"/>
        <v>41.466090157217423</v>
      </c>
      <c r="H181" s="323">
        <f t="shared" si="10"/>
        <v>0</v>
      </c>
      <c r="I181" s="58">
        <f t="shared" si="11"/>
        <v>0</v>
      </c>
      <c r="J181" s="34">
        <f t="shared" si="12"/>
        <v>41.466090157217423</v>
      </c>
    </row>
    <row r="182" spans="1:10" x14ac:dyDescent="0.25">
      <c r="A182" s="50">
        <f>'A) Base RI'!A184</f>
        <v>5705</v>
      </c>
      <c r="B182" s="308" t="str">
        <f>'A) Base RI'!B184</f>
        <v>Bogis-Bossey</v>
      </c>
      <c r="C182" s="99">
        <f>'B) D RI'!U184</f>
        <v>54965.953000000009</v>
      </c>
      <c r="D182" s="115">
        <f>'E) Fact soc'!G188/C182</f>
        <v>22.16370499820011</v>
      </c>
      <c r="E182" s="142">
        <f>'H) Péréquation directe'!I193/C182</f>
        <v>18.005972734419355</v>
      </c>
      <c r="F182" s="115">
        <f>+'I) Dépenses thématiques'!O182/'J) Plafonnement effort'!C182</f>
        <v>0</v>
      </c>
      <c r="G182" s="142">
        <f t="shared" si="9"/>
        <v>40.169677732619462</v>
      </c>
      <c r="H182" s="323">
        <f t="shared" si="10"/>
        <v>0</v>
      </c>
      <c r="I182" s="58">
        <f t="shared" si="11"/>
        <v>0</v>
      </c>
      <c r="J182" s="34">
        <f t="shared" si="12"/>
        <v>40.169677732619462</v>
      </c>
    </row>
    <row r="183" spans="1:10" x14ac:dyDescent="0.25">
      <c r="A183" s="50">
        <f>'A) Base RI'!A185</f>
        <v>5706</v>
      </c>
      <c r="B183" s="308" t="str">
        <f>'A) Base RI'!B185</f>
        <v>Borex</v>
      </c>
      <c r="C183" s="99">
        <f>'B) D RI'!U185</f>
        <v>71857.063735632182</v>
      </c>
      <c r="D183" s="115">
        <f>'E) Fact soc'!G189/C183</f>
        <v>22.531979145526257</v>
      </c>
      <c r="E183" s="142">
        <f>'H) Péréquation directe'!I194/C183</f>
        <v>17.687385542844066</v>
      </c>
      <c r="F183" s="115">
        <f>+'I) Dépenses thématiques'!O183/'J) Plafonnement effort'!C183</f>
        <v>0</v>
      </c>
      <c r="G183" s="142">
        <f t="shared" si="9"/>
        <v>40.21936468837032</v>
      </c>
      <c r="H183" s="323">
        <f t="shared" si="10"/>
        <v>0</v>
      </c>
      <c r="I183" s="58">
        <f t="shared" si="11"/>
        <v>0</v>
      </c>
      <c r="J183" s="34">
        <f t="shared" si="12"/>
        <v>40.21936468837032</v>
      </c>
    </row>
    <row r="184" spans="1:10" x14ac:dyDescent="0.25">
      <c r="A184" s="50">
        <f>'A) Base RI'!A186</f>
        <v>5707</v>
      </c>
      <c r="B184" s="308" t="str">
        <f>'A) Base RI'!B186</f>
        <v>Chavannes-de-Bogis</v>
      </c>
      <c r="C184" s="99">
        <f>'B) D RI'!U186</f>
        <v>84087.690451977411</v>
      </c>
      <c r="D184" s="115">
        <f>'E) Fact soc'!G190/C184</f>
        <v>23.989146062579902</v>
      </c>
      <c r="E184" s="142">
        <f>'H) Péréquation directe'!I195/C184</f>
        <v>17.351160494921007</v>
      </c>
      <c r="F184" s="115">
        <f>+'I) Dépenses thématiques'!O184/'J) Plafonnement effort'!C184</f>
        <v>0</v>
      </c>
      <c r="G184" s="142">
        <f t="shared" si="9"/>
        <v>41.340306557500909</v>
      </c>
      <c r="H184" s="323">
        <f t="shared" si="10"/>
        <v>0</v>
      </c>
      <c r="I184" s="58">
        <f t="shared" si="11"/>
        <v>0</v>
      </c>
      <c r="J184" s="34">
        <f t="shared" si="12"/>
        <v>41.340306557500909</v>
      </c>
    </row>
    <row r="185" spans="1:10" x14ac:dyDescent="0.25">
      <c r="A185" s="50">
        <f>'A) Base RI'!A187</f>
        <v>5708</v>
      </c>
      <c r="B185" s="308" t="str">
        <f>'A) Base RI'!B187</f>
        <v>Chavannes-des-Bois</v>
      </c>
      <c r="C185" s="99">
        <f>'B) D RI'!U187</f>
        <v>57555.435593220333</v>
      </c>
      <c r="D185" s="115">
        <f>'E) Fact soc'!G191/C185</f>
        <v>20.336042824822545</v>
      </c>
      <c r="E185" s="142">
        <f>'H) Péréquation directe'!I196/C185</f>
        <v>17.991103347918916</v>
      </c>
      <c r="F185" s="115">
        <f>+'I) Dépenses thématiques'!O185/'J) Plafonnement effort'!C185</f>
        <v>0</v>
      </c>
      <c r="G185" s="142">
        <f t="shared" si="9"/>
        <v>38.327146172741465</v>
      </c>
      <c r="H185" s="323">
        <f t="shared" si="10"/>
        <v>0</v>
      </c>
      <c r="I185" s="58">
        <f t="shared" si="11"/>
        <v>0</v>
      </c>
      <c r="J185" s="34">
        <f t="shared" si="12"/>
        <v>38.327146172741465</v>
      </c>
    </row>
    <row r="186" spans="1:10" x14ac:dyDescent="0.25">
      <c r="A186" s="50">
        <f>'A) Base RI'!A188</f>
        <v>5709</v>
      </c>
      <c r="B186" s="308" t="str">
        <f>'A) Base RI'!B188</f>
        <v>Chéserex</v>
      </c>
      <c r="C186" s="99">
        <f>'B) D RI'!U188</f>
        <v>76627.19473684211</v>
      </c>
      <c r="D186" s="115">
        <f>'E) Fact soc'!G192/C186</f>
        <v>30.730706629663683</v>
      </c>
      <c r="E186" s="142">
        <f>'H) Péréquation directe'!I197/C186</f>
        <v>17.412455822512026</v>
      </c>
      <c r="F186" s="115">
        <f>+'I) Dépenses thématiques'!O186/'J) Plafonnement effort'!C186</f>
        <v>0</v>
      </c>
      <c r="G186" s="142">
        <f t="shared" si="9"/>
        <v>48.143162452175709</v>
      </c>
      <c r="H186" s="323">
        <f t="shared" si="10"/>
        <v>-3.1431624521757087</v>
      </c>
      <c r="I186" s="58">
        <f t="shared" si="11"/>
        <v>-240851.72131239821</v>
      </c>
      <c r="J186" s="34">
        <f t="shared" si="12"/>
        <v>45</v>
      </c>
    </row>
    <row r="187" spans="1:10" x14ac:dyDescent="0.25">
      <c r="A187" s="50">
        <f>'A) Base RI'!A189</f>
        <v>5710</v>
      </c>
      <c r="B187" s="308" t="str">
        <f>'A) Base RI'!B189</f>
        <v>Coinsins</v>
      </c>
      <c r="C187" s="99">
        <f>'B) D RI'!U189</f>
        <v>93255.286470588253</v>
      </c>
      <c r="D187" s="115">
        <f>'E) Fact soc'!G193/C187</f>
        <v>35.699287586434323</v>
      </c>
      <c r="E187" s="142">
        <f>'H) Péréquation directe'!I198/C187</f>
        <v>19.371333885201302</v>
      </c>
      <c r="F187" s="115">
        <f>+'I) Dépenses thématiques'!O187/'J) Plafonnement effort'!C187</f>
        <v>0</v>
      </c>
      <c r="G187" s="142">
        <f t="shared" si="9"/>
        <v>55.070621471635626</v>
      </c>
      <c r="H187" s="323">
        <f t="shared" si="10"/>
        <v>-10.070621471635626</v>
      </c>
      <c r="I187" s="58">
        <f t="shared" si="11"/>
        <v>-939138.69027423731</v>
      </c>
      <c r="J187" s="34">
        <f t="shared" si="12"/>
        <v>45</v>
      </c>
    </row>
    <row r="188" spans="1:10" x14ac:dyDescent="0.25">
      <c r="A188" s="50">
        <f>'A) Base RI'!A190</f>
        <v>5711</v>
      </c>
      <c r="B188" s="308" t="str">
        <f>'A) Base RI'!B190</f>
        <v>Commugny</v>
      </c>
      <c r="C188" s="99">
        <f>'B) D RI'!U190</f>
        <v>252725.09392712548</v>
      </c>
      <c r="D188" s="115">
        <f>'E) Fact soc'!G194/C188</f>
        <v>27.019667294246407</v>
      </c>
      <c r="E188" s="142">
        <f>'H) Péréquation directe'!I199/C188</f>
        <v>16.981533672648652</v>
      </c>
      <c r="F188" s="115">
        <f>+'I) Dépenses thématiques'!O188/'J) Plafonnement effort'!C188</f>
        <v>0</v>
      </c>
      <c r="G188" s="142">
        <f t="shared" si="9"/>
        <v>44.001200966895055</v>
      </c>
      <c r="H188" s="323">
        <f t="shared" si="10"/>
        <v>0</v>
      </c>
      <c r="I188" s="58">
        <f t="shared" si="11"/>
        <v>0</v>
      </c>
      <c r="J188" s="34">
        <f t="shared" si="12"/>
        <v>44.001200966895055</v>
      </c>
    </row>
    <row r="189" spans="1:10" x14ac:dyDescent="0.25">
      <c r="A189" s="50">
        <f>'A) Base RI'!A191</f>
        <v>5712</v>
      </c>
      <c r="B189" s="308" t="str">
        <f>'A) Base RI'!B191</f>
        <v>Coppet</v>
      </c>
      <c r="C189" s="99">
        <f>'B) D RI'!U191</f>
        <v>325058.64591194969</v>
      </c>
      <c r="D189" s="115">
        <f>'E) Fact soc'!G195/C189</f>
        <v>30.314238324357998</v>
      </c>
      <c r="E189" s="142">
        <f>'H) Péréquation directe'!I200/C189</f>
        <v>17.317982356754396</v>
      </c>
      <c r="F189" s="115">
        <f>+'I) Dépenses thématiques'!O189/'J) Plafonnement effort'!C189</f>
        <v>0</v>
      </c>
      <c r="G189" s="142">
        <f t="shared" si="9"/>
        <v>47.632220681112393</v>
      </c>
      <c r="H189" s="323">
        <f t="shared" si="10"/>
        <v>-2.6322206811123934</v>
      </c>
      <c r="I189" s="58">
        <f t="shared" si="11"/>
        <v>-855626.09034382447</v>
      </c>
      <c r="J189" s="34">
        <f t="shared" si="12"/>
        <v>45</v>
      </c>
    </row>
    <row r="190" spans="1:10" x14ac:dyDescent="0.25">
      <c r="A190" s="50">
        <f>'A) Base RI'!A192</f>
        <v>5713</v>
      </c>
      <c r="B190" s="308" t="str">
        <f>'A) Base RI'!B192</f>
        <v>Crans-près-Céligny</v>
      </c>
      <c r="C190" s="99">
        <f>'B) D RI'!U192</f>
        <v>238982.42094339622</v>
      </c>
      <c r="D190" s="115">
        <f>'E) Fact soc'!G196/C190</f>
        <v>29.728454846871845</v>
      </c>
      <c r="E190" s="142">
        <f>'H) Péréquation directe'!I201/C190</f>
        <v>17.792565182381491</v>
      </c>
      <c r="F190" s="115">
        <f>+'I) Dépenses thématiques'!O190/'J) Plafonnement effort'!C190</f>
        <v>0</v>
      </c>
      <c r="G190" s="142">
        <f t="shared" si="9"/>
        <v>47.521020029253336</v>
      </c>
      <c r="H190" s="323">
        <f t="shared" si="10"/>
        <v>-2.5210200292533358</v>
      </c>
      <c r="I190" s="58">
        <f t="shared" si="11"/>
        <v>-602479.4698377538</v>
      </c>
      <c r="J190" s="34">
        <f t="shared" si="12"/>
        <v>45</v>
      </c>
    </row>
    <row r="191" spans="1:10" x14ac:dyDescent="0.25">
      <c r="A191" s="50">
        <f>'A) Base RI'!A193</f>
        <v>5714</v>
      </c>
      <c r="B191" s="308" t="str">
        <f>'A) Base RI'!B193</f>
        <v>Crassier</v>
      </c>
      <c r="C191" s="99">
        <f>'B) D RI'!U193</f>
        <v>81379.304374999992</v>
      </c>
      <c r="D191" s="115">
        <f>'E) Fact soc'!G197/C191</f>
        <v>24.974229593241581</v>
      </c>
      <c r="E191" s="142">
        <f>'H) Péréquation directe'!I202/C191</f>
        <v>17.81070790457996</v>
      </c>
      <c r="F191" s="115">
        <f>+'I) Dépenses thématiques'!O191/'J) Plafonnement effort'!C191</f>
        <v>0</v>
      </c>
      <c r="G191" s="142">
        <f t="shared" si="9"/>
        <v>42.784937497821545</v>
      </c>
      <c r="H191" s="323">
        <f t="shared" si="10"/>
        <v>0</v>
      </c>
      <c r="I191" s="58">
        <f t="shared" si="11"/>
        <v>0</v>
      </c>
      <c r="J191" s="34">
        <f t="shared" si="12"/>
        <v>42.784937497821545</v>
      </c>
    </row>
    <row r="192" spans="1:10" x14ac:dyDescent="0.25">
      <c r="A192" s="50">
        <f>'A) Base RI'!A194</f>
        <v>5715</v>
      </c>
      <c r="B192" s="308" t="str">
        <f>'A) Base RI'!B194</f>
        <v>Duillier</v>
      </c>
      <c r="C192" s="99">
        <f>'B) D RI'!U194</f>
        <v>59220.850303030304</v>
      </c>
      <c r="D192" s="115">
        <f>'E) Fact soc'!G198/C192</f>
        <v>19.434426826678422</v>
      </c>
      <c r="E192" s="142">
        <f>'H) Péréquation directe'!I203/C192</f>
        <v>17.471576263413478</v>
      </c>
      <c r="F192" s="115">
        <f>+'I) Dépenses thématiques'!O192/'J) Plafonnement effort'!C192</f>
        <v>0</v>
      </c>
      <c r="G192" s="142">
        <f t="shared" si="9"/>
        <v>36.9060030900919</v>
      </c>
      <c r="H192" s="323">
        <f t="shared" si="10"/>
        <v>0</v>
      </c>
      <c r="I192" s="58">
        <f t="shared" si="11"/>
        <v>0</v>
      </c>
      <c r="J192" s="34">
        <f t="shared" si="12"/>
        <v>36.9060030900919</v>
      </c>
    </row>
    <row r="193" spans="1:10" x14ac:dyDescent="0.25">
      <c r="A193" s="50">
        <f>'A) Base RI'!A195</f>
        <v>5716</v>
      </c>
      <c r="B193" s="308" t="str">
        <f>'A) Base RI'!B195</f>
        <v>Eysins</v>
      </c>
      <c r="C193" s="99">
        <f>'B) D RI'!U195</f>
        <v>124151.91836065573</v>
      </c>
      <c r="D193" s="115">
        <f>'E) Fact soc'!G199/C193</f>
        <v>27.315920879920711</v>
      </c>
      <c r="E193" s="142">
        <f>'H) Péréquation directe'!I204/C193</f>
        <v>17.338171377093175</v>
      </c>
      <c r="F193" s="115">
        <f>+'I) Dépenses thématiques'!O193/'J) Plafonnement effort'!C193</f>
        <v>0</v>
      </c>
      <c r="G193" s="142">
        <f t="shared" si="9"/>
        <v>44.654092257013886</v>
      </c>
      <c r="H193" s="323">
        <f t="shared" si="10"/>
        <v>0</v>
      </c>
      <c r="I193" s="58">
        <f t="shared" si="11"/>
        <v>0</v>
      </c>
      <c r="J193" s="34">
        <f t="shared" si="12"/>
        <v>44.654092257013886</v>
      </c>
    </row>
    <row r="194" spans="1:10" x14ac:dyDescent="0.25">
      <c r="A194" s="50">
        <f>'A) Base RI'!A196</f>
        <v>5717</v>
      </c>
      <c r="B194" s="308" t="str">
        <f>'A) Base RI'!B196</f>
        <v>Founex</v>
      </c>
      <c r="C194" s="99">
        <f>'B) D RI'!U196</f>
        <v>339342.81578947371</v>
      </c>
      <c r="D194" s="115">
        <f>'E) Fact soc'!G200/C194</f>
        <v>28.381917369226837</v>
      </c>
      <c r="E194" s="142">
        <f>'H) Péréquation directe'!I205/C194</f>
        <v>16.463388116148163</v>
      </c>
      <c r="F194" s="115">
        <f>+'I) Dépenses thématiques'!O194/'J) Plafonnement effort'!C194</f>
        <v>0</v>
      </c>
      <c r="G194" s="142">
        <f t="shared" si="9"/>
        <v>44.845305485375</v>
      </c>
      <c r="H194" s="323">
        <f t="shared" si="10"/>
        <v>0</v>
      </c>
      <c r="I194" s="58">
        <f t="shared" si="11"/>
        <v>0</v>
      </c>
      <c r="J194" s="34">
        <f t="shared" si="12"/>
        <v>44.845305485375</v>
      </c>
    </row>
    <row r="195" spans="1:10" x14ac:dyDescent="0.25">
      <c r="A195" s="50">
        <f>'A) Base RI'!A197</f>
        <v>5718</v>
      </c>
      <c r="B195" s="308" t="str">
        <f>'A) Base RI'!B197</f>
        <v>Genolier</v>
      </c>
      <c r="C195" s="99">
        <f>'B) D RI'!U197</f>
        <v>176672.45218181823</v>
      </c>
      <c r="D195" s="115">
        <f>'E) Fact soc'!G201/C195</f>
        <v>27.82035545408673</v>
      </c>
      <c r="E195" s="142">
        <f>'H) Péréquation directe'!I206/C195</f>
        <v>17.463768539975398</v>
      </c>
      <c r="F195" s="115">
        <f>+'I) Dépenses thématiques'!O195/'J) Plafonnement effort'!C195</f>
        <v>0</v>
      </c>
      <c r="G195" s="142">
        <f t="shared" si="9"/>
        <v>45.284123994062128</v>
      </c>
      <c r="H195" s="323">
        <f t="shared" si="10"/>
        <v>-0.28412399406212785</v>
      </c>
      <c r="I195" s="58">
        <f t="shared" si="11"/>
        <v>-50196.88275464849</v>
      </c>
      <c r="J195" s="34">
        <f t="shared" si="12"/>
        <v>45</v>
      </c>
    </row>
    <row r="196" spans="1:10" x14ac:dyDescent="0.25">
      <c r="A196" s="50">
        <f>'A) Base RI'!A198</f>
        <v>5719</v>
      </c>
      <c r="B196" s="308" t="str">
        <f>'A) Base RI'!B198</f>
        <v>Gingins</v>
      </c>
      <c r="C196" s="99">
        <f>'B) D RI'!U198</f>
        <v>130825.37064327484</v>
      </c>
      <c r="D196" s="115">
        <f>'E) Fact soc'!G202/C196</f>
        <v>31.223130783790147</v>
      </c>
      <c r="E196" s="142">
        <f>'H) Péréquation directe'!I207/C196</f>
        <v>18.508000134621525</v>
      </c>
      <c r="F196" s="115">
        <f>+'I) Dépenses thématiques'!O196/'J) Plafonnement effort'!C196</f>
        <v>0</v>
      </c>
      <c r="G196" s="142">
        <f t="shared" si="9"/>
        <v>49.731130918411672</v>
      </c>
      <c r="H196" s="323">
        <f t="shared" si="10"/>
        <v>-4.7311309184116723</v>
      </c>
      <c r="I196" s="58">
        <f t="shared" si="11"/>
        <v>-618951.95596306433</v>
      </c>
      <c r="J196" s="34">
        <f t="shared" si="12"/>
        <v>45</v>
      </c>
    </row>
    <row r="197" spans="1:10" x14ac:dyDescent="0.25">
      <c r="A197" s="50">
        <f>'A) Base RI'!A199</f>
        <v>5720</v>
      </c>
      <c r="B197" s="308" t="str">
        <f>'A) Base RI'!B199</f>
        <v>Givrins</v>
      </c>
      <c r="C197" s="99">
        <f>'B) D RI'!U199</f>
        <v>72642.976593806918</v>
      </c>
      <c r="D197" s="115">
        <f>'E) Fact soc'!G203/C197</f>
        <v>23.493490805536467</v>
      </c>
      <c r="E197" s="142">
        <f>'H) Péréquation directe'!I208/C197</f>
        <v>18.320787561145107</v>
      </c>
      <c r="F197" s="115">
        <f>+'I) Dépenses thématiques'!O197/'J) Plafonnement effort'!C197</f>
        <v>-0.5970435076904923</v>
      </c>
      <c r="G197" s="142">
        <f t="shared" si="9"/>
        <v>41.217234858991084</v>
      </c>
      <c r="H197" s="323">
        <f t="shared" si="10"/>
        <v>0</v>
      </c>
      <c r="I197" s="58">
        <f t="shared" si="11"/>
        <v>0</v>
      </c>
      <c r="J197" s="34">
        <f t="shared" si="12"/>
        <v>41.217234858991084</v>
      </c>
    </row>
    <row r="198" spans="1:10" x14ac:dyDescent="0.25">
      <c r="A198" s="50">
        <f>'A) Base RI'!A200</f>
        <v>5721</v>
      </c>
      <c r="B198" s="308" t="str">
        <f>'A) Base RI'!B200</f>
        <v>Gland</v>
      </c>
      <c r="C198" s="99">
        <f>'B) D RI'!U200</f>
        <v>599217.55248000007</v>
      </c>
      <c r="D198" s="115">
        <f>'E) Fact soc'!G204/C198</f>
        <v>22.456418918982937</v>
      </c>
      <c r="E198" s="142">
        <f>'H) Péréquation directe'!I209/C198</f>
        <v>7.0601030385561208</v>
      </c>
      <c r="F198" s="115">
        <f>+'I) Dépenses thématiques'!O198/'J) Plafonnement effort'!C198</f>
        <v>0</v>
      </c>
      <c r="G198" s="142">
        <f t="shared" ref="G198:G261" si="13">SUM(D198:F198)</f>
        <v>29.516521957539059</v>
      </c>
      <c r="H198" s="323">
        <f t="shared" ref="H198:H261" si="14">IF(G198&gt;H$4,H$4-G198,0)</f>
        <v>0</v>
      </c>
      <c r="I198" s="58">
        <f t="shared" ref="I198:I261" si="15">H198*C198</f>
        <v>0</v>
      </c>
      <c r="J198" s="34">
        <f t="shared" ref="J198:J261" si="16">G198+H198</f>
        <v>29.516521957539059</v>
      </c>
    </row>
    <row r="199" spans="1:10" x14ac:dyDescent="0.25">
      <c r="A199" s="50">
        <f>'A) Base RI'!A201</f>
        <v>5722</v>
      </c>
      <c r="B199" s="308" t="str">
        <f>'A) Base RI'!B201</f>
        <v>Grens</v>
      </c>
      <c r="C199" s="99">
        <f>'B) D RI'!U201</f>
        <v>25282.227903225812</v>
      </c>
      <c r="D199" s="115">
        <f>'E) Fact soc'!G205/C199</f>
        <v>21.820285438164589</v>
      </c>
      <c r="E199" s="142">
        <f>'H) Péréquation directe'!I210/C199</f>
        <v>18.146381056437857</v>
      </c>
      <c r="F199" s="115">
        <f>+'I) Dépenses thématiques'!O199/'J) Plafonnement effort'!C199</f>
        <v>0</v>
      </c>
      <c r="G199" s="142">
        <f t="shared" si="13"/>
        <v>39.96666649460245</v>
      </c>
      <c r="H199" s="323">
        <f t="shared" si="14"/>
        <v>0</v>
      </c>
      <c r="I199" s="58">
        <f t="shared" si="15"/>
        <v>0</v>
      </c>
      <c r="J199" s="34">
        <f t="shared" si="16"/>
        <v>39.96666649460245</v>
      </c>
    </row>
    <row r="200" spans="1:10" x14ac:dyDescent="0.25">
      <c r="A200" s="50">
        <f>'A) Base RI'!A202</f>
        <v>5723</v>
      </c>
      <c r="B200" s="308" t="str">
        <f>'A) Base RI'!B202</f>
        <v>Mies</v>
      </c>
      <c r="C200" s="99">
        <f>'B) D RI'!U202</f>
        <v>442357.54510204075</v>
      </c>
      <c r="D200" s="115">
        <f>'E) Fact soc'!G206/C200</f>
        <v>37.539011522674535</v>
      </c>
      <c r="E200" s="142">
        <f>'H) Péréquation directe'!I211/C200</f>
        <v>18.922508325099137</v>
      </c>
      <c r="F200" s="115">
        <f>+'I) Dépenses thématiques'!O200/'J) Plafonnement effort'!C200</f>
        <v>0</v>
      </c>
      <c r="G200" s="142">
        <f t="shared" si="13"/>
        <v>56.461519847773673</v>
      </c>
      <c r="H200" s="323">
        <f t="shared" si="14"/>
        <v>-11.461519847773673</v>
      </c>
      <c r="I200" s="58">
        <f t="shared" si="15"/>
        <v>-5070089.7829994773</v>
      </c>
      <c r="J200" s="34">
        <f t="shared" si="16"/>
        <v>45</v>
      </c>
    </row>
    <row r="201" spans="1:10" x14ac:dyDescent="0.25">
      <c r="A201" s="50">
        <f>'A) Base RI'!A203</f>
        <v>5724</v>
      </c>
      <c r="B201" s="308" t="str">
        <f>'A) Base RI'!B203</f>
        <v>Nyon</v>
      </c>
      <c r="C201" s="99">
        <f>'B) D RI'!U203</f>
        <v>1295846.4763430012</v>
      </c>
      <c r="D201" s="115">
        <f>'E) Fact soc'!G207/C201</f>
        <v>24.552425995364192</v>
      </c>
      <c r="E201" s="142">
        <f>'H) Péréquation directe'!I212/C201</f>
        <v>8.1164225986861336</v>
      </c>
      <c r="F201" s="115">
        <f>+'I) Dépenses thématiques'!O201/'J) Plafonnement effort'!C201</f>
        <v>-0.34330003597142184</v>
      </c>
      <c r="G201" s="142">
        <f t="shared" si="13"/>
        <v>32.3255485580789</v>
      </c>
      <c r="H201" s="323">
        <f t="shared" si="14"/>
        <v>0</v>
      </c>
      <c r="I201" s="58">
        <f t="shared" si="15"/>
        <v>0</v>
      </c>
      <c r="J201" s="34">
        <f t="shared" si="16"/>
        <v>32.3255485580789</v>
      </c>
    </row>
    <row r="202" spans="1:10" x14ac:dyDescent="0.25">
      <c r="A202" s="50">
        <f>'A) Base RI'!A204</f>
        <v>5725</v>
      </c>
      <c r="B202" s="308" t="str">
        <f>'A) Base RI'!B204</f>
        <v>Prangins</v>
      </c>
      <c r="C202" s="99">
        <f>'B) D RI'!U204</f>
        <v>297756.63698979589</v>
      </c>
      <c r="D202" s="115">
        <f>'E) Fact soc'!G208/C202</f>
        <v>24.695971313551794</v>
      </c>
      <c r="E202" s="142">
        <f>'H) Péréquation directe'!I213/C202</f>
        <v>15.501569806297194</v>
      </c>
      <c r="F202" s="115">
        <f>+'I) Dépenses thématiques'!O202/'J) Plafonnement effort'!C202</f>
        <v>0</v>
      </c>
      <c r="G202" s="142">
        <f t="shared" si="13"/>
        <v>40.197541119848992</v>
      </c>
      <c r="H202" s="323">
        <f t="shared" si="14"/>
        <v>0</v>
      </c>
      <c r="I202" s="58">
        <f t="shared" si="15"/>
        <v>0</v>
      </c>
      <c r="J202" s="34">
        <f t="shared" si="16"/>
        <v>40.197541119848992</v>
      </c>
    </row>
    <row r="203" spans="1:10" x14ac:dyDescent="0.25">
      <c r="A203" s="50">
        <f>'A) Base RI'!A205</f>
        <v>5726</v>
      </c>
      <c r="B203" s="308" t="str">
        <f>'A) Base RI'!B205</f>
        <v>La Rippe</v>
      </c>
      <c r="C203" s="99">
        <f>'B) D RI'!U205</f>
        <v>56821.794000000002</v>
      </c>
      <c r="D203" s="115">
        <f>'E) Fact soc'!G209/C203</f>
        <v>19.772112256158184</v>
      </c>
      <c r="E203" s="142">
        <f>'H) Péréquation directe'!I214/C203</f>
        <v>16.840975622974248</v>
      </c>
      <c r="F203" s="115">
        <f>+'I) Dépenses thématiques'!O203/'J) Plafonnement effort'!C203</f>
        <v>0</v>
      </c>
      <c r="G203" s="142">
        <f t="shared" si="13"/>
        <v>36.613087879132436</v>
      </c>
      <c r="H203" s="323">
        <f t="shared" si="14"/>
        <v>0</v>
      </c>
      <c r="I203" s="58">
        <f t="shared" si="15"/>
        <v>0</v>
      </c>
      <c r="J203" s="34">
        <f t="shared" si="16"/>
        <v>36.613087879132436</v>
      </c>
    </row>
    <row r="204" spans="1:10" x14ac:dyDescent="0.25">
      <c r="A204" s="50">
        <f>'A) Base RI'!A206</f>
        <v>5727</v>
      </c>
      <c r="B204" s="308" t="str">
        <f>'A) Base RI'!B206</f>
        <v>Saint-Cergue</v>
      </c>
      <c r="C204" s="99">
        <f>'B) D RI'!U206</f>
        <v>100367.45777777779</v>
      </c>
      <c r="D204" s="115">
        <f>'E) Fact soc'!G210/C204</f>
        <v>19.170708124578702</v>
      </c>
      <c r="E204" s="142">
        <f>'H) Péréquation directe'!I215/C204</f>
        <v>10.758757722214874</v>
      </c>
      <c r="F204" s="115">
        <f>+'I) Dépenses thématiques'!O204/'J) Plafonnement effort'!C204</f>
        <v>-2.8006777916241807</v>
      </c>
      <c r="G204" s="142">
        <f t="shared" si="13"/>
        <v>27.128788055169395</v>
      </c>
      <c r="H204" s="323">
        <f t="shared" si="14"/>
        <v>0</v>
      </c>
      <c r="I204" s="58">
        <f t="shared" si="15"/>
        <v>0</v>
      </c>
      <c r="J204" s="34">
        <f t="shared" si="16"/>
        <v>27.128788055169395</v>
      </c>
    </row>
    <row r="205" spans="1:10" x14ac:dyDescent="0.25">
      <c r="A205" s="50">
        <f>'A) Base RI'!A207</f>
        <v>5728</v>
      </c>
      <c r="B205" s="308" t="str">
        <f>'A) Base RI'!B207</f>
        <v>Signy-Avenex</v>
      </c>
      <c r="C205" s="99">
        <f>'B) D RI'!U207</f>
        <v>36550.556034482761</v>
      </c>
      <c r="D205" s="115">
        <f>'E) Fact soc'!G211/C205</f>
        <v>24.126937153884121</v>
      </c>
      <c r="E205" s="142">
        <f>'H) Péréquation directe'!I216/C205</f>
        <v>18.096573207935233</v>
      </c>
      <c r="F205" s="115">
        <f>+'I) Dépenses thématiques'!O205/'J) Plafonnement effort'!C205</f>
        <v>0</v>
      </c>
      <c r="G205" s="142">
        <f t="shared" si="13"/>
        <v>42.223510361819351</v>
      </c>
      <c r="H205" s="323">
        <f t="shared" si="14"/>
        <v>0</v>
      </c>
      <c r="I205" s="58">
        <f t="shared" si="15"/>
        <v>0</v>
      </c>
      <c r="J205" s="34">
        <f t="shared" si="16"/>
        <v>42.223510361819351</v>
      </c>
    </row>
    <row r="206" spans="1:10" x14ac:dyDescent="0.25">
      <c r="A206" s="50">
        <f>'A) Base RI'!A208</f>
        <v>5729</v>
      </c>
      <c r="B206" s="308" t="str">
        <f>'A) Base RI'!B208</f>
        <v>Tannay</v>
      </c>
      <c r="C206" s="99">
        <f>'B) D RI'!U208</f>
        <v>172823.24043715847</v>
      </c>
      <c r="D206" s="115">
        <f>'E) Fact soc'!G212/C206</f>
        <v>32.585198576933344</v>
      </c>
      <c r="E206" s="142">
        <f>'H) Péréquation directe'!I217/C206</f>
        <v>18.127274183582976</v>
      </c>
      <c r="F206" s="115">
        <f>+'I) Dépenses thématiques'!O206/'J) Plafonnement effort'!C206</f>
        <v>0</v>
      </c>
      <c r="G206" s="142">
        <f t="shared" si="13"/>
        <v>50.71247276051632</v>
      </c>
      <c r="H206" s="323">
        <f t="shared" si="14"/>
        <v>-5.7124727605163201</v>
      </c>
      <c r="I206" s="58">
        <f t="shared" si="15"/>
        <v>-987248.05338143033</v>
      </c>
      <c r="J206" s="34">
        <f t="shared" si="16"/>
        <v>45</v>
      </c>
    </row>
    <row r="207" spans="1:10" x14ac:dyDescent="0.25">
      <c r="A207" s="50">
        <f>'A) Base RI'!A209</f>
        <v>5730</v>
      </c>
      <c r="B207" s="308" t="str">
        <f>'A) Base RI'!B209</f>
        <v>Trélex</v>
      </c>
      <c r="C207" s="99">
        <f>'B) D RI'!U209</f>
        <v>103185.50284600389</v>
      </c>
      <c r="D207" s="115">
        <f>'E) Fact soc'!G213/C207</f>
        <v>24.678981904874796</v>
      </c>
      <c r="E207" s="142">
        <f>'H) Péréquation directe'!I218/C207</f>
        <v>17.458317678094538</v>
      </c>
      <c r="F207" s="115">
        <f>+'I) Dépenses thématiques'!O207/'J) Plafonnement effort'!C207</f>
        <v>-0.16132714777133797</v>
      </c>
      <c r="G207" s="142">
        <f t="shared" si="13"/>
        <v>41.975972435197995</v>
      </c>
      <c r="H207" s="323">
        <f t="shared" si="14"/>
        <v>0</v>
      </c>
      <c r="I207" s="58">
        <f t="shared" si="15"/>
        <v>0</v>
      </c>
      <c r="J207" s="34">
        <f t="shared" si="16"/>
        <v>41.975972435197995</v>
      </c>
    </row>
    <row r="208" spans="1:10" x14ac:dyDescent="0.25">
      <c r="A208" s="50">
        <f>'A) Base RI'!A210</f>
        <v>5731</v>
      </c>
      <c r="B208" s="308" t="str">
        <f>'A) Base RI'!B210</f>
        <v>Le Vaud</v>
      </c>
      <c r="C208" s="99">
        <f>'B) D RI'!U210</f>
        <v>50829.361333333334</v>
      </c>
      <c r="D208" s="115">
        <f>'E) Fact soc'!G214/C208</f>
        <v>19.369411095365855</v>
      </c>
      <c r="E208" s="142">
        <f>'H) Péréquation directe'!I219/C208</f>
        <v>12.490893460233263</v>
      </c>
      <c r="F208" s="115">
        <f>+'I) Dépenses thématiques'!O208/'J) Plafonnement effort'!C208</f>
        <v>-2.1505057142694506</v>
      </c>
      <c r="G208" s="142">
        <f t="shared" si="13"/>
        <v>29.709798841329668</v>
      </c>
      <c r="H208" s="323">
        <f t="shared" si="14"/>
        <v>0</v>
      </c>
      <c r="I208" s="58">
        <f t="shared" si="15"/>
        <v>0</v>
      </c>
      <c r="J208" s="34">
        <f t="shared" si="16"/>
        <v>29.709798841329668</v>
      </c>
    </row>
    <row r="209" spans="1:10" x14ac:dyDescent="0.25">
      <c r="A209" s="50">
        <f>'A) Base RI'!A211</f>
        <v>5732</v>
      </c>
      <c r="B209" s="308" t="str">
        <f>'A) Base RI'!B211</f>
        <v>Vich</v>
      </c>
      <c r="C209" s="99">
        <f>'B) D RI'!U211</f>
        <v>61037.471029411761</v>
      </c>
      <c r="D209" s="115">
        <f>'E) Fact soc'!G215/C209</f>
        <v>24.568050770964387</v>
      </c>
      <c r="E209" s="142">
        <f>'H) Péréquation directe'!I220/C209</f>
        <v>17.841770793058586</v>
      </c>
      <c r="F209" s="115">
        <f>+'I) Dépenses thématiques'!O209/'J) Plafonnement effort'!C209</f>
        <v>-12.760115396134809</v>
      </c>
      <c r="G209" s="142">
        <f t="shared" si="13"/>
        <v>29.649706167888169</v>
      </c>
      <c r="H209" s="323">
        <f t="shared" si="14"/>
        <v>0</v>
      </c>
      <c r="I209" s="58">
        <f t="shared" si="15"/>
        <v>0</v>
      </c>
      <c r="J209" s="34">
        <f t="shared" si="16"/>
        <v>29.649706167888169</v>
      </c>
    </row>
    <row r="210" spans="1:10" x14ac:dyDescent="0.25">
      <c r="A210" s="50">
        <f>'A) Base RI'!A212</f>
        <v>5741</v>
      </c>
      <c r="B210" s="308" t="str">
        <f>'A) Base RI'!B212</f>
        <v>L'Abergement</v>
      </c>
      <c r="C210" s="99">
        <f>'B) D RI'!U212</f>
        <v>6619.5511522633742</v>
      </c>
      <c r="D210" s="115">
        <f>'E) Fact soc'!G216/C210</f>
        <v>20.585882849040491</v>
      </c>
      <c r="E210" s="142">
        <f>'H) Péréquation directe'!I221/C210</f>
        <v>-0.57573127145887182</v>
      </c>
      <c r="F210" s="115">
        <f>+'I) Dépenses thématiques'!O210/'J) Plafonnement effort'!C210</f>
        <v>-13.511683445733359</v>
      </c>
      <c r="G210" s="142">
        <f t="shared" si="13"/>
        <v>6.4984681318482611</v>
      </c>
      <c r="H210" s="323">
        <f t="shared" si="14"/>
        <v>0</v>
      </c>
      <c r="I210" s="58">
        <f t="shared" si="15"/>
        <v>0</v>
      </c>
      <c r="J210" s="34">
        <f t="shared" si="16"/>
        <v>6.4984681318482611</v>
      </c>
    </row>
    <row r="211" spans="1:10" x14ac:dyDescent="0.25">
      <c r="A211" s="50">
        <f>'A) Base RI'!A213</f>
        <v>5742</v>
      </c>
      <c r="B211" s="308" t="str">
        <f>'A) Base RI'!B213</f>
        <v>Agiez</v>
      </c>
      <c r="C211" s="99">
        <f>'B) D RI'!U213</f>
        <v>9354.2819736842121</v>
      </c>
      <c r="D211" s="115">
        <f>'E) Fact soc'!G217/C211</f>
        <v>19.707998364797152</v>
      </c>
      <c r="E211" s="142">
        <f>'H) Péréquation directe'!I222/C211</f>
        <v>3.9588060863357897</v>
      </c>
      <c r="F211" s="115">
        <f>+'I) Dépenses thématiques'!O211/'J) Plafonnement effort'!C211</f>
        <v>-1.2989074641766565</v>
      </c>
      <c r="G211" s="142">
        <f t="shared" si="13"/>
        <v>22.367896986956286</v>
      </c>
      <c r="H211" s="323">
        <f t="shared" si="14"/>
        <v>0</v>
      </c>
      <c r="I211" s="58">
        <f t="shared" si="15"/>
        <v>0</v>
      </c>
      <c r="J211" s="34">
        <f t="shared" si="16"/>
        <v>22.367896986956286</v>
      </c>
    </row>
    <row r="212" spans="1:10" x14ac:dyDescent="0.25">
      <c r="A212" s="50">
        <f>'A) Base RI'!A214</f>
        <v>5743</v>
      </c>
      <c r="B212" s="308" t="str">
        <f>'A) Base RI'!B214</f>
        <v>Arnex-sur-Orbe</v>
      </c>
      <c r="C212" s="99">
        <f>'B) D RI'!U214</f>
        <v>17594.003904109592</v>
      </c>
      <c r="D212" s="115">
        <f>'E) Fact soc'!G218/C212</f>
        <v>20.570592548574712</v>
      </c>
      <c r="E212" s="142">
        <f>'H) Péréquation directe'!I223/C212</f>
        <v>1.7165206249731459</v>
      </c>
      <c r="F212" s="115">
        <f>+'I) Dépenses thématiques'!O212/'J) Plafonnement effort'!C212</f>
        <v>-6.378450134885421</v>
      </c>
      <c r="G212" s="142">
        <f t="shared" si="13"/>
        <v>15.908663038662437</v>
      </c>
      <c r="H212" s="323">
        <f t="shared" si="14"/>
        <v>0</v>
      </c>
      <c r="I212" s="58">
        <f t="shared" si="15"/>
        <v>0</v>
      </c>
      <c r="J212" s="34">
        <f t="shared" si="16"/>
        <v>15.908663038662437</v>
      </c>
    </row>
    <row r="213" spans="1:10" x14ac:dyDescent="0.25">
      <c r="A213" s="50">
        <f>'A) Base RI'!A215</f>
        <v>5744</v>
      </c>
      <c r="B213" s="308" t="str">
        <f>'A) Base RI'!B215</f>
        <v>Ballaigues</v>
      </c>
      <c r="C213" s="99">
        <f>'B) D RI'!U215</f>
        <v>49791.438333333339</v>
      </c>
      <c r="D213" s="115">
        <f>'E) Fact soc'!G219/C213</f>
        <v>25.072866627533859</v>
      </c>
      <c r="E213" s="142">
        <f>'H) Péréquation directe'!I224/C213</f>
        <v>16.872370648341313</v>
      </c>
      <c r="F213" s="115">
        <f>+'I) Dépenses thématiques'!O213/'J) Plafonnement effort'!C213</f>
        <v>-7.6150515568891466</v>
      </c>
      <c r="G213" s="142">
        <f t="shared" si="13"/>
        <v>34.330185718986023</v>
      </c>
      <c r="H213" s="323">
        <f t="shared" si="14"/>
        <v>0</v>
      </c>
      <c r="I213" s="58">
        <f t="shared" si="15"/>
        <v>0</v>
      </c>
      <c r="J213" s="34">
        <f t="shared" si="16"/>
        <v>34.330185718986023</v>
      </c>
    </row>
    <row r="214" spans="1:10" x14ac:dyDescent="0.25">
      <c r="A214" s="50">
        <f>'A) Base RI'!A216</f>
        <v>5745</v>
      </c>
      <c r="B214" s="308" t="str">
        <f>'A) Base RI'!B216</f>
        <v>Baulmes</v>
      </c>
      <c r="C214" s="99">
        <f>'B) D RI'!U216</f>
        <v>25375.775641025641</v>
      </c>
      <c r="D214" s="115">
        <f>'E) Fact soc'!G220/C214</f>
        <v>19.466581630337522</v>
      </c>
      <c r="E214" s="142">
        <f>'H) Péréquation directe'!I225/C214</f>
        <v>-6.8023995405428046</v>
      </c>
      <c r="F214" s="115">
        <f>+'I) Dépenses thématiques'!O214/'J) Plafonnement effort'!C214</f>
        <v>-7.7722457517403161</v>
      </c>
      <c r="G214" s="142">
        <f t="shared" si="13"/>
        <v>4.8919363380544016</v>
      </c>
      <c r="H214" s="323">
        <f t="shared" si="14"/>
        <v>0</v>
      </c>
      <c r="I214" s="58">
        <f t="shared" si="15"/>
        <v>0</v>
      </c>
      <c r="J214" s="34">
        <f t="shared" si="16"/>
        <v>4.8919363380544016</v>
      </c>
    </row>
    <row r="215" spans="1:10" x14ac:dyDescent="0.25">
      <c r="A215" s="50">
        <f>'A) Base RI'!A217</f>
        <v>5746</v>
      </c>
      <c r="B215" s="308" t="str">
        <f>'A) Base RI'!B217</f>
        <v>Bavois</v>
      </c>
      <c r="C215" s="99">
        <f>'B) D RI'!U217</f>
        <v>25508.009041095891</v>
      </c>
      <c r="D215" s="115">
        <f>'E) Fact soc'!G221/C215</f>
        <v>18.997145899254967</v>
      </c>
      <c r="E215" s="142">
        <f>'H) Péréquation directe'!I226/C215</f>
        <v>1.8345064700193776</v>
      </c>
      <c r="F215" s="115">
        <f>+'I) Dépenses thématiques'!O215/'J) Plafonnement effort'!C215</f>
        <v>-7.9346525495784919</v>
      </c>
      <c r="G215" s="142">
        <f t="shared" si="13"/>
        <v>12.896999819695854</v>
      </c>
      <c r="H215" s="323">
        <f t="shared" si="14"/>
        <v>0</v>
      </c>
      <c r="I215" s="58">
        <f t="shared" si="15"/>
        <v>0</v>
      </c>
      <c r="J215" s="34">
        <f t="shared" si="16"/>
        <v>12.896999819695854</v>
      </c>
    </row>
    <row r="216" spans="1:10" x14ac:dyDescent="0.25">
      <c r="A216" s="50">
        <f>'A) Base RI'!A218</f>
        <v>5747</v>
      </c>
      <c r="B216" s="308" t="str">
        <f>'A) Base RI'!B218</f>
        <v>Bofflens</v>
      </c>
      <c r="C216" s="99">
        <f>'B) D RI'!U218</f>
        <v>5402.2208695652162</v>
      </c>
      <c r="D216" s="115">
        <f>'E) Fact soc'!G222/C216</f>
        <v>15.869759662561233</v>
      </c>
      <c r="E216" s="142">
        <f>'H) Péréquation directe'!I227/C216</f>
        <v>4.2980244976612259</v>
      </c>
      <c r="F216" s="115">
        <f>+'I) Dépenses thématiques'!O216/'J) Plafonnement effort'!C216</f>
        <v>-1.145394631579864</v>
      </c>
      <c r="G216" s="142">
        <f t="shared" si="13"/>
        <v>19.022389528642595</v>
      </c>
      <c r="H216" s="323">
        <f t="shared" si="14"/>
        <v>0</v>
      </c>
      <c r="I216" s="58">
        <f t="shared" si="15"/>
        <v>0</v>
      </c>
      <c r="J216" s="34">
        <f t="shared" si="16"/>
        <v>19.022389528642595</v>
      </c>
    </row>
    <row r="217" spans="1:10" x14ac:dyDescent="0.25">
      <c r="A217" s="50">
        <f>'A) Base RI'!A219</f>
        <v>5748</v>
      </c>
      <c r="B217" s="308" t="str">
        <f>'A) Base RI'!B219</f>
        <v>Bretonnières</v>
      </c>
      <c r="C217" s="99">
        <f>'B) D RI'!U219</f>
        <v>7661.0479629629635</v>
      </c>
      <c r="D217" s="115">
        <f>'E) Fact soc'!G223/C217</f>
        <v>29.993205870497597</v>
      </c>
      <c r="E217" s="142">
        <f>'H) Péréquation directe'!I228/C217</f>
        <v>4.5121094393936731</v>
      </c>
      <c r="F217" s="115">
        <f>+'I) Dépenses thématiques'!O217/'J) Plafonnement effort'!C217</f>
        <v>-5.6524854604191912</v>
      </c>
      <c r="G217" s="142">
        <f t="shared" si="13"/>
        <v>28.85282984947208</v>
      </c>
      <c r="H217" s="323">
        <f t="shared" si="14"/>
        <v>0</v>
      </c>
      <c r="I217" s="58">
        <f t="shared" si="15"/>
        <v>0</v>
      </c>
      <c r="J217" s="34">
        <f t="shared" si="16"/>
        <v>28.85282984947208</v>
      </c>
    </row>
    <row r="218" spans="1:10" x14ac:dyDescent="0.25">
      <c r="A218" s="50">
        <f>'A) Base RI'!A220</f>
        <v>5749</v>
      </c>
      <c r="B218" s="308" t="str">
        <f>'A) Base RI'!B220</f>
        <v>Chavornay</v>
      </c>
      <c r="C218" s="99">
        <f>'B) D RI'!U220</f>
        <v>134740.63065656566</v>
      </c>
      <c r="D218" s="115">
        <f>'E) Fact soc'!G224/C218</f>
        <v>19.001535422839407</v>
      </c>
      <c r="E218" s="142">
        <f>'H) Péréquation directe'!I229/C218</f>
        <v>-6.3859984282523641</v>
      </c>
      <c r="F218" s="115">
        <f>+'I) Dépenses thématiques'!O218/'J) Plafonnement effort'!C218</f>
        <v>-4.2990780898497709</v>
      </c>
      <c r="G218" s="142">
        <f t="shared" si="13"/>
        <v>8.3164589047372708</v>
      </c>
      <c r="H218" s="323">
        <f t="shared" si="14"/>
        <v>0</v>
      </c>
      <c r="I218" s="58">
        <f t="shared" si="15"/>
        <v>0</v>
      </c>
      <c r="J218" s="34">
        <f t="shared" si="16"/>
        <v>8.3164589047372708</v>
      </c>
    </row>
    <row r="219" spans="1:10" x14ac:dyDescent="0.25">
      <c r="A219" s="50">
        <f>'A) Base RI'!A221</f>
        <v>5750</v>
      </c>
      <c r="B219" s="308" t="str">
        <f>'A) Base RI'!B221</f>
        <v>Les Clées</v>
      </c>
      <c r="C219" s="99">
        <f>'B) D RI'!U221</f>
        <v>5020.8349583333338</v>
      </c>
      <c r="D219" s="115">
        <f>'E) Fact soc'!G225/C219</f>
        <v>17.841716403559726</v>
      </c>
      <c r="E219" s="142">
        <f>'H) Péréquation directe'!I230/C219</f>
        <v>-0.49374152205218441</v>
      </c>
      <c r="F219" s="115">
        <f>+'I) Dépenses thématiques'!O219/'J) Plafonnement effort'!C219</f>
        <v>-1.7111676287507251</v>
      </c>
      <c r="G219" s="142">
        <f t="shared" si="13"/>
        <v>15.636807252756817</v>
      </c>
      <c r="H219" s="323">
        <f t="shared" si="14"/>
        <v>0</v>
      </c>
      <c r="I219" s="58">
        <f t="shared" si="15"/>
        <v>0</v>
      </c>
      <c r="J219" s="34">
        <f t="shared" si="16"/>
        <v>15.636807252756817</v>
      </c>
    </row>
    <row r="220" spans="1:10" x14ac:dyDescent="0.25">
      <c r="A220" s="50">
        <f>'A) Base RI'!A222</f>
        <v>5752</v>
      </c>
      <c r="B220" s="308" t="str">
        <f>'A) Base RI'!B222</f>
        <v>Croy</v>
      </c>
      <c r="C220" s="99">
        <f>'B) D RI'!U222</f>
        <v>11140.896486486487</v>
      </c>
      <c r="D220" s="115">
        <f>'E) Fact soc'!G226/C220</f>
        <v>17.805317168494238</v>
      </c>
      <c r="E220" s="142">
        <f>'H) Péréquation directe'!I231/C220</f>
        <v>4.0767517682363357</v>
      </c>
      <c r="F220" s="115">
        <f>+'I) Dépenses thématiques'!O220/'J) Plafonnement effort'!C220</f>
        <v>-8.9251454047428904</v>
      </c>
      <c r="G220" s="142">
        <f t="shared" si="13"/>
        <v>12.956923531987682</v>
      </c>
      <c r="H220" s="323">
        <f t="shared" si="14"/>
        <v>0</v>
      </c>
      <c r="I220" s="58">
        <f t="shared" si="15"/>
        <v>0</v>
      </c>
      <c r="J220" s="34">
        <f t="shared" si="16"/>
        <v>12.956923531987682</v>
      </c>
    </row>
    <row r="221" spans="1:10" x14ac:dyDescent="0.25">
      <c r="A221" s="50">
        <f>'A) Base RI'!A223</f>
        <v>5754</v>
      </c>
      <c r="B221" s="308" t="str">
        <f>'A) Base RI'!B223</f>
        <v>Juriens</v>
      </c>
      <c r="C221" s="99">
        <f>'B) D RI'!U223</f>
        <v>8138.4883785546344</v>
      </c>
      <c r="D221" s="115">
        <f>'E) Fact soc'!G227/C221</f>
        <v>16.335712851042974</v>
      </c>
      <c r="E221" s="142">
        <f>'H) Péréquation directe'!I232/C221</f>
        <v>-2.4863126835230687</v>
      </c>
      <c r="F221" s="115">
        <f>+'I) Dépenses thématiques'!O221/'J) Plafonnement effort'!C221</f>
        <v>-7.1572509212209576</v>
      </c>
      <c r="G221" s="142">
        <f t="shared" si="13"/>
        <v>6.6921492462989471</v>
      </c>
      <c r="H221" s="323">
        <f t="shared" si="14"/>
        <v>0</v>
      </c>
      <c r="I221" s="58">
        <f t="shared" si="15"/>
        <v>0</v>
      </c>
      <c r="J221" s="34">
        <f t="shared" si="16"/>
        <v>6.6921492462989471</v>
      </c>
    </row>
    <row r="222" spans="1:10" x14ac:dyDescent="0.25">
      <c r="A222" s="50">
        <f>'A) Base RI'!A224</f>
        <v>5755</v>
      </c>
      <c r="B222" s="308" t="str">
        <f>'A) Base RI'!B224</f>
        <v>Lignerolle</v>
      </c>
      <c r="C222" s="99">
        <f>'B) D RI'!U224</f>
        <v>9320.3381401087972</v>
      </c>
      <c r="D222" s="115">
        <f>'E) Fact soc'!G228/C222</f>
        <v>18.285083935847631</v>
      </c>
      <c r="E222" s="142">
        <f>'H) Péréquation directe'!I233/C222</f>
        <v>-11.57900851653682</v>
      </c>
      <c r="F222" s="115">
        <f>+'I) Dépenses thématiques'!O222/'J) Plafonnement effort'!C222</f>
        <v>-19.243960343285565</v>
      </c>
      <c r="G222" s="142">
        <f t="shared" si="13"/>
        <v>-12.537884923974755</v>
      </c>
      <c r="H222" s="323">
        <f t="shared" si="14"/>
        <v>0</v>
      </c>
      <c r="I222" s="58">
        <f t="shared" si="15"/>
        <v>0</v>
      </c>
      <c r="J222" s="34">
        <f t="shared" si="16"/>
        <v>-12.537884923974755</v>
      </c>
    </row>
    <row r="223" spans="1:10" x14ac:dyDescent="0.25">
      <c r="A223" s="50">
        <f>'A) Base RI'!A225</f>
        <v>5756</v>
      </c>
      <c r="B223" s="308" t="str">
        <f>'A) Base RI'!B225</f>
        <v>Montcherand</v>
      </c>
      <c r="C223" s="99">
        <f>'B) D RI'!U225</f>
        <v>18436.632028742581</v>
      </c>
      <c r="D223" s="115">
        <f>'E) Fact soc'!G229/C223</f>
        <v>17.077203874124258</v>
      </c>
      <c r="E223" s="142">
        <f>'H) Péréquation directe'!I234/C223</f>
        <v>13.023404515847217</v>
      </c>
      <c r="F223" s="115">
        <f>+'I) Dépenses thématiques'!O223/'J) Plafonnement effort'!C223</f>
        <v>-2.2382454541161079</v>
      </c>
      <c r="G223" s="142">
        <f t="shared" si="13"/>
        <v>27.862362935855369</v>
      </c>
      <c r="H223" s="323">
        <f t="shared" si="14"/>
        <v>0</v>
      </c>
      <c r="I223" s="58">
        <f t="shared" si="15"/>
        <v>0</v>
      </c>
      <c r="J223" s="34">
        <f t="shared" si="16"/>
        <v>27.862362935855369</v>
      </c>
    </row>
    <row r="224" spans="1:10" x14ac:dyDescent="0.25">
      <c r="A224" s="50">
        <f>'A) Base RI'!A226</f>
        <v>5757</v>
      </c>
      <c r="B224" s="308" t="str">
        <f>'A) Base RI'!B226</f>
        <v>Orbe</v>
      </c>
      <c r="C224" s="99">
        <f>'B) D RI'!U226</f>
        <v>195350.61852415255</v>
      </c>
      <c r="D224" s="115">
        <f>'E) Fact soc'!G230/C224</f>
        <v>22.06649864608401</v>
      </c>
      <c r="E224" s="142">
        <f>'H) Péréquation directe'!I235/C224</f>
        <v>-9.7996662575082958</v>
      </c>
      <c r="F224" s="115">
        <f>+'I) Dépenses thématiques'!O224/'J) Plafonnement effort'!C224</f>
        <v>-8.5495623278438249</v>
      </c>
      <c r="G224" s="142">
        <f t="shared" si="13"/>
        <v>3.7172700607318898</v>
      </c>
      <c r="H224" s="323">
        <f t="shared" si="14"/>
        <v>0</v>
      </c>
      <c r="I224" s="58">
        <f t="shared" si="15"/>
        <v>0</v>
      </c>
      <c r="J224" s="34">
        <f t="shared" si="16"/>
        <v>3.7172700607318898</v>
      </c>
    </row>
    <row r="225" spans="1:10" x14ac:dyDescent="0.25">
      <c r="A225" s="50">
        <f>'A) Base RI'!A227</f>
        <v>5758</v>
      </c>
      <c r="B225" s="308" t="str">
        <f>'A) Base RI'!B227</f>
        <v>La Praz</v>
      </c>
      <c r="C225" s="99">
        <f>'B) D RI'!U227</f>
        <v>3217.0835405215335</v>
      </c>
      <c r="D225" s="115">
        <f>'E) Fact soc'!G231/C225</f>
        <v>23.97735437100452</v>
      </c>
      <c r="E225" s="142">
        <f>'H) Péréquation directe'!I236/C225</f>
        <v>-20.379401760950874</v>
      </c>
      <c r="F225" s="115">
        <f>+'I) Dépenses thématiques'!O225/'J) Plafonnement effort'!C225</f>
        <v>-6.273616616620064</v>
      </c>
      <c r="G225" s="142">
        <f t="shared" si="13"/>
        <v>-2.6756640065664179</v>
      </c>
      <c r="H225" s="323">
        <f t="shared" si="14"/>
        <v>0</v>
      </c>
      <c r="I225" s="58">
        <f t="shared" si="15"/>
        <v>0</v>
      </c>
      <c r="J225" s="34">
        <f t="shared" si="16"/>
        <v>-2.6756640065664179</v>
      </c>
    </row>
    <row r="226" spans="1:10" x14ac:dyDescent="0.25">
      <c r="A226" s="50">
        <f>'A) Base RI'!A228</f>
        <v>5759</v>
      </c>
      <c r="B226" s="308" t="str">
        <f>'A) Base RI'!B228</f>
        <v>Premier</v>
      </c>
      <c r="C226" s="99">
        <f>'B) D RI'!U228</f>
        <v>4730.0976887452725</v>
      </c>
      <c r="D226" s="115">
        <f>'E) Fact soc'!G232/C226</f>
        <v>19.900913145685749</v>
      </c>
      <c r="E226" s="142">
        <f>'H) Péréquation directe'!I237/C226</f>
        <v>-11.785585797336228</v>
      </c>
      <c r="F226" s="115">
        <f>+'I) Dépenses thématiques'!O226/'J) Plafonnement effort'!C226</f>
        <v>-6.5718178875953095</v>
      </c>
      <c r="G226" s="142">
        <f t="shared" si="13"/>
        <v>1.543509460754211</v>
      </c>
      <c r="H226" s="323">
        <f t="shared" si="14"/>
        <v>0</v>
      </c>
      <c r="I226" s="58">
        <f t="shared" si="15"/>
        <v>0</v>
      </c>
      <c r="J226" s="34">
        <f t="shared" si="16"/>
        <v>1.543509460754211</v>
      </c>
    </row>
    <row r="227" spans="1:10" x14ac:dyDescent="0.25">
      <c r="A227" s="50">
        <f>'A) Base RI'!A229</f>
        <v>5760</v>
      </c>
      <c r="B227" s="308" t="str">
        <f>'A) Base RI'!B229</f>
        <v>Rances</v>
      </c>
      <c r="C227" s="99">
        <f>'B) D RI'!U229</f>
        <v>10427.733324716695</v>
      </c>
      <c r="D227" s="115">
        <f>'E) Fact soc'!G233/C227</f>
        <v>18.005621395473383</v>
      </c>
      <c r="E227" s="142">
        <f>'H) Péréquation directe'!I238/C227</f>
        <v>-12.448566872217784</v>
      </c>
      <c r="F227" s="115">
        <f>+'I) Dépenses thématiques'!O227/'J) Plafonnement effort'!C227</f>
        <v>-24.613719210654583</v>
      </c>
      <c r="G227" s="142">
        <f t="shared" si="13"/>
        <v>-19.056664687398985</v>
      </c>
      <c r="H227" s="323">
        <f t="shared" si="14"/>
        <v>0</v>
      </c>
      <c r="I227" s="58">
        <f t="shared" si="15"/>
        <v>0</v>
      </c>
      <c r="J227" s="34">
        <f t="shared" si="16"/>
        <v>-19.056664687398985</v>
      </c>
    </row>
    <row r="228" spans="1:10" x14ac:dyDescent="0.25">
      <c r="A228" s="50">
        <f>'A) Base RI'!A230</f>
        <v>5761</v>
      </c>
      <c r="B228" s="308" t="str">
        <f>'A) Base RI'!B230</f>
        <v>Romainmôtier-Envy</v>
      </c>
      <c r="C228" s="99">
        <f>'B) D RI'!U230</f>
        <v>12825.466828901401</v>
      </c>
      <c r="D228" s="115">
        <f>'E) Fact soc'!G234/C228</f>
        <v>20.312913718607021</v>
      </c>
      <c r="E228" s="142">
        <f>'H) Péréquation directe'!I239/C228</f>
        <v>-9.9135009408312573</v>
      </c>
      <c r="F228" s="115">
        <f>+'I) Dépenses thématiques'!O228/'J) Plafonnement effort'!C228</f>
        <v>-6.2207559357704616</v>
      </c>
      <c r="G228" s="142">
        <f t="shared" si="13"/>
        <v>4.1786568420053021</v>
      </c>
      <c r="H228" s="323">
        <f t="shared" si="14"/>
        <v>0</v>
      </c>
      <c r="I228" s="58">
        <f t="shared" si="15"/>
        <v>0</v>
      </c>
      <c r="J228" s="34">
        <f t="shared" si="16"/>
        <v>4.1786568420053021</v>
      </c>
    </row>
    <row r="229" spans="1:10" x14ac:dyDescent="0.25">
      <c r="A229" s="50">
        <f>'A) Base RI'!A231</f>
        <v>5762</v>
      </c>
      <c r="B229" s="308" t="str">
        <f>'A) Base RI'!B231</f>
        <v>Sergey</v>
      </c>
      <c r="C229" s="99">
        <f>'B) D RI'!U231</f>
        <v>3985.6390801086227</v>
      </c>
      <c r="D229" s="115">
        <f>'E) Fact soc'!G235/C229</f>
        <v>16.578940660945591</v>
      </c>
      <c r="E229" s="142">
        <f>'H) Péréquation directe'!I240/C229</f>
        <v>2.3417548624552</v>
      </c>
      <c r="F229" s="115">
        <f>+'I) Dépenses thématiques'!O229/'J) Plafonnement effort'!C229</f>
        <v>-0.42797921628971097</v>
      </c>
      <c r="G229" s="142">
        <f t="shared" si="13"/>
        <v>18.492716307111081</v>
      </c>
      <c r="H229" s="323">
        <f t="shared" si="14"/>
        <v>0</v>
      </c>
      <c r="I229" s="58">
        <f t="shared" si="15"/>
        <v>0</v>
      </c>
      <c r="J229" s="34">
        <f t="shared" si="16"/>
        <v>18.492716307111081</v>
      </c>
    </row>
    <row r="230" spans="1:10" x14ac:dyDescent="0.25">
      <c r="A230" s="50">
        <f>'A) Base RI'!A232</f>
        <v>5763</v>
      </c>
      <c r="B230" s="308" t="str">
        <f>'A) Base RI'!B232</f>
        <v>Valeyres-sous-Rances</v>
      </c>
      <c r="C230" s="99">
        <f>'B) D RI'!U232</f>
        <v>20114.818063776223</v>
      </c>
      <c r="D230" s="115">
        <f>'E) Fact soc'!G236/C230</f>
        <v>17.684544224218683</v>
      </c>
      <c r="E230" s="142">
        <f>'H) Péréquation directe'!I241/C230</f>
        <v>9.0990881925172253</v>
      </c>
      <c r="F230" s="115">
        <f>+'I) Dépenses thématiques'!O230/'J) Plafonnement effort'!C230</f>
        <v>-6.0086165177484396</v>
      </c>
      <c r="G230" s="142">
        <f t="shared" si="13"/>
        <v>20.775015898987469</v>
      </c>
      <c r="H230" s="323">
        <f t="shared" si="14"/>
        <v>0</v>
      </c>
      <c r="I230" s="58">
        <f t="shared" si="15"/>
        <v>0</v>
      </c>
      <c r="J230" s="34">
        <f t="shared" si="16"/>
        <v>20.775015898987469</v>
      </c>
    </row>
    <row r="231" spans="1:10" x14ac:dyDescent="0.25">
      <c r="A231" s="50">
        <f>'A) Base RI'!A233</f>
        <v>5764</v>
      </c>
      <c r="B231" s="308" t="str">
        <f>'A) Base RI'!B233</f>
        <v>Vallorbe</v>
      </c>
      <c r="C231" s="99">
        <f>'B) D RI'!U233</f>
        <v>81234.457849579077</v>
      </c>
      <c r="D231" s="115">
        <f>'E) Fact soc'!G237/C231</f>
        <v>25.392561009510356</v>
      </c>
      <c r="E231" s="142">
        <f>'H) Péréquation directe'!I242/C231</f>
        <v>-19.456186780248132</v>
      </c>
      <c r="F231" s="115">
        <f>+'I) Dépenses thématiques'!O231/'J) Plafonnement effort'!C231</f>
        <v>-25.967917006616322</v>
      </c>
      <c r="G231" s="142">
        <f t="shared" si="13"/>
        <v>-20.031542777354097</v>
      </c>
      <c r="H231" s="323">
        <f t="shared" si="14"/>
        <v>0</v>
      </c>
      <c r="I231" s="58">
        <f t="shared" si="15"/>
        <v>0</v>
      </c>
      <c r="J231" s="34">
        <f t="shared" si="16"/>
        <v>-20.031542777354097</v>
      </c>
    </row>
    <row r="232" spans="1:10" x14ac:dyDescent="0.25">
      <c r="A232" s="50">
        <f>'A) Base RI'!A234</f>
        <v>5765</v>
      </c>
      <c r="B232" s="308" t="str">
        <f>'A) Base RI'!B234</f>
        <v>Vaulion</v>
      </c>
      <c r="C232" s="99">
        <f>'B) D RI'!U234</f>
        <v>9570.1875488405149</v>
      </c>
      <c r="D232" s="115">
        <f>'E) Fact soc'!G238/C232</f>
        <v>18.286874806485674</v>
      </c>
      <c r="E232" s="142">
        <f>'H) Péréquation directe'!I243/C232</f>
        <v>-19.570826388545949</v>
      </c>
      <c r="F232" s="115">
        <f>+'I) Dépenses thématiques'!O232/'J) Plafonnement effort'!C232</f>
        <v>-18.240732812647586</v>
      </c>
      <c r="G232" s="142">
        <f t="shared" si="13"/>
        <v>-19.524684394707862</v>
      </c>
      <c r="H232" s="323">
        <f t="shared" si="14"/>
        <v>0</v>
      </c>
      <c r="I232" s="58">
        <f t="shared" si="15"/>
        <v>0</v>
      </c>
      <c r="J232" s="34">
        <f t="shared" si="16"/>
        <v>-19.524684394707862</v>
      </c>
    </row>
    <row r="233" spans="1:10" x14ac:dyDescent="0.25">
      <c r="A233" s="50">
        <f>'A) Base RI'!A235</f>
        <v>5766</v>
      </c>
      <c r="B233" s="308" t="str">
        <f>'A) Base RI'!B235</f>
        <v>Vuiteboeuf</v>
      </c>
      <c r="C233" s="99">
        <f>'B) D RI'!U235</f>
        <v>12893.801548266167</v>
      </c>
      <c r="D233" s="115">
        <f>'E) Fact soc'!G239/C233</f>
        <v>19.32102686802973</v>
      </c>
      <c r="E233" s="142">
        <f>'H) Péréquation directe'!I244/C233</f>
        <v>-9.3947572480636161</v>
      </c>
      <c r="F233" s="115">
        <f>+'I) Dépenses thématiques'!O233/'J) Plafonnement effort'!C233</f>
        <v>-7.0343559430228533</v>
      </c>
      <c r="G233" s="142">
        <f t="shared" si="13"/>
        <v>2.8919136769432603</v>
      </c>
      <c r="H233" s="323">
        <f t="shared" si="14"/>
        <v>0</v>
      </c>
      <c r="I233" s="58">
        <f t="shared" si="15"/>
        <v>0</v>
      </c>
      <c r="J233" s="34">
        <f t="shared" si="16"/>
        <v>2.8919136769432603</v>
      </c>
    </row>
    <row r="234" spans="1:10" x14ac:dyDescent="0.25">
      <c r="A234" s="50">
        <f>'A) Base RI'!A236</f>
        <v>5785</v>
      </c>
      <c r="B234" s="308" t="str">
        <f>'A) Base RI'!B236</f>
        <v>Corcelles-le-Jorat</v>
      </c>
      <c r="C234" s="99">
        <f>'B) D RI'!U236</f>
        <v>15470.207510777882</v>
      </c>
      <c r="D234" s="115">
        <f>'E) Fact soc'!G240/C234</f>
        <v>18.082939456497108</v>
      </c>
      <c r="E234" s="142">
        <f>'H) Péréquation directe'!I245/C234</f>
        <v>8.2072441104580989</v>
      </c>
      <c r="F234" s="115">
        <f>+'I) Dépenses thématiques'!O234/'J) Plafonnement effort'!C234</f>
        <v>-0.27887505273132412</v>
      </c>
      <c r="G234" s="142">
        <f t="shared" si="13"/>
        <v>26.011308514223884</v>
      </c>
      <c r="H234" s="323">
        <f t="shared" si="14"/>
        <v>0</v>
      </c>
      <c r="I234" s="58">
        <f t="shared" si="15"/>
        <v>0</v>
      </c>
      <c r="J234" s="34">
        <f t="shared" si="16"/>
        <v>26.011308514223884</v>
      </c>
    </row>
    <row r="235" spans="1:10" x14ac:dyDescent="0.25">
      <c r="A235" s="50">
        <f>'A) Base RI'!A237</f>
        <v>5788</v>
      </c>
      <c r="B235" s="308" t="str">
        <f>'A) Base RI'!B237</f>
        <v>Essertes</v>
      </c>
      <c r="C235" s="99">
        <f>'B) D RI'!U237</f>
        <v>11538.273586899442</v>
      </c>
      <c r="D235" s="115">
        <f>'E) Fact soc'!G241/C235</f>
        <v>21.133928464303125</v>
      </c>
      <c r="E235" s="142">
        <f>'H) Péréquation directe'!I246/C235</f>
        <v>8.9623137247473306</v>
      </c>
      <c r="F235" s="115">
        <f>+'I) Dépenses thématiques'!O235/'J) Plafonnement effort'!C235</f>
        <v>-1.380545222700323</v>
      </c>
      <c r="G235" s="142">
        <f t="shared" si="13"/>
        <v>28.715696966350134</v>
      </c>
      <c r="H235" s="323">
        <f t="shared" si="14"/>
        <v>0</v>
      </c>
      <c r="I235" s="58">
        <f t="shared" si="15"/>
        <v>0</v>
      </c>
      <c r="J235" s="34">
        <f t="shared" si="16"/>
        <v>28.715696966350134</v>
      </c>
    </row>
    <row r="236" spans="1:10" x14ac:dyDescent="0.25">
      <c r="A236" s="50">
        <f>'A) Base RI'!A238</f>
        <v>5790</v>
      </c>
      <c r="B236" s="308" t="str">
        <f>'A) Base RI'!B238</f>
        <v>Maracon</v>
      </c>
      <c r="C236" s="99">
        <f>'B) D RI'!U238</f>
        <v>12104.202592846941</v>
      </c>
      <c r="D236" s="115">
        <f>'E) Fact soc'!G242/C236</f>
        <v>20.377548051244929</v>
      </c>
      <c r="E236" s="142">
        <f>'H) Péréquation directe'!I247/C236</f>
        <v>-2.8343633621312669</v>
      </c>
      <c r="F236" s="115">
        <f>+'I) Dépenses thématiques'!O236/'J) Plafonnement effort'!C236</f>
        <v>-9.7005385974212679</v>
      </c>
      <c r="G236" s="142">
        <f t="shared" si="13"/>
        <v>7.8426460916923944</v>
      </c>
      <c r="H236" s="323">
        <f t="shared" si="14"/>
        <v>0</v>
      </c>
      <c r="I236" s="58">
        <f t="shared" si="15"/>
        <v>0</v>
      </c>
      <c r="J236" s="34">
        <f t="shared" si="16"/>
        <v>7.8426460916923944</v>
      </c>
    </row>
    <row r="237" spans="1:10" x14ac:dyDescent="0.25">
      <c r="A237" s="50">
        <f>'A) Base RI'!A239</f>
        <v>5792</v>
      </c>
      <c r="B237" s="308" t="str">
        <f>'A) Base RI'!B239</f>
        <v>Montpreveyres</v>
      </c>
      <c r="C237" s="99">
        <f>'B) D RI'!U239</f>
        <v>17389.927760878301</v>
      </c>
      <c r="D237" s="115">
        <f>'E) Fact soc'!G243/C237</f>
        <v>19.291601471558337</v>
      </c>
      <c r="E237" s="142">
        <f>'H) Péréquation directe'!I248/C237</f>
        <v>-0.7567702386030587</v>
      </c>
      <c r="F237" s="115">
        <f>+'I) Dépenses thématiques'!O237/'J) Plafonnement effort'!C237</f>
        <v>-5.5261117099589727</v>
      </c>
      <c r="G237" s="142">
        <f t="shared" si="13"/>
        <v>13.008719522996305</v>
      </c>
      <c r="H237" s="323">
        <f t="shared" si="14"/>
        <v>0</v>
      </c>
      <c r="I237" s="58">
        <f t="shared" si="15"/>
        <v>0</v>
      </c>
      <c r="J237" s="34">
        <f t="shared" si="16"/>
        <v>13.008719522996305</v>
      </c>
    </row>
    <row r="238" spans="1:10" x14ac:dyDescent="0.25">
      <c r="A238" s="50">
        <f>'A) Base RI'!A240</f>
        <v>5798</v>
      </c>
      <c r="B238" s="308" t="str">
        <f>'A) Base RI'!B240</f>
        <v>Ropraz</v>
      </c>
      <c r="C238" s="99">
        <f>'B) D RI'!U240</f>
        <v>13992.205782654681</v>
      </c>
      <c r="D238" s="115">
        <f>'E) Fact soc'!G244/C238</f>
        <v>19.5708972343832</v>
      </c>
      <c r="E238" s="142">
        <f>'H) Péréquation directe'!I249/C238</f>
        <v>5.178684835917152</v>
      </c>
      <c r="F238" s="115">
        <f>+'I) Dépenses thématiques'!O238/'J) Plafonnement effort'!C238</f>
        <v>-6.0238794566305636</v>
      </c>
      <c r="G238" s="142">
        <f t="shared" si="13"/>
        <v>18.725702613669789</v>
      </c>
      <c r="H238" s="323">
        <f t="shared" si="14"/>
        <v>0</v>
      </c>
      <c r="I238" s="58">
        <f t="shared" si="15"/>
        <v>0</v>
      </c>
      <c r="J238" s="34">
        <f t="shared" si="16"/>
        <v>18.725702613669789</v>
      </c>
    </row>
    <row r="239" spans="1:10" x14ac:dyDescent="0.25">
      <c r="A239" s="50">
        <f>'A) Base RI'!A241</f>
        <v>5799</v>
      </c>
      <c r="B239" s="308" t="str">
        <f>'A) Base RI'!B241</f>
        <v>Servion</v>
      </c>
      <c r="C239" s="99">
        <f>'B) D RI'!U241</f>
        <v>65260.062669214836</v>
      </c>
      <c r="D239" s="115">
        <f>'E) Fact soc'!G245/C239</f>
        <v>17.670369432908586</v>
      </c>
      <c r="E239" s="142">
        <f>'H) Péréquation directe'!I250/C239</f>
        <v>7.2783778483036086</v>
      </c>
      <c r="F239" s="115">
        <f>+'I) Dépenses thématiques'!O239/'J) Plafonnement effort'!C239</f>
        <v>-3.0661650602291464</v>
      </c>
      <c r="G239" s="142">
        <f t="shared" si="13"/>
        <v>21.88258222098305</v>
      </c>
      <c r="H239" s="323">
        <f t="shared" si="14"/>
        <v>0</v>
      </c>
      <c r="I239" s="58">
        <f t="shared" si="15"/>
        <v>0</v>
      </c>
      <c r="J239" s="34">
        <f t="shared" si="16"/>
        <v>21.88258222098305</v>
      </c>
    </row>
    <row r="240" spans="1:10" x14ac:dyDescent="0.25">
      <c r="A240" s="50">
        <f>'A) Base RI'!A242</f>
        <v>5803</v>
      </c>
      <c r="B240" s="308" t="str">
        <f>'A) Base RI'!B242</f>
        <v>Vulliens</v>
      </c>
      <c r="C240" s="99">
        <f>'B) D RI'!U242</f>
        <v>15516.870988563373</v>
      </c>
      <c r="D240" s="115">
        <f>'E) Fact soc'!G246/C240</f>
        <v>18.631953690883076</v>
      </c>
      <c r="E240" s="142">
        <f>'H) Péréquation directe'!I251/C240</f>
        <v>3.7842406637553845</v>
      </c>
      <c r="F240" s="115">
        <f>+'I) Dépenses thématiques'!O240/'J) Plafonnement effort'!C240</f>
        <v>-1.1615276096516962</v>
      </c>
      <c r="G240" s="142">
        <f t="shared" si="13"/>
        <v>21.254666744986764</v>
      </c>
      <c r="H240" s="323">
        <f t="shared" si="14"/>
        <v>0</v>
      </c>
      <c r="I240" s="58">
        <f t="shared" si="15"/>
        <v>0</v>
      </c>
      <c r="J240" s="34">
        <f t="shared" si="16"/>
        <v>21.254666744986764</v>
      </c>
    </row>
    <row r="241" spans="1:10" x14ac:dyDescent="0.25">
      <c r="A241" s="50">
        <f>'A) Base RI'!A243</f>
        <v>5804</v>
      </c>
      <c r="B241" s="308" t="str">
        <f>'A) Base RI'!B243</f>
        <v>Jorat-Menthue</v>
      </c>
      <c r="C241" s="99">
        <f>'B) D RI'!U243</f>
        <v>47010.590890855121</v>
      </c>
      <c r="D241" s="115">
        <f>'E) Fact soc'!G247/C241</f>
        <v>18.368004378601018</v>
      </c>
      <c r="E241" s="142">
        <f>'H) Péréquation directe'!I252/C241</f>
        <v>3.6983454339628632</v>
      </c>
      <c r="F241" s="115">
        <f>+'I) Dépenses thématiques'!O241/'J) Plafonnement effort'!C241</f>
        <v>-12.78115207872467</v>
      </c>
      <c r="G241" s="142">
        <f t="shared" si="13"/>
        <v>9.2851977338392118</v>
      </c>
      <c r="H241" s="323">
        <f t="shared" si="14"/>
        <v>0</v>
      </c>
      <c r="I241" s="58">
        <f t="shared" si="15"/>
        <v>0</v>
      </c>
      <c r="J241" s="34">
        <f t="shared" si="16"/>
        <v>9.2851977338392118</v>
      </c>
    </row>
    <row r="242" spans="1:10" x14ac:dyDescent="0.25">
      <c r="A242" s="50">
        <f>'A) Base RI'!A244</f>
        <v>5805</v>
      </c>
      <c r="B242" s="308" t="str">
        <f>'A) Base RI'!B244</f>
        <v>Oron</v>
      </c>
      <c r="C242" s="99">
        <f>'B) D RI'!U244</f>
        <v>145333.30890614819</v>
      </c>
      <c r="D242" s="115">
        <f>'E) Fact soc'!G248/C242</f>
        <v>18.856403250791548</v>
      </c>
      <c r="E242" s="142">
        <f>'H) Péréquation directe'!I253/C242</f>
        <v>-7.5441342982044555</v>
      </c>
      <c r="F242" s="115">
        <f>+'I) Dépenses thématiques'!O242/'J) Plafonnement effort'!C242</f>
        <v>-7.195601988518896</v>
      </c>
      <c r="G242" s="142">
        <f t="shared" si="13"/>
        <v>4.1166669640681972</v>
      </c>
      <c r="H242" s="323">
        <f t="shared" si="14"/>
        <v>0</v>
      </c>
      <c r="I242" s="58">
        <f t="shared" si="15"/>
        <v>0</v>
      </c>
      <c r="J242" s="34">
        <f t="shared" si="16"/>
        <v>4.1166669640681972</v>
      </c>
    </row>
    <row r="243" spans="1:10" x14ac:dyDescent="0.25">
      <c r="A243" s="50">
        <f>'A) Base RI'!A245</f>
        <v>5806</v>
      </c>
      <c r="B243" s="308" t="str">
        <f>'A) Base RI'!B245</f>
        <v>Jorat-Mézières</v>
      </c>
      <c r="C243" s="99">
        <f>'B) D RI'!U245</f>
        <v>85087.623552631558</v>
      </c>
      <c r="D243" s="115">
        <f>'E) Fact soc'!G249/C243</f>
        <v>18.697293649522418</v>
      </c>
      <c r="E243" s="142">
        <f>'H) Péréquation directe'!I254/C243</f>
        <v>-0.78966887844459033</v>
      </c>
      <c r="F243" s="115">
        <f>+'I) Dépenses thématiques'!O243/'J) Plafonnement effort'!C243</f>
        <v>-4.2445950845108635</v>
      </c>
      <c r="G243" s="142">
        <f t="shared" si="13"/>
        <v>13.663029686566965</v>
      </c>
      <c r="H243" s="323">
        <f t="shared" si="14"/>
        <v>0</v>
      </c>
      <c r="I243" s="58">
        <f t="shared" si="15"/>
        <v>0</v>
      </c>
      <c r="J243" s="34">
        <f t="shared" si="16"/>
        <v>13.663029686566965</v>
      </c>
    </row>
    <row r="244" spans="1:10" x14ac:dyDescent="0.25">
      <c r="A244" s="50">
        <f>'A) Base RI'!A246</f>
        <v>5812</v>
      </c>
      <c r="B244" s="308" t="str">
        <f>'A) Base RI'!B246</f>
        <v>Champtauroz</v>
      </c>
      <c r="C244" s="99">
        <f>'B) D RI'!U246</f>
        <v>2414.7620603829159</v>
      </c>
      <c r="D244" s="115">
        <f>'E) Fact soc'!G250/C244</f>
        <v>21.441281549131237</v>
      </c>
      <c r="E244" s="142">
        <f>'H) Péréquation directe'!I255/C244</f>
        <v>-19.503508413923573</v>
      </c>
      <c r="F244" s="115">
        <f>+'I) Dépenses thématiques'!O244/'J) Plafonnement effort'!C244</f>
        <v>-16.036406537824565</v>
      </c>
      <c r="G244" s="142">
        <f t="shared" si="13"/>
        <v>-14.098633402616901</v>
      </c>
      <c r="H244" s="323">
        <f t="shared" si="14"/>
        <v>0</v>
      </c>
      <c r="I244" s="58">
        <f t="shared" si="15"/>
        <v>0</v>
      </c>
      <c r="J244" s="34">
        <f t="shared" si="16"/>
        <v>-14.098633402616901</v>
      </c>
    </row>
    <row r="245" spans="1:10" x14ac:dyDescent="0.25">
      <c r="A245" s="50">
        <f>'A) Base RI'!A247</f>
        <v>5813</v>
      </c>
      <c r="B245" s="308" t="str">
        <f>'A) Base RI'!B247</f>
        <v>Chevroux</v>
      </c>
      <c r="C245" s="99">
        <f>'B) D RI'!U247</f>
        <v>13113.471464382501</v>
      </c>
      <c r="D245" s="115">
        <f>'E) Fact soc'!G251/C245</f>
        <v>21.717962824338059</v>
      </c>
      <c r="E245" s="142">
        <f>'H) Péréquation directe'!I256/C245</f>
        <v>3.4788760894105102</v>
      </c>
      <c r="F245" s="115">
        <f>+'I) Dépenses thématiques'!O245/'J) Plafonnement effort'!C245</f>
        <v>-1.3830564441281628</v>
      </c>
      <c r="G245" s="142">
        <f t="shared" si="13"/>
        <v>23.813782469620406</v>
      </c>
      <c r="H245" s="323">
        <f t="shared" si="14"/>
        <v>0</v>
      </c>
      <c r="I245" s="58">
        <f t="shared" si="15"/>
        <v>0</v>
      </c>
      <c r="J245" s="34">
        <f t="shared" si="16"/>
        <v>23.813782469620406</v>
      </c>
    </row>
    <row r="246" spans="1:10" x14ac:dyDescent="0.25">
      <c r="A246" s="50">
        <f>'A) Base RI'!A248</f>
        <v>5816</v>
      </c>
      <c r="B246" s="308" t="str">
        <f>'A) Base RI'!B248</f>
        <v>Corcelles-près-Payerne</v>
      </c>
      <c r="C246" s="99">
        <f>'B) D RI'!U248</f>
        <v>56475.749877973358</v>
      </c>
      <c r="D246" s="115">
        <f>'E) Fact soc'!G252/C246</f>
        <v>18.585294836852661</v>
      </c>
      <c r="E246" s="142">
        <f>'H) Péréquation directe'!I257/C246</f>
        <v>-10.851865669988859</v>
      </c>
      <c r="F246" s="115">
        <f>+'I) Dépenses thématiques'!O246/'J) Plafonnement effort'!C246</f>
        <v>-5.481640374870028</v>
      </c>
      <c r="G246" s="142">
        <f t="shared" si="13"/>
        <v>2.251788791993774</v>
      </c>
      <c r="H246" s="323">
        <f t="shared" si="14"/>
        <v>0</v>
      </c>
      <c r="I246" s="58">
        <f t="shared" si="15"/>
        <v>0</v>
      </c>
      <c r="J246" s="34">
        <f t="shared" si="16"/>
        <v>2.251788791993774</v>
      </c>
    </row>
    <row r="247" spans="1:10" x14ac:dyDescent="0.25">
      <c r="A247" s="50">
        <f>'A) Base RI'!A249</f>
        <v>5817</v>
      </c>
      <c r="B247" s="308" t="str">
        <f>'A) Base RI'!B249</f>
        <v>Grandcour</v>
      </c>
      <c r="C247" s="99">
        <f>'B) D RI'!U249</f>
        <v>22082.516537974258</v>
      </c>
      <c r="D247" s="115">
        <f>'E) Fact soc'!G253/C247</f>
        <v>18.640278232654591</v>
      </c>
      <c r="E247" s="142">
        <f>'H) Péréquation directe'!I258/C247</f>
        <v>-5.6579905215877888</v>
      </c>
      <c r="F247" s="115">
        <f>+'I) Dépenses thématiques'!O247/'J) Plafonnement effort'!C247</f>
        <v>-5.2577346956364863</v>
      </c>
      <c r="G247" s="142">
        <f t="shared" si="13"/>
        <v>7.7245530154303168</v>
      </c>
      <c r="H247" s="323">
        <f t="shared" si="14"/>
        <v>0</v>
      </c>
      <c r="I247" s="58">
        <f t="shared" si="15"/>
        <v>0</v>
      </c>
      <c r="J247" s="34">
        <f t="shared" si="16"/>
        <v>7.7245530154303168</v>
      </c>
    </row>
    <row r="248" spans="1:10" x14ac:dyDescent="0.25">
      <c r="A248" s="50">
        <f>'A) Base RI'!A250</f>
        <v>5819</v>
      </c>
      <c r="B248" s="308" t="str">
        <f>'A) Base RI'!B250</f>
        <v>Henniez</v>
      </c>
      <c r="C248" s="99">
        <f>'B) D RI'!U250</f>
        <v>13743.862603576948</v>
      </c>
      <c r="D248" s="115">
        <f>'E) Fact soc'!G254/C248</f>
        <v>18.338026206990566</v>
      </c>
      <c r="E248" s="142">
        <f>'H) Péréquation directe'!I259/C248</f>
        <v>13.352646092849016</v>
      </c>
      <c r="F248" s="115">
        <f>+'I) Dépenses thématiques'!O248/'J) Plafonnement effort'!C248</f>
        <v>-4.0000272095437293</v>
      </c>
      <c r="G248" s="142">
        <f t="shared" si="13"/>
        <v>27.690645090295853</v>
      </c>
      <c r="H248" s="323">
        <f t="shared" si="14"/>
        <v>0</v>
      </c>
      <c r="I248" s="58">
        <f t="shared" si="15"/>
        <v>0</v>
      </c>
      <c r="J248" s="34">
        <f t="shared" si="16"/>
        <v>27.690645090295853</v>
      </c>
    </row>
    <row r="249" spans="1:10" x14ac:dyDescent="0.25">
      <c r="A249" s="50">
        <f>'A) Base RI'!A251</f>
        <v>5821</v>
      </c>
      <c r="B249" s="308" t="str">
        <f>'A) Base RI'!B251</f>
        <v>Missy</v>
      </c>
      <c r="C249" s="99">
        <f>'B) D RI'!U251</f>
        <v>7638.0636098287778</v>
      </c>
      <c r="D249" s="115">
        <f>'E) Fact soc'!G255/C249</f>
        <v>16.650261140112057</v>
      </c>
      <c r="E249" s="142">
        <f>'H) Péréquation directe'!I260/C249</f>
        <v>-8.04662284111477</v>
      </c>
      <c r="F249" s="115">
        <f>+'I) Dépenses thématiques'!O249/'J) Plafonnement effort'!C249</f>
        <v>-2.3286816200560625</v>
      </c>
      <c r="G249" s="142">
        <f t="shared" si="13"/>
        <v>6.2749566789412246</v>
      </c>
      <c r="H249" s="323">
        <f t="shared" si="14"/>
        <v>0</v>
      </c>
      <c r="I249" s="58">
        <f t="shared" si="15"/>
        <v>0</v>
      </c>
      <c r="J249" s="34">
        <f t="shared" si="16"/>
        <v>6.2749566789412246</v>
      </c>
    </row>
    <row r="250" spans="1:10" x14ac:dyDescent="0.25">
      <c r="A250" s="50">
        <f>'A) Base RI'!A252</f>
        <v>5822</v>
      </c>
      <c r="B250" s="308" t="str">
        <f>'A) Base RI'!B252</f>
        <v>Payerne</v>
      </c>
      <c r="C250" s="99">
        <f>'B) D RI'!U252</f>
        <v>236156.50420606061</v>
      </c>
      <c r="D250" s="115">
        <f>'E) Fact soc'!G256/C250</f>
        <v>18.791299919507058</v>
      </c>
      <c r="E250" s="142">
        <f>'H) Péréquation directe'!I261/C250</f>
        <v>-19.474559676869841</v>
      </c>
      <c r="F250" s="115">
        <f>+'I) Dépenses thématiques'!O250/'J) Plafonnement effort'!C250</f>
        <v>-5.7620738812101484</v>
      </c>
      <c r="G250" s="142">
        <f t="shared" si="13"/>
        <v>-6.4453336385729321</v>
      </c>
      <c r="H250" s="323">
        <f t="shared" si="14"/>
        <v>0</v>
      </c>
      <c r="I250" s="58">
        <f t="shared" si="15"/>
        <v>0</v>
      </c>
      <c r="J250" s="34">
        <f t="shared" si="16"/>
        <v>-6.4453336385729321</v>
      </c>
    </row>
    <row r="251" spans="1:10" x14ac:dyDescent="0.25">
      <c r="A251" s="50">
        <f>'A) Base RI'!A253</f>
        <v>5827</v>
      </c>
      <c r="B251" s="308" t="str">
        <f>'A) Base RI'!B253</f>
        <v>Trey</v>
      </c>
      <c r="C251" s="99">
        <f>'B) D RI'!U253</f>
        <v>6690.1986933784046</v>
      </c>
      <c r="D251" s="115">
        <f>'E) Fact soc'!G257/C251</f>
        <v>18.059782315250473</v>
      </c>
      <c r="E251" s="142">
        <f>'H) Péréquation directe'!I262/C251</f>
        <v>-5.6068937492752857</v>
      </c>
      <c r="F251" s="115">
        <f>+'I) Dépenses thématiques'!O251/'J) Plafonnement effort'!C251</f>
        <v>-8.1624494760886872</v>
      </c>
      <c r="G251" s="142">
        <f t="shared" si="13"/>
        <v>4.2904390898864992</v>
      </c>
      <c r="H251" s="323">
        <f t="shared" si="14"/>
        <v>0</v>
      </c>
      <c r="I251" s="58">
        <f t="shared" si="15"/>
        <v>0</v>
      </c>
      <c r="J251" s="34">
        <f t="shared" si="16"/>
        <v>4.2904390898864992</v>
      </c>
    </row>
    <row r="252" spans="1:10" x14ac:dyDescent="0.25">
      <c r="A252" s="50">
        <f>'A) Base RI'!A254</f>
        <v>5828</v>
      </c>
      <c r="B252" s="308" t="str">
        <f>'A) Base RI'!B254</f>
        <v>Treytorrens (Payerne)</v>
      </c>
      <c r="C252" s="99">
        <f>'B) D RI'!U254</f>
        <v>2279.6786771708244</v>
      </c>
      <c r="D252" s="115">
        <f>'E) Fact soc'!G258/C252</f>
        <v>23.678411581857734</v>
      </c>
      <c r="E252" s="142">
        <f>'H) Péréquation directe'!I263/C252</f>
        <v>-26.479852338994771</v>
      </c>
      <c r="F252" s="115">
        <f>+'I) Dépenses thématiques'!O252/'J) Plafonnement effort'!C252</f>
        <v>-24.283649921136973</v>
      </c>
      <c r="G252" s="142">
        <f t="shared" si="13"/>
        <v>-27.08509067827401</v>
      </c>
      <c r="H252" s="323">
        <f t="shared" si="14"/>
        <v>0</v>
      </c>
      <c r="I252" s="58">
        <f t="shared" si="15"/>
        <v>0</v>
      </c>
      <c r="J252" s="34">
        <f t="shared" si="16"/>
        <v>-27.08509067827401</v>
      </c>
    </row>
    <row r="253" spans="1:10" x14ac:dyDescent="0.25">
      <c r="A253" s="50">
        <f>'A) Base RI'!A255</f>
        <v>5830</v>
      </c>
      <c r="B253" s="308" t="str">
        <f>'A) Base RI'!B255</f>
        <v>Villarzel</v>
      </c>
      <c r="C253" s="99">
        <f>'B) D RI'!U255</f>
        <v>10447.04854538646</v>
      </c>
      <c r="D253" s="115">
        <f>'E) Fact soc'!G259/C253</f>
        <v>18.781132066322083</v>
      </c>
      <c r="E253" s="142">
        <f>'H) Péréquation directe'!I264/C253</f>
        <v>-4.9149900354949718</v>
      </c>
      <c r="F253" s="115">
        <f>+'I) Dépenses thématiques'!O253/'J) Plafonnement effort'!C253</f>
        <v>-11.298450295783022</v>
      </c>
      <c r="G253" s="142">
        <f t="shared" si="13"/>
        <v>2.5676917350440895</v>
      </c>
      <c r="H253" s="323">
        <f t="shared" si="14"/>
        <v>0</v>
      </c>
      <c r="I253" s="58">
        <f t="shared" si="15"/>
        <v>0</v>
      </c>
      <c r="J253" s="34">
        <f t="shared" si="16"/>
        <v>2.5676917350440895</v>
      </c>
    </row>
    <row r="254" spans="1:10" x14ac:dyDescent="0.25">
      <c r="A254" s="50">
        <f>'A) Base RI'!A256</f>
        <v>5831</v>
      </c>
      <c r="B254" s="308" t="str">
        <f>'A) Base RI'!B256</f>
        <v>Valbroye</v>
      </c>
      <c r="C254" s="99">
        <f>'B) D RI'!U256</f>
        <v>80393.76686206559</v>
      </c>
      <c r="D254" s="115">
        <f>'E) Fact soc'!G260/C254</f>
        <v>19.926145854970482</v>
      </c>
      <c r="E254" s="142">
        <f>'H) Péréquation directe'!I265/C254</f>
        <v>-5.3409833990470998</v>
      </c>
      <c r="F254" s="115">
        <f>+'I) Dépenses thématiques'!O254/'J) Plafonnement effort'!C254</f>
        <v>-8.9141248339640793</v>
      </c>
      <c r="G254" s="142">
        <f t="shared" si="13"/>
        <v>5.6710376219593019</v>
      </c>
      <c r="H254" s="323">
        <f t="shared" si="14"/>
        <v>0</v>
      </c>
      <c r="I254" s="58">
        <f t="shared" si="15"/>
        <v>0</v>
      </c>
      <c r="J254" s="34">
        <f t="shared" si="16"/>
        <v>5.6710376219593019</v>
      </c>
    </row>
    <row r="255" spans="1:10" x14ac:dyDescent="0.25">
      <c r="A255" s="50">
        <f>'A) Base RI'!A257</f>
        <v>5841</v>
      </c>
      <c r="B255" s="308" t="str">
        <f>'A) Base RI'!B257</f>
        <v>Château-d'Oex</v>
      </c>
      <c r="C255" s="99">
        <f>'B) D RI'!U257</f>
        <v>112439.97706211945</v>
      </c>
      <c r="D255" s="115">
        <f>'E) Fact soc'!G261/C255</f>
        <v>20.825893762975554</v>
      </c>
      <c r="E255" s="142">
        <f>'H) Péréquation directe'!I266/C255</f>
        <v>0.42280332632813888</v>
      </c>
      <c r="F255" s="115">
        <f>+'I) Dépenses thématiques'!O255/'J) Plafonnement effort'!C255</f>
        <v>-20.081642193681901</v>
      </c>
      <c r="G255" s="142">
        <f t="shared" si="13"/>
        <v>1.1670548956217921</v>
      </c>
      <c r="H255" s="323">
        <f t="shared" si="14"/>
        <v>0</v>
      </c>
      <c r="I255" s="58">
        <f t="shared" si="15"/>
        <v>0</v>
      </c>
      <c r="J255" s="34">
        <f t="shared" si="16"/>
        <v>1.1670548956217921</v>
      </c>
    </row>
    <row r="256" spans="1:10" x14ac:dyDescent="0.25">
      <c r="A256" s="50">
        <f>'A) Base RI'!A258</f>
        <v>5842</v>
      </c>
      <c r="B256" s="308" t="str">
        <f>'A) Base RI'!B258</f>
        <v>Rossinière</v>
      </c>
      <c r="C256" s="99">
        <f>'B) D RI'!U258</f>
        <v>12463.858686572428</v>
      </c>
      <c r="D256" s="115">
        <f>'E) Fact soc'!G262/C256</f>
        <v>19.227655827111459</v>
      </c>
      <c r="E256" s="142">
        <f>'H) Péréquation directe'!I267/C256</f>
        <v>-10.911444742420846</v>
      </c>
      <c r="F256" s="115">
        <f>+'I) Dépenses thématiques'!O256/'J) Plafonnement effort'!C256</f>
        <v>-25.451194999692447</v>
      </c>
      <c r="G256" s="142">
        <f t="shared" si="13"/>
        <v>-17.134983915001833</v>
      </c>
      <c r="H256" s="323">
        <f t="shared" si="14"/>
        <v>0</v>
      </c>
      <c r="I256" s="58">
        <f t="shared" si="15"/>
        <v>0</v>
      </c>
      <c r="J256" s="34">
        <f t="shared" si="16"/>
        <v>-17.134983915001833</v>
      </c>
    </row>
    <row r="257" spans="1:10" x14ac:dyDescent="0.25">
      <c r="A257" s="50">
        <f>'A) Base RI'!A259</f>
        <v>5843</v>
      </c>
      <c r="B257" s="308" t="str">
        <f>'A) Base RI'!B259</f>
        <v>Rougemont</v>
      </c>
      <c r="C257" s="99">
        <f>'B) D RI'!U259</f>
        <v>87105.84628297943</v>
      </c>
      <c r="D257" s="115">
        <f>'E) Fact soc'!G263/C257</f>
        <v>35.564567645796956</v>
      </c>
      <c r="E257" s="142">
        <f>'H) Péréquation directe'!I268/C257</f>
        <v>18.761837200071284</v>
      </c>
      <c r="F257" s="115">
        <f>+'I) Dépenses thématiques'!O257/'J) Plafonnement effort'!C257</f>
        <v>-9.9462890181622061</v>
      </c>
      <c r="G257" s="142">
        <f t="shared" si="13"/>
        <v>44.380115827706035</v>
      </c>
      <c r="H257" s="323">
        <f t="shared" si="14"/>
        <v>0</v>
      </c>
      <c r="I257" s="58">
        <f t="shared" si="15"/>
        <v>0</v>
      </c>
      <c r="J257" s="34">
        <f t="shared" si="16"/>
        <v>44.380115827706035</v>
      </c>
    </row>
    <row r="258" spans="1:10" x14ac:dyDescent="0.25">
      <c r="A258" s="50">
        <f>'A) Base RI'!A260</f>
        <v>5851</v>
      </c>
      <c r="B258" s="308" t="str">
        <f>'A) Base RI'!B260</f>
        <v>Allaman</v>
      </c>
      <c r="C258" s="99">
        <f>'B) D RI'!U260</f>
        <v>27785.537982029753</v>
      </c>
      <c r="D258" s="115">
        <f>'E) Fact soc'!G264/C258</f>
        <v>21.639486803742255</v>
      </c>
      <c r="E258" s="142">
        <f>'H) Péréquation directe'!I269/C258</f>
        <v>18.047819470680924</v>
      </c>
      <c r="F258" s="115">
        <f>+'I) Dépenses thématiques'!O258/'J) Plafonnement effort'!C258</f>
        <v>0</v>
      </c>
      <c r="G258" s="142">
        <f t="shared" si="13"/>
        <v>39.687306274423179</v>
      </c>
      <c r="H258" s="323">
        <f t="shared" si="14"/>
        <v>0</v>
      </c>
      <c r="I258" s="58">
        <f t="shared" si="15"/>
        <v>0</v>
      </c>
      <c r="J258" s="34">
        <f t="shared" si="16"/>
        <v>39.687306274423179</v>
      </c>
    </row>
    <row r="259" spans="1:10" x14ac:dyDescent="0.25">
      <c r="A259" s="50">
        <f>'A) Base RI'!A261</f>
        <v>5852</v>
      </c>
      <c r="B259" s="308" t="str">
        <f>'A) Base RI'!B261</f>
        <v>Bursinel</v>
      </c>
      <c r="C259" s="99">
        <f>'B) D RI'!U261</f>
        <v>38740.127027310053</v>
      </c>
      <c r="D259" s="115">
        <f>'E) Fact soc'!G265/C259</f>
        <v>63.179261320958972</v>
      </c>
      <c r="E259" s="142">
        <f>'H) Péréquation directe'!I270/C259</f>
        <v>18.456673056344979</v>
      </c>
      <c r="F259" s="115">
        <f>+'I) Dépenses thématiques'!O259/'J) Plafonnement effort'!C259</f>
        <v>0</v>
      </c>
      <c r="G259" s="142">
        <f t="shared" si="13"/>
        <v>81.635934377303954</v>
      </c>
      <c r="H259" s="323">
        <f t="shared" si="14"/>
        <v>-36.635934377303954</v>
      </c>
      <c r="I259" s="58">
        <f t="shared" si="15"/>
        <v>-1419280.7515409505</v>
      </c>
      <c r="J259" s="34">
        <f t="shared" si="16"/>
        <v>45</v>
      </c>
    </row>
    <row r="260" spans="1:10" x14ac:dyDescent="0.25">
      <c r="A260" s="50">
        <f>'A) Base RI'!A262</f>
        <v>5853</v>
      </c>
      <c r="B260" s="308" t="str">
        <f>'A) Base RI'!B262</f>
        <v>Bursins</v>
      </c>
      <c r="C260" s="99">
        <f>'B) D RI'!U262</f>
        <v>35932.419772150381</v>
      </c>
      <c r="D260" s="115">
        <f>'E) Fact soc'!G266/C260</f>
        <v>20.89374713383306</v>
      </c>
      <c r="E260" s="142">
        <f>'H) Péréquation directe'!I271/C260</f>
        <v>17.45187565948881</v>
      </c>
      <c r="F260" s="115">
        <f>+'I) Dépenses thématiques'!O260/'J) Plafonnement effort'!C260</f>
        <v>-0.23796007675844905</v>
      </c>
      <c r="G260" s="142">
        <f t="shared" si="13"/>
        <v>38.107662716563418</v>
      </c>
      <c r="H260" s="323">
        <f t="shared" si="14"/>
        <v>0</v>
      </c>
      <c r="I260" s="58">
        <f t="shared" si="15"/>
        <v>0</v>
      </c>
      <c r="J260" s="34">
        <f t="shared" si="16"/>
        <v>38.107662716563418</v>
      </c>
    </row>
    <row r="261" spans="1:10" x14ac:dyDescent="0.25">
      <c r="A261" s="50">
        <f>'A) Base RI'!A263</f>
        <v>5854</v>
      </c>
      <c r="B261" s="308" t="str">
        <f>'A) Base RI'!B263</f>
        <v>Burtigny</v>
      </c>
      <c r="C261" s="99">
        <f>'B) D RI'!U263</f>
        <v>9853.2751063664073</v>
      </c>
      <c r="D261" s="115">
        <f>'E) Fact soc'!G267/C261</f>
        <v>22.80010465248834</v>
      </c>
      <c r="E261" s="142">
        <f>'H) Péréquation directe'!I272/C261</f>
        <v>-1.2434449135336512</v>
      </c>
      <c r="F261" s="115">
        <f>+'I) Dépenses thématiques'!O261/'J) Plafonnement effort'!C261</f>
        <v>-4.9967496929006083</v>
      </c>
      <c r="G261" s="142">
        <f t="shared" si="13"/>
        <v>16.559910046054082</v>
      </c>
      <c r="H261" s="323">
        <f t="shared" si="14"/>
        <v>0</v>
      </c>
      <c r="I261" s="58">
        <f t="shared" si="15"/>
        <v>0</v>
      </c>
      <c r="J261" s="34">
        <f t="shared" si="16"/>
        <v>16.559910046054082</v>
      </c>
    </row>
    <row r="262" spans="1:10" x14ac:dyDescent="0.25">
      <c r="A262" s="50">
        <f>'A) Base RI'!A264</f>
        <v>5855</v>
      </c>
      <c r="B262" s="308" t="str">
        <f>'A) Base RI'!B264</f>
        <v>Dully</v>
      </c>
      <c r="C262" s="99">
        <f>'B) D RI'!U264</f>
        <v>78259.066078216143</v>
      </c>
      <c r="D262" s="115">
        <f>'E) Fact soc'!G268/C262</f>
        <v>29.312600492633802</v>
      </c>
      <c r="E262" s="142">
        <f>'H) Péréquation directe'!I273/C262</f>
        <v>19.002353813989583</v>
      </c>
      <c r="F262" s="115">
        <f>+'I) Dépenses thématiques'!O262/'J) Plafonnement effort'!C262</f>
        <v>0</v>
      </c>
      <c r="G262" s="142">
        <f t="shared" ref="G262:G313" si="17">SUM(D262:F262)</f>
        <v>48.314954306623385</v>
      </c>
      <c r="H262" s="323">
        <f t="shared" ref="H262:H313" si="18">IF(G262&gt;H$4,H$4-G262,0)</f>
        <v>-3.3149543066233846</v>
      </c>
      <c r="I262" s="58">
        <f t="shared" ref="I262:I313" si="19">H262*C262</f>
        <v>-259425.22812830663</v>
      </c>
      <c r="J262" s="34">
        <f t="shared" ref="J262:J313" si="20">G262+H262</f>
        <v>45</v>
      </c>
    </row>
    <row r="263" spans="1:10" x14ac:dyDescent="0.25">
      <c r="A263" s="50">
        <f>'A) Base RI'!A265</f>
        <v>5856</v>
      </c>
      <c r="B263" s="308" t="str">
        <f>'A) Base RI'!B265</f>
        <v>Essertines-sur-Rolle</v>
      </c>
      <c r="C263" s="99">
        <f>'B) D RI'!U265</f>
        <v>34358.63256703021</v>
      </c>
      <c r="D263" s="115">
        <f>'E) Fact soc'!G269/C263</f>
        <v>21.576523426730517</v>
      </c>
      <c r="E263" s="142">
        <f>'H) Péréquation directe'!I274/C263</f>
        <v>17.510712646819734</v>
      </c>
      <c r="F263" s="115">
        <f>+'I) Dépenses thématiques'!O263/'J) Plafonnement effort'!C263</f>
        <v>-0.29520833164797411</v>
      </c>
      <c r="G263" s="142">
        <f t="shared" si="17"/>
        <v>38.792027741902274</v>
      </c>
      <c r="H263" s="323">
        <f t="shared" si="18"/>
        <v>0</v>
      </c>
      <c r="I263" s="58">
        <f t="shared" si="19"/>
        <v>0</v>
      </c>
      <c r="J263" s="34">
        <f t="shared" si="20"/>
        <v>38.792027741902274</v>
      </c>
    </row>
    <row r="264" spans="1:10" x14ac:dyDescent="0.25">
      <c r="A264" s="50">
        <f>'A) Base RI'!A266</f>
        <v>5857</v>
      </c>
      <c r="B264" s="308" t="str">
        <f>'A) Base RI'!B266</f>
        <v>Gilly</v>
      </c>
      <c r="C264" s="99">
        <f>'B) D RI'!U266</f>
        <v>76506.459222154648</v>
      </c>
      <c r="D264" s="115">
        <f>'E) Fact soc'!G270/C264</f>
        <v>22.926325997038262</v>
      </c>
      <c r="E264" s="142">
        <f>'H) Péréquation directe'!I275/C264</f>
        <v>17.069386918466549</v>
      </c>
      <c r="F264" s="115">
        <f>+'I) Dépenses thématiques'!O264/'J) Plafonnement effort'!C264</f>
        <v>0</v>
      </c>
      <c r="G264" s="142">
        <f t="shared" si="17"/>
        <v>39.995712915504811</v>
      </c>
      <c r="H264" s="323">
        <f t="shared" si="18"/>
        <v>0</v>
      </c>
      <c r="I264" s="58">
        <f t="shared" si="19"/>
        <v>0</v>
      </c>
      <c r="J264" s="34">
        <f t="shared" si="20"/>
        <v>39.995712915504811</v>
      </c>
    </row>
    <row r="265" spans="1:10" x14ac:dyDescent="0.25">
      <c r="A265" s="50">
        <f>'A) Base RI'!A267</f>
        <v>5858</v>
      </c>
      <c r="B265" s="308" t="str">
        <f>'A) Base RI'!B267</f>
        <v>Luins</v>
      </c>
      <c r="C265" s="99">
        <f>'B) D RI'!U267</f>
        <v>34277.61170447935</v>
      </c>
      <c r="D265" s="115">
        <f>'E) Fact soc'!G271/C265</f>
        <v>19.994224867257167</v>
      </c>
      <c r="E265" s="142">
        <f>'H) Péréquation directe'!I276/C265</f>
        <v>17.821834842280044</v>
      </c>
      <c r="F265" s="115">
        <f>+'I) Dépenses thématiques'!O265/'J) Plafonnement effort'!C265</f>
        <v>0</v>
      </c>
      <c r="G265" s="142">
        <f t="shared" si="17"/>
        <v>37.816059709537214</v>
      </c>
      <c r="H265" s="323">
        <f t="shared" si="18"/>
        <v>0</v>
      </c>
      <c r="I265" s="58">
        <f t="shared" si="19"/>
        <v>0</v>
      </c>
      <c r="J265" s="34">
        <f t="shared" si="20"/>
        <v>37.816059709537214</v>
      </c>
    </row>
    <row r="266" spans="1:10" x14ac:dyDescent="0.25">
      <c r="A266" s="50">
        <f>'A) Base RI'!A268</f>
        <v>5859</v>
      </c>
      <c r="B266" s="308" t="str">
        <f>'A) Base RI'!B268</f>
        <v>Mont-sur-Rolle</v>
      </c>
      <c r="C266" s="99">
        <f>'B) D RI'!U268</f>
        <v>136265.21065164401</v>
      </c>
      <c r="D266" s="115">
        <f>'E) Fact soc'!G272/C266</f>
        <v>21.513197434820519</v>
      </c>
      <c r="E266" s="142">
        <f>'H) Péréquation directe'!I277/C266</f>
        <v>14.789695786000719</v>
      </c>
      <c r="F266" s="115">
        <f>+'I) Dépenses thématiques'!O266/'J) Plafonnement effort'!C266</f>
        <v>0</v>
      </c>
      <c r="G266" s="142">
        <f t="shared" si="17"/>
        <v>36.30289322082124</v>
      </c>
      <c r="H266" s="323">
        <f t="shared" si="18"/>
        <v>0</v>
      </c>
      <c r="I266" s="58">
        <f t="shared" si="19"/>
        <v>0</v>
      </c>
      <c r="J266" s="34">
        <f t="shared" si="20"/>
        <v>36.30289322082124</v>
      </c>
    </row>
    <row r="267" spans="1:10" x14ac:dyDescent="0.25">
      <c r="A267" s="50">
        <f>'A) Base RI'!A269</f>
        <v>5860</v>
      </c>
      <c r="B267" s="308" t="str">
        <f>'A) Base RI'!B269</f>
        <v>Perroy</v>
      </c>
      <c r="C267" s="99">
        <f>'B) D RI'!U269</f>
        <v>87566.238279299258</v>
      </c>
      <c r="D267" s="115">
        <f>'E) Fact soc'!G273/C267</f>
        <v>22.222528222973111</v>
      </c>
      <c r="E267" s="142">
        <f>'H) Péréquation directe'!I278/C267</f>
        <v>16.572358465259949</v>
      </c>
      <c r="F267" s="115">
        <f>+'I) Dépenses thématiques'!O267/'J) Plafonnement effort'!C267</f>
        <v>0</v>
      </c>
      <c r="G267" s="142">
        <f t="shared" si="17"/>
        <v>38.794886688233063</v>
      </c>
      <c r="H267" s="323">
        <f t="shared" si="18"/>
        <v>0</v>
      </c>
      <c r="I267" s="58">
        <f t="shared" si="19"/>
        <v>0</v>
      </c>
      <c r="J267" s="34">
        <f t="shared" si="20"/>
        <v>38.794886688233063</v>
      </c>
    </row>
    <row r="268" spans="1:10" x14ac:dyDescent="0.25">
      <c r="A268" s="50">
        <f>'A) Base RI'!A270</f>
        <v>5861</v>
      </c>
      <c r="B268" s="308" t="str">
        <f>'A) Base RI'!B270</f>
        <v>Rolle</v>
      </c>
      <c r="C268" s="99">
        <f>'B) D RI'!U270</f>
        <v>773954.77123318054</v>
      </c>
      <c r="D268" s="115">
        <f>'E) Fact soc'!G274/C268</f>
        <v>32.112045458055476</v>
      </c>
      <c r="E268" s="142">
        <f>'H) Péréquation directe'!I279/C268</f>
        <v>16.744503605925537</v>
      </c>
      <c r="F268" s="115">
        <f>+'I) Dépenses thématiques'!O268/'J) Plafonnement effort'!C268</f>
        <v>0</v>
      </c>
      <c r="G268" s="142">
        <f t="shared" si="17"/>
        <v>48.856549063981014</v>
      </c>
      <c r="H268" s="323">
        <f t="shared" si="18"/>
        <v>-3.8565490639810136</v>
      </c>
      <c r="I268" s="58">
        <f t="shared" si="19"/>
        <v>-2984794.5485629621</v>
      </c>
      <c r="J268" s="34">
        <f t="shared" si="20"/>
        <v>45</v>
      </c>
    </row>
    <row r="269" spans="1:10" x14ac:dyDescent="0.25">
      <c r="A269" s="50">
        <f>'A) Base RI'!A271</f>
        <v>5862</v>
      </c>
      <c r="B269" s="308" t="str">
        <f>'A) Base RI'!B271</f>
        <v>Tartegnin</v>
      </c>
      <c r="C269" s="99">
        <f>'B) D RI'!U271</f>
        <v>10589.245656408681</v>
      </c>
      <c r="D269" s="115">
        <f>'E) Fact soc'!G275/C269</f>
        <v>22.661718011623709</v>
      </c>
      <c r="E269" s="142">
        <f>'H) Péréquation directe'!I280/C269</f>
        <v>17.178823673510099</v>
      </c>
      <c r="F269" s="115">
        <f>+'I) Dépenses thématiques'!O269/'J) Plafonnement effort'!C269</f>
        <v>0</v>
      </c>
      <c r="G269" s="142">
        <f t="shared" si="17"/>
        <v>39.840541685133807</v>
      </c>
      <c r="H269" s="323">
        <f t="shared" si="18"/>
        <v>0</v>
      </c>
      <c r="I269" s="58">
        <f t="shared" si="19"/>
        <v>0</v>
      </c>
      <c r="J269" s="34">
        <f t="shared" si="20"/>
        <v>39.840541685133807</v>
      </c>
    </row>
    <row r="270" spans="1:10" x14ac:dyDescent="0.25">
      <c r="A270" s="50">
        <f>'A) Base RI'!A272</f>
        <v>5863</v>
      </c>
      <c r="B270" s="308" t="str">
        <f>'A) Base RI'!B272</f>
        <v>Vinzel</v>
      </c>
      <c r="C270" s="99">
        <f>'B) D RI'!U272</f>
        <v>22777.907701128508</v>
      </c>
      <c r="D270" s="115">
        <f>'E) Fact soc'!G276/C270</f>
        <v>20.433046681818446</v>
      </c>
      <c r="E270" s="142">
        <f>'H) Péréquation directe'!I281/C270</f>
        <v>18.000873643585667</v>
      </c>
      <c r="F270" s="115">
        <f>+'I) Dépenses thématiques'!O270/'J) Plafonnement effort'!C270</f>
        <v>-12.552549055199801</v>
      </c>
      <c r="G270" s="142">
        <f t="shared" si="17"/>
        <v>25.881371270204315</v>
      </c>
      <c r="H270" s="323">
        <f t="shared" si="18"/>
        <v>0</v>
      </c>
      <c r="I270" s="58">
        <f t="shared" si="19"/>
        <v>0</v>
      </c>
      <c r="J270" s="34">
        <f t="shared" si="20"/>
        <v>25.881371270204315</v>
      </c>
    </row>
    <row r="271" spans="1:10" x14ac:dyDescent="0.25">
      <c r="A271" s="50">
        <f>'A) Base RI'!A273</f>
        <v>5871</v>
      </c>
      <c r="B271" s="308" t="str">
        <f>'A) Base RI'!B273</f>
        <v>L'Abbaye</v>
      </c>
      <c r="C271" s="99">
        <f>'B) D RI'!U273</f>
        <v>46463.831419219103</v>
      </c>
      <c r="D271" s="115">
        <f>'E) Fact soc'!G277/C271</f>
        <v>23.090662392366688</v>
      </c>
      <c r="E271" s="142">
        <f>'H) Péréquation directe'!I282/C271</f>
        <v>2.9406071405427019</v>
      </c>
      <c r="F271" s="115">
        <f>+'I) Dépenses thématiques'!O271/'J) Plafonnement effort'!C271</f>
        <v>-8.2995579509006081</v>
      </c>
      <c r="G271" s="142">
        <f t="shared" si="17"/>
        <v>17.731711582008785</v>
      </c>
      <c r="H271" s="323">
        <f t="shared" si="18"/>
        <v>0</v>
      </c>
      <c r="I271" s="58">
        <f t="shared" si="19"/>
        <v>0</v>
      </c>
      <c r="J271" s="34">
        <f t="shared" si="20"/>
        <v>17.731711582008785</v>
      </c>
    </row>
    <row r="272" spans="1:10" x14ac:dyDescent="0.25">
      <c r="A272" s="50">
        <f>'A) Base RI'!A274</f>
        <v>5872</v>
      </c>
      <c r="B272" s="308" t="str">
        <f>'A) Base RI'!B274</f>
        <v>Le Chenit</v>
      </c>
      <c r="C272" s="99">
        <f>'B) D RI'!U274</f>
        <v>203474.88252883923</v>
      </c>
      <c r="D272" s="115">
        <f>'E) Fact soc'!G278/C272</f>
        <v>24.843805802579759</v>
      </c>
      <c r="E272" s="142">
        <f>'H) Péréquation directe'!I283/C272</f>
        <v>11.612094382517125</v>
      </c>
      <c r="F272" s="115">
        <f>+'I) Dépenses thématiques'!O272/'J) Plafonnement effort'!C272</f>
        <v>-9.7789627309322427</v>
      </c>
      <c r="G272" s="142">
        <f t="shared" si="17"/>
        <v>26.676937454164637</v>
      </c>
      <c r="H272" s="323">
        <f t="shared" si="18"/>
        <v>0</v>
      </c>
      <c r="I272" s="58">
        <f t="shared" si="19"/>
        <v>0</v>
      </c>
      <c r="J272" s="34">
        <f t="shared" si="20"/>
        <v>26.676937454164637</v>
      </c>
    </row>
    <row r="273" spans="1:10" x14ac:dyDescent="0.25">
      <c r="A273" s="50">
        <f>'A) Base RI'!A275</f>
        <v>5873</v>
      </c>
      <c r="B273" s="308" t="str">
        <f>'A) Base RI'!B275</f>
        <v>Le Lieu</v>
      </c>
      <c r="C273" s="99">
        <f>'B) D RI'!U275</f>
        <v>32044.127943123549</v>
      </c>
      <c r="D273" s="115">
        <f>'E) Fact soc'!G279/C273</f>
        <v>24.558830062208969</v>
      </c>
      <c r="E273" s="142">
        <f>'H) Péréquation directe'!I284/C273</f>
        <v>12.856939451597256</v>
      </c>
      <c r="F273" s="115">
        <f>+'I) Dépenses thématiques'!O273/'J) Plafonnement effort'!C273</f>
        <v>-24.21513507127381</v>
      </c>
      <c r="G273" s="142">
        <f t="shared" si="17"/>
        <v>13.200634442532415</v>
      </c>
      <c r="H273" s="323">
        <f t="shared" si="18"/>
        <v>0</v>
      </c>
      <c r="I273" s="58">
        <f t="shared" si="19"/>
        <v>0</v>
      </c>
      <c r="J273" s="34">
        <f t="shared" si="20"/>
        <v>13.200634442532415</v>
      </c>
    </row>
    <row r="274" spans="1:10" x14ac:dyDescent="0.25">
      <c r="A274" s="50">
        <f>'A) Base RI'!A276</f>
        <v>5881</v>
      </c>
      <c r="B274" s="308" t="str">
        <f>'A) Base RI'!B276</f>
        <v>Blonay</v>
      </c>
      <c r="C274" s="99">
        <f>'B) D RI'!U276</f>
        <v>337666.7615162601</v>
      </c>
      <c r="D274" s="115">
        <f>'E) Fact soc'!G280/C274</f>
        <v>20.145822522442366</v>
      </c>
      <c r="E274" s="142">
        <f>'H) Péréquation directe'!I285/C274</f>
        <v>12.596074720492217</v>
      </c>
      <c r="F274" s="115">
        <f>+'I) Dépenses thématiques'!O274/'J) Plafonnement effort'!C274</f>
        <v>-2.7609361240619212</v>
      </c>
      <c r="G274" s="142">
        <f t="shared" si="17"/>
        <v>29.980961118872663</v>
      </c>
      <c r="H274" s="323">
        <f t="shared" si="18"/>
        <v>0</v>
      </c>
      <c r="I274" s="58">
        <f t="shared" si="19"/>
        <v>0</v>
      </c>
      <c r="J274" s="34">
        <f t="shared" si="20"/>
        <v>29.980961118872663</v>
      </c>
    </row>
    <row r="275" spans="1:10" x14ac:dyDescent="0.25">
      <c r="A275" s="50">
        <f>'A) Base RI'!A277</f>
        <v>5882</v>
      </c>
      <c r="B275" s="308" t="str">
        <f>'A) Base RI'!B277</f>
        <v>Chardonne</v>
      </c>
      <c r="C275" s="99">
        <f>'B) D RI'!U277</f>
        <v>156481.45987298383</v>
      </c>
      <c r="D275" s="115">
        <f>'E) Fact soc'!G281/C275</f>
        <v>26.092691984623077</v>
      </c>
      <c r="E275" s="142">
        <f>'H) Péréquation directe'!I286/C275</f>
        <v>14.978281762077248</v>
      </c>
      <c r="F275" s="115">
        <f>+'I) Dépenses thématiques'!O275/'J) Plafonnement effort'!C275</f>
        <v>-1.8528120903104692</v>
      </c>
      <c r="G275" s="142">
        <f t="shared" si="17"/>
        <v>39.218161656389853</v>
      </c>
      <c r="H275" s="323">
        <f t="shared" si="18"/>
        <v>0</v>
      </c>
      <c r="I275" s="58">
        <f t="shared" si="19"/>
        <v>0</v>
      </c>
      <c r="J275" s="34">
        <f t="shared" si="20"/>
        <v>39.218161656389853</v>
      </c>
    </row>
    <row r="276" spans="1:10" x14ac:dyDescent="0.25">
      <c r="A276" s="50">
        <f>'A) Base RI'!A278</f>
        <v>5883</v>
      </c>
      <c r="B276" s="308" t="str">
        <f>'A) Base RI'!B278</f>
        <v>Corseaux</v>
      </c>
      <c r="C276" s="99">
        <f>'B) D RI'!U278</f>
        <v>150144.54939318728</v>
      </c>
      <c r="D276" s="115">
        <f>'E) Fact soc'!G282/C276</f>
        <v>24.128417896968827</v>
      </c>
      <c r="E276" s="142">
        <f>'H) Péréquation directe'!I287/C276</f>
        <v>16.221282041820295</v>
      </c>
      <c r="F276" s="115">
        <f>+'I) Dépenses thématiques'!O276/'J) Plafonnement effort'!C276</f>
        <v>0</v>
      </c>
      <c r="G276" s="142">
        <f t="shared" si="17"/>
        <v>40.349699938789122</v>
      </c>
      <c r="H276" s="323">
        <f t="shared" si="18"/>
        <v>0</v>
      </c>
      <c r="I276" s="58">
        <f t="shared" si="19"/>
        <v>0</v>
      </c>
      <c r="J276" s="34">
        <f t="shared" si="20"/>
        <v>40.349699938789122</v>
      </c>
    </row>
    <row r="277" spans="1:10" x14ac:dyDescent="0.25">
      <c r="A277" s="50">
        <f>'A) Base RI'!A279</f>
        <v>5884</v>
      </c>
      <c r="B277" s="308" t="str">
        <f>'A) Base RI'!B279</f>
        <v>Corsier-sur-Vevey</v>
      </c>
      <c r="C277" s="99">
        <f>'B) D RI'!U279</f>
        <v>120582.14380721933</v>
      </c>
      <c r="D277" s="115">
        <f>'E) Fact soc'!G283/C277</f>
        <v>19.276971310507356</v>
      </c>
      <c r="E277" s="142">
        <f>'H) Péréquation directe'!I288/C277</f>
        <v>6.8874523181228131</v>
      </c>
      <c r="F277" s="115">
        <f>+'I) Dépenses thématiques'!O277/'J) Plafonnement effort'!C277</f>
        <v>-9.4433126763542372</v>
      </c>
      <c r="G277" s="142">
        <f t="shared" si="17"/>
        <v>16.721110952275929</v>
      </c>
      <c r="H277" s="323">
        <f t="shared" si="18"/>
        <v>0</v>
      </c>
      <c r="I277" s="58">
        <f t="shared" si="19"/>
        <v>0</v>
      </c>
      <c r="J277" s="34">
        <f t="shared" si="20"/>
        <v>16.721110952275929</v>
      </c>
    </row>
    <row r="278" spans="1:10" x14ac:dyDescent="0.25">
      <c r="A278" s="50">
        <f>'A) Base RI'!A280</f>
        <v>5885</v>
      </c>
      <c r="B278" s="308" t="str">
        <f>'A) Base RI'!B280</f>
        <v>Jongny</v>
      </c>
      <c r="C278" s="99">
        <f>'B) D RI'!U280</f>
        <v>92637.81830716609</v>
      </c>
      <c r="D278" s="115">
        <f>'E) Fact soc'!G284/C278</f>
        <v>23.46900089195832</v>
      </c>
      <c r="E278" s="142">
        <f>'H) Péréquation directe'!I289/C278</f>
        <v>16.630041345028641</v>
      </c>
      <c r="F278" s="115">
        <f>+'I) Dépenses thématiques'!O278/'J) Plafonnement effort'!C278</f>
        <v>-0.18923254538311385</v>
      </c>
      <c r="G278" s="142">
        <f t="shared" si="17"/>
        <v>39.909809691603847</v>
      </c>
      <c r="H278" s="323">
        <f t="shared" si="18"/>
        <v>0</v>
      </c>
      <c r="I278" s="58">
        <f t="shared" si="19"/>
        <v>0</v>
      </c>
      <c r="J278" s="34">
        <f t="shared" si="20"/>
        <v>39.909809691603847</v>
      </c>
    </row>
    <row r="279" spans="1:10" x14ac:dyDescent="0.25">
      <c r="A279" s="50">
        <f>'A) Base RI'!A281</f>
        <v>5886</v>
      </c>
      <c r="B279" s="308" t="str">
        <f>'A) Base RI'!B281</f>
        <v>Montreux</v>
      </c>
      <c r="C279" s="99">
        <f>'B) D RI'!U281</f>
        <v>1120957.3291830304</v>
      </c>
      <c r="D279" s="115">
        <f>'E) Fact soc'!G285/C279</f>
        <v>23.031690178272491</v>
      </c>
      <c r="E279" s="142">
        <f>'H) Péréquation directe'!I290/C279</f>
        <v>-0.65121375030455764</v>
      </c>
      <c r="F279" s="115">
        <f>+'I) Dépenses thématiques'!O279/'J) Plafonnement effort'!C279</f>
        <v>-5.3349557760356863</v>
      </c>
      <c r="G279" s="142">
        <f t="shared" si="17"/>
        <v>17.04552065193225</v>
      </c>
      <c r="H279" s="323">
        <f t="shared" si="18"/>
        <v>0</v>
      </c>
      <c r="I279" s="58">
        <f t="shared" si="19"/>
        <v>0</v>
      </c>
      <c r="J279" s="34">
        <f t="shared" si="20"/>
        <v>17.04552065193225</v>
      </c>
    </row>
    <row r="280" spans="1:10" x14ac:dyDescent="0.25">
      <c r="A280" s="50">
        <f>'A) Base RI'!A282</f>
        <v>5888</v>
      </c>
      <c r="B280" s="308" t="str">
        <f>'A) Base RI'!B282</f>
        <v>Saint-Légier-La Chiésaz</v>
      </c>
      <c r="C280" s="99">
        <f>'B) D RI'!U282</f>
        <v>291113.86411428853</v>
      </c>
      <c r="D280" s="115">
        <f>'E) Fact soc'!G286/C280</f>
        <v>22.120185477063583</v>
      </c>
      <c r="E280" s="142">
        <f>'H) Péréquation directe'!I291/C280</f>
        <v>13.478876360590188</v>
      </c>
      <c r="F280" s="115">
        <f>+'I) Dépenses thématiques'!O280/'J) Plafonnement effort'!C280</f>
        <v>-1.0744072696980558</v>
      </c>
      <c r="G280" s="142">
        <f t="shared" si="17"/>
        <v>34.524654567955714</v>
      </c>
      <c r="H280" s="323">
        <f t="shared" si="18"/>
        <v>0</v>
      </c>
      <c r="I280" s="58">
        <f t="shared" si="19"/>
        <v>0</v>
      </c>
      <c r="J280" s="34">
        <f t="shared" si="20"/>
        <v>34.524654567955714</v>
      </c>
    </row>
    <row r="281" spans="1:10" x14ac:dyDescent="0.25">
      <c r="A281" s="50">
        <f>'A) Base RI'!A283</f>
        <v>5889</v>
      </c>
      <c r="B281" s="308" t="str">
        <f>'A) Base RI'!B283</f>
        <v>La Tour-de-Peilz</v>
      </c>
      <c r="C281" s="99">
        <f>'B) D RI'!U283</f>
        <v>674531.22490925156</v>
      </c>
      <c r="D281" s="115">
        <f>'E) Fact soc'!G287/C281</f>
        <v>21.467135248881615</v>
      </c>
      <c r="E281" s="142">
        <f>'H) Péréquation directe'!I292/C281</f>
        <v>10.364629515756917</v>
      </c>
      <c r="F281" s="115">
        <f>+'I) Dépenses thématiques'!O281/'J) Plafonnement effort'!C281</f>
        <v>0</v>
      </c>
      <c r="G281" s="142">
        <f t="shared" si="17"/>
        <v>31.831764764638532</v>
      </c>
      <c r="H281" s="323">
        <f t="shared" si="18"/>
        <v>0</v>
      </c>
      <c r="I281" s="58">
        <f t="shared" si="19"/>
        <v>0</v>
      </c>
      <c r="J281" s="34">
        <f t="shared" si="20"/>
        <v>31.831764764638532</v>
      </c>
    </row>
    <row r="282" spans="1:10" x14ac:dyDescent="0.25">
      <c r="A282" s="50">
        <f>'A) Base RI'!A284</f>
        <v>5890</v>
      </c>
      <c r="B282" s="308" t="str">
        <f>'A) Base RI'!B284</f>
        <v>Vevey</v>
      </c>
      <c r="C282" s="99">
        <f>'B) D RI'!U284</f>
        <v>953247.91463963222</v>
      </c>
      <c r="D282" s="115">
        <f>'E) Fact soc'!G288/C282</f>
        <v>19.860438956607499</v>
      </c>
      <c r="E282" s="142">
        <f>'H) Péréquation directe'!I293/C282</f>
        <v>4.6267234708495568</v>
      </c>
      <c r="F282" s="115">
        <f>+'I) Dépenses thématiques'!O282/'J) Plafonnement effort'!C282</f>
        <v>-2.0834677229931535</v>
      </c>
      <c r="G282" s="142">
        <f t="shared" si="17"/>
        <v>22.403694704463906</v>
      </c>
      <c r="H282" s="323">
        <f t="shared" si="18"/>
        <v>0</v>
      </c>
      <c r="I282" s="58">
        <f t="shared" si="19"/>
        <v>0</v>
      </c>
      <c r="J282" s="34">
        <f t="shared" si="20"/>
        <v>22.403694704463906</v>
      </c>
    </row>
    <row r="283" spans="1:10" x14ac:dyDescent="0.25">
      <c r="A283" s="50">
        <f>'A) Base RI'!A285</f>
        <v>5891</v>
      </c>
      <c r="B283" s="308" t="str">
        <f>'A) Base RI'!B285</f>
        <v>Veytaux</v>
      </c>
      <c r="C283" s="99">
        <f>'B) D RI'!U285</f>
        <v>35139.330604262883</v>
      </c>
      <c r="D283" s="115">
        <f>'E) Fact soc'!G289/C283</f>
        <v>19.238774325542227</v>
      </c>
      <c r="E283" s="142">
        <f>'H) Péréquation directe'!I294/C283</f>
        <v>14.688196696167546</v>
      </c>
      <c r="F283" s="115">
        <f>+'I) Dépenses thématiques'!O283/'J) Plafonnement effort'!C283</f>
        <v>-9.0612787137896813</v>
      </c>
      <c r="G283" s="142">
        <f t="shared" si="17"/>
        <v>24.865692307920092</v>
      </c>
      <c r="H283" s="323">
        <f t="shared" si="18"/>
        <v>0</v>
      </c>
      <c r="I283" s="58">
        <f t="shared" si="19"/>
        <v>0</v>
      </c>
      <c r="J283" s="34">
        <f t="shared" si="20"/>
        <v>24.865692307920092</v>
      </c>
    </row>
    <row r="284" spans="1:10" x14ac:dyDescent="0.25">
      <c r="A284" s="50">
        <f>'A) Base RI'!A286</f>
        <v>5902</v>
      </c>
      <c r="B284" s="308" t="str">
        <f>'A) Base RI'!B286</f>
        <v>Belmont-sur-Yverdon</v>
      </c>
      <c r="C284" s="99">
        <f>'B) D RI'!U286</f>
        <v>9890.2176826722334</v>
      </c>
      <c r="D284" s="115">
        <f>'E) Fact soc'!G290/C284</f>
        <v>18.983008961811848</v>
      </c>
      <c r="E284" s="142">
        <f>'H) Péréquation directe'!I295/C284</f>
        <v>-1.4522803641573827</v>
      </c>
      <c r="F284" s="115">
        <f>+'I) Dépenses thématiques'!O284/'J) Plafonnement effort'!C284</f>
        <v>-36.473694737171471</v>
      </c>
      <c r="G284" s="142">
        <f t="shared" si="17"/>
        <v>-18.942966139517004</v>
      </c>
      <c r="H284" s="323">
        <f t="shared" si="18"/>
        <v>0</v>
      </c>
      <c r="I284" s="58">
        <f t="shared" si="19"/>
        <v>0</v>
      </c>
      <c r="J284" s="34">
        <f t="shared" si="20"/>
        <v>-18.942966139517004</v>
      </c>
    </row>
    <row r="285" spans="1:10" x14ac:dyDescent="0.25">
      <c r="A285" s="50">
        <f>'A) Base RI'!A287</f>
        <v>5903</v>
      </c>
      <c r="B285" s="308" t="str">
        <f>'A) Base RI'!B287</f>
        <v>Bioley-Magnoux</v>
      </c>
      <c r="C285" s="99">
        <f>'B) D RI'!U287</f>
        <v>5925.8519470372794</v>
      </c>
      <c r="D285" s="115">
        <f>'E) Fact soc'!G291/C285</f>
        <v>18.391161294765656</v>
      </c>
      <c r="E285" s="142">
        <f>'H) Péréquation directe'!I296/C285</f>
        <v>-0.30488483872019839</v>
      </c>
      <c r="F285" s="115">
        <f>+'I) Dépenses thématiques'!O285/'J) Plafonnement effort'!C285</f>
        <v>-49.616198984602931</v>
      </c>
      <c r="G285" s="142">
        <f t="shared" si="17"/>
        <v>-31.529922528557474</v>
      </c>
      <c r="H285" s="323">
        <f t="shared" si="18"/>
        <v>0</v>
      </c>
      <c r="I285" s="58">
        <f t="shared" si="19"/>
        <v>0</v>
      </c>
      <c r="J285" s="34">
        <f t="shared" si="20"/>
        <v>-31.529922528557474</v>
      </c>
    </row>
    <row r="286" spans="1:10" x14ac:dyDescent="0.25">
      <c r="A286" s="50">
        <f>'A) Base RI'!A288</f>
        <v>5904</v>
      </c>
      <c r="B286" s="308" t="str">
        <f>'A) Base RI'!B288</f>
        <v>Chamblon</v>
      </c>
      <c r="C286" s="99">
        <f>'B) D RI'!U288</f>
        <v>21650.618671075306</v>
      </c>
      <c r="D286" s="115">
        <f>'E) Fact soc'!G292/C286</f>
        <v>18.145162259791249</v>
      </c>
      <c r="E286" s="142">
        <f>'H) Péréquation directe'!I297/C286</f>
        <v>14.966463514477685</v>
      </c>
      <c r="F286" s="115">
        <f>+'I) Dépenses thématiques'!O286/'J) Plafonnement effort'!C286</f>
        <v>0</v>
      </c>
      <c r="G286" s="142">
        <f t="shared" si="17"/>
        <v>33.11162577426893</v>
      </c>
      <c r="H286" s="323">
        <f t="shared" si="18"/>
        <v>0</v>
      </c>
      <c r="I286" s="58">
        <f t="shared" si="19"/>
        <v>0</v>
      </c>
      <c r="J286" s="34">
        <f t="shared" si="20"/>
        <v>33.11162577426893</v>
      </c>
    </row>
    <row r="287" spans="1:10" x14ac:dyDescent="0.25">
      <c r="A287" s="50">
        <f>'A) Base RI'!A289</f>
        <v>5905</v>
      </c>
      <c r="B287" s="308" t="str">
        <f>'A) Base RI'!B289</f>
        <v>Champvent</v>
      </c>
      <c r="C287" s="99">
        <f>'B) D RI'!U289</f>
        <v>22161.114023042239</v>
      </c>
      <c r="D287" s="115">
        <f>'E) Fact soc'!G293/C287</f>
        <v>18.394057225246875</v>
      </c>
      <c r="E287" s="142">
        <f>'H) Péréquation directe'!I298/C287</f>
        <v>8.9579181763522051</v>
      </c>
      <c r="F287" s="115">
        <f>+'I) Dépenses thématiques'!O287/'J) Plafonnement effort'!C287</f>
        <v>-3.5016732581123176</v>
      </c>
      <c r="G287" s="142">
        <f t="shared" si="17"/>
        <v>23.850302143486765</v>
      </c>
      <c r="H287" s="323">
        <f t="shared" si="18"/>
        <v>0</v>
      </c>
      <c r="I287" s="58">
        <f t="shared" si="19"/>
        <v>0</v>
      </c>
      <c r="J287" s="34">
        <f t="shared" si="20"/>
        <v>23.850302143486765</v>
      </c>
    </row>
    <row r="288" spans="1:10" x14ac:dyDescent="0.25">
      <c r="A288" s="50">
        <f>'A) Base RI'!A290</f>
        <v>5907</v>
      </c>
      <c r="B288" s="308" t="str">
        <f>'A) Base RI'!B290</f>
        <v>Chavannes-le-Chêne</v>
      </c>
      <c r="C288" s="99">
        <f>'B) D RI'!U290</f>
        <v>8634.8729280902389</v>
      </c>
      <c r="D288" s="115">
        <f>'E) Fact soc'!G294/C288</f>
        <v>16.537001955807881</v>
      </c>
      <c r="E288" s="142">
        <f>'H) Péréquation directe'!I299/C288</f>
        <v>2.1738181001274857</v>
      </c>
      <c r="F288" s="115">
        <f>+'I) Dépenses thématiques'!O288/'J) Plafonnement effort'!C288</f>
        <v>-9.4610086813934338</v>
      </c>
      <c r="G288" s="142">
        <f t="shared" si="17"/>
        <v>9.249811374541931</v>
      </c>
      <c r="H288" s="323">
        <f t="shared" si="18"/>
        <v>0</v>
      </c>
      <c r="I288" s="58">
        <f t="shared" si="19"/>
        <v>0</v>
      </c>
      <c r="J288" s="34">
        <f t="shared" si="20"/>
        <v>9.249811374541931</v>
      </c>
    </row>
    <row r="289" spans="1:10" x14ac:dyDescent="0.25">
      <c r="A289" s="50">
        <f>'A) Base RI'!A291</f>
        <v>5908</v>
      </c>
      <c r="B289" s="308" t="str">
        <f>'A) Base RI'!B291</f>
        <v>Chêne-Pâquier</v>
      </c>
      <c r="C289" s="99">
        <f>'B) D RI'!U291</f>
        <v>2752.8487805406176</v>
      </c>
      <c r="D289" s="115">
        <f>'E) Fact soc'!G295/C289</f>
        <v>16.291934232245946</v>
      </c>
      <c r="E289" s="142">
        <f>'H) Péréquation directe'!I300/C289</f>
        <v>-18.103693719505916</v>
      </c>
      <c r="F289" s="115">
        <f>+'I) Dépenses thématiques'!O289/'J) Plafonnement effort'!C289</f>
        <v>-12.804742846945759</v>
      </c>
      <c r="G289" s="142">
        <f t="shared" si="17"/>
        <v>-14.616502334205729</v>
      </c>
      <c r="H289" s="323">
        <f t="shared" si="18"/>
        <v>0</v>
      </c>
      <c r="I289" s="58">
        <f t="shared" si="19"/>
        <v>0</v>
      </c>
      <c r="J289" s="34">
        <f t="shared" si="20"/>
        <v>-14.616502334205729</v>
      </c>
    </row>
    <row r="290" spans="1:10" x14ac:dyDescent="0.25">
      <c r="A290" s="50">
        <f>'A) Base RI'!A292</f>
        <v>5909</v>
      </c>
      <c r="B290" s="308" t="str">
        <f>'A) Base RI'!B292</f>
        <v>Cheseaux-Noréaz</v>
      </c>
      <c r="C290" s="99">
        <f>'B) D RI'!U292</f>
        <v>27860.638922764225</v>
      </c>
      <c r="D290" s="115">
        <f>'E) Fact soc'!G296/C290</f>
        <v>20.702161979874347</v>
      </c>
      <c r="E290" s="142">
        <f>'H) Péréquation directe'!I301/C290</f>
        <v>14.073096209821085</v>
      </c>
      <c r="F290" s="115">
        <f>+'I) Dépenses thématiques'!O290/'J) Plafonnement effort'!C290</f>
        <v>-4.3302997033868715</v>
      </c>
      <c r="G290" s="142">
        <f t="shared" si="17"/>
        <v>30.444958486308565</v>
      </c>
      <c r="H290" s="323">
        <f t="shared" si="18"/>
        <v>0</v>
      </c>
      <c r="I290" s="58">
        <f t="shared" si="19"/>
        <v>0</v>
      </c>
      <c r="J290" s="34">
        <f t="shared" si="20"/>
        <v>30.444958486308565</v>
      </c>
    </row>
    <row r="291" spans="1:10" x14ac:dyDescent="0.25">
      <c r="A291" s="50">
        <f>'A) Base RI'!A293</f>
        <v>5910</v>
      </c>
      <c r="B291" s="308" t="str">
        <f>'A) Base RI'!B293</f>
        <v>Cronay</v>
      </c>
      <c r="C291" s="99">
        <f>'B) D RI'!U293</f>
        <v>10082.92355515589</v>
      </c>
      <c r="D291" s="115">
        <f>'E) Fact soc'!G297/C291</f>
        <v>16.195211173734641</v>
      </c>
      <c r="E291" s="142">
        <f>'H) Péréquation directe'!I302/C291</f>
        <v>-2.1368729697740401</v>
      </c>
      <c r="F291" s="115">
        <f>+'I) Dépenses thématiques'!O291/'J) Plafonnement effort'!C291</f>
        <v>-9.3403481130767787</v>
      </c>
      <c r="G291" s="142">
        <f t="shared" si="17"/>
        <v>4.7179900908838235</v>
      </c>
      <c r="H291" s="323">
        <f t="shared" si="18"/>
        <v>0</v>
      </c>
      <c r="I291" s="58">
        <f t="shared" si="19"/>
        <v>0</v>
      </c>
      <c r="J291" s="34">
        <f t="shared" si="20"/>
        <v>4.7179900908838235</v>
      </c>
    </row>
    <row r="292" spans="1:10" x14ac:dyDescent="0.25">
      <c r="A292" s="50">
        <f>'A) Base RI'!A294</f>
        <v>5911</v>
      </c>
      <c r="B292" s="308" t="str">
        <f>'A) Base RI'!B294</f>
        <v>Cuarny</v>
      </c>
      <c r="C292" s="99">
        <f>'B) D RI'!U294</f>
        <v>7082.7432735873799</v>
      </c>
      <c r="D292" s="115">
        <f>'E) Fact soc'!G298/C292</f>
        <v>16.523664910363355</v>
      </c>
      <c r="E292" s="142">
        <f>'H) Péréquation directe'!I303/C292</f>
        <v>2.4280140134078874</v>
      </c>
      <c r="F292" s="115">
        <f>+'I) Dépenses thématiques'!O292/'J) Plafonnement effort'!C292</f>
        <v>-2.9588440656088739</v>
      </c>
      <c r="G292" s="142">
        <f t="shared" si="17"/>
        <v>15.992834858162366</v>
      </c>
      <c r="H292" s="323">
        <f t="shared" si="18"/>
        <v>0</v>
      </c>
      <c r="I292" s="58">
        <f t="shared" si="19"/>
        <v>0</v>
      </c>
      <c r="J292" s="34">
        <f t="shared" si="20"/>
        <v>15.992834858162366</v>
      </c>
    </row>
    <row r="293" spans="1:10" x14ac:dyDescent="0.25">
      <c r="A293" s="50">
        <f>'A) Base RI'!A295</f>
        <v>5912</v>
      </c>
      <c r="B293" s="308" t="str">
        <f>'A) Base RI'!B295</f>
        <v>Démoret</v>
      </c>
      <c r="C293" s="99">
        <f>'B) D RI'!U295</f>
        <v>3186.2414803898018</v>
      </c>
      <c r="D293" s="115">
        <f>'E) Fact soc'!G299/C293</f>
        <v>18.013969721752598</v>
      </c>
      <c r="E293" s="142">
        <f>'H) Péréquation directe'!I304/C293</f>
        <v>-13.645044142971566</v>
      </c>
      <c r="F293" s="115">
        <f>+'I) Dépenses thématiques'!O293/'J) Plafonnement effort'!C293</f>
        <v>-4.7992498320738983</v>
      </c>
      <c r="G293" s="142">
        <f t="shared" si="17"/>
        <v>-0.4303242532928655</v>
      </c>
      <c r="H293" s="323">
        <f t="shared" si="18"/>
        <v>0</v>
      </c>
      <c r="I293" s="58">
        <f t="shared" si="19"/>
        <v>0</v>
      </c>
      <c r="J293" s="34">
        <f t="shared" si="20"/>
        <v>-0.4303242532928655</v>
      </c>
    </row>
    <row r="294" spans="1:10" x14ac:dyDescent="0.25">
      <c r="A294" s="50">
        <f>'A) Base RI'!A296</f>
        <v>5913</v>
      </c>
      <c r="B294" s="308" t="str">
        <f>'A) Base RI'!B296</f>
        <v>Donneloye</v>
      </c>
      <c r="C294" s="99">
        <f>'B) D RI'!U296</f>
        <v>20035.3963318641</v>
      </c>
      <c r="D294" s="115">
        <f>'E) Fact soc'!G300/C294</f>
        <v>18.016455127954877</v>
      </c>
      <c r="E294" s="142">
        <f>'H) Péréquation directe'!I305/C294</f>
        <v>-2.7100688878577941</v>
      </c>
      <c r="F294" s="115">
        <f>+'I) Dépenses thématiques'!O294/'J) Plafonnement effort'!C294</f>
        <v>-6.4212892337601897</v>
      </c>
      <c r="G294" s="142">
        <f t="shared" si="17"/>
        <v>8.8850970063368937</v>
      </c>
      <c r="H294" s="323">
        <f t="shared" si="18"/>
        <v>0</v>
      </c>
      <c r="I294" s="58">
        <f t="shared" si="19"/>
        <v>0</v>
      </c>
      <c r="J294" s="34">
        <f t="shared" si="20"/>
        <v>8.8850970063368937</v>
      </c>
    </row>
    <row r="295" spans="1:10" x14ac:dyDescent="0.25">
      <c r="A295" s="50">
        <f>'A) Base RI'!A297</f>
        <v>5914</v>
      </c>
      <c r="B295" s="308" t="str">
        <f>'A) Base RI'!B297</f>
        <v>Ependes</v>
      </c>
      <c r="C295" s="99">
        <f>'B) D RI'!U297</f>
        <v>10170.223624242424</v>
      </c>
      <c r="D295" s="115">
        <f>'E) Fact soc'!G301/C295</f>
        <v>17.630596774594206</v>
      </c>
      <c r="E295" s="142">
        <f>'H) Péréquation directe'!I306/C295</f>
        <v>2.0796539253006676</v>
      </c>
      <c r="F295" s="115">
        <f>+'I) Dépenses thématiques'!O295/'J) Plafonnement effort'!C295</f>
        <v>-6.7351017113417688</v>
      </c>
      <c r="G295" s="142">
        <f t="shared" si="17"/>
        <v>12.975148988553105</v>
      </c>
      <c r="H295" s="323">
        <f t="shared" si="18"/>
        <v>0</v>
      </c>
      <c r="I295" s="58">
        <f t="shared" si="19"/>
        <v>0</v>
      </c>
      <c r="J295" s="34">
        <f t="shared" si="20"/>
        <v>12.975148988553105</v>
      </c>
    </row>
    <row r="296" spans="1:10" x14ac:dyDescent="0.25">
      <c r="A296" s="50">
        <f>'A) Base RI'!A298</f>
        <v>5919</v>
      </c>
      <c r="B296" s="308" t="str">
        <f>'A) Base RI'!B298</f>
        <v>Mathod</v>
      </c>
      <c r="C296" s="99">
        <f>'B) D RI'!U298</f>
        <v>15960.347228765168</v>
      </c>
      <c r="D296" s="115">
        <f>'E) Fact soc'!G302/C296</f>
        <v>16.555774683401815</v>
      </c>
      <c r="E296" s="142">
        <f>'H) Péréquation directe'!I307/C296</f>
        <v>-0.19961222046554813</v>
      </c>
      <c r="F296" s="115">
        <f>+'I) Dépenses thématiques'!O296/'J) Plafonnement effort'!C296</f>
        <v>-16.060375313478744</v>
      </c>
      <c r="G296" s="142">
        <f t="shared" si="17"/>
        <v>0.29578714945752438</v>
      </c>
      <c r="H296" s="323">
        <f t="shared" si="18"/>
        <v>0</v>
      </c>
      <c r="I296" s="58">
        <f t="shared" si="19"/>
        <v>0</v>
      </c>
      <c r="J296" s="34">
        <f t="shared" si="20"/>
        <v>0.29578714945752438</v>
      </c>
    </row>
    <row r="297" spans="1:10" x14ac:dyDescent="0.25">
      <c r="A297" s="50">
        <f>'A) Base RI'!A299</f>
        <v>5921</v>
      </c>
      <c r="B297" s="308" t="str">
        <f>'A) Base RI'!B299</f>
        <v>Molondin</v>
      </c>
      <c r="C297" s="99">
        <f>'B) D RI'!U299</f>
        <v>5323.6574375620139</v>
      </c>
      <c r="D297" s="115">
        <f>'E) Fact soc'!G303/C297</f>
        <v>18.025026596167073</v>
      </c>
      <c r="E297" s="142">
        <f>'H) Péréquation directe'!I308/C297</f>
        <v>-10.719215036355493</v>
      </c>
      <c r="F297" s="115">
        <f>+'I) Dépenses thématiques'!O297/'J) Plafonnement effort'!C297</f>
        <v>-7.3156589719063296</v>
      </c>
      <c r="G297" s="142">
        <f t="shared" si="17"/>
        <v>-9.8474120947491528E-3</v>
      </c>
      <c r="H297" s="323">
        <f t="shared" si="18"/>
        <v>0</v>
      </c>
      <c r="I297" s="58">
        <f t="shared" si="19"/>
        <v>0</v>
      </c>
      <c r="J297" s="34">
        <f t="shared" si="20"/>
        <v>-9.8474120947491528E-3</v>
      </c>
    </row>
    <row r="298" spans="1:10" x14ac:dyDescent="0.25">
      <c r="A298" s="50">
        <f>'A) Base RI'!A300</f>
        <v>5922</v>
      </c>
      <c r="B298" s="308" t="str">
        <f>'A) Base RI'!B300</f>
        <v>Montagny-près-Yverdon</v>
      </c>
      <c r="C298" s="99">
        <f>'B) D RI'!U300</f>
        <v>42538.107931378596</v>
      </c>
      <c r="D298" s="115">
        <f>'E) Fact soc'!G304/C298</f>
        <v>22.157220906102499</v>
      </c>
      <c r="E298" s="142">
        <f>'H) Péréquation directe'!I309/C298</f>
        <v>17.930760093472642</v>
      </c>
      <c r="F298" s="115">
        <f>+'I) Dépenses thématiques'!O298/'J) Plafonnement effort'!C298</f>
        <v>-4.667505492534346</v>
      </c>
      <c r="G298" s="142">
        <f t="shared" si="17"/>
        <v>35.420475507040791</v>
      </c>
      <c r="H298" s="323">
        <f t="shared" si="18"/>
        <v>0</v>
      </c>
      <c r="I298" s="58">
        <f t="shared" si="19"/>
        <v>0</v>
      </c>
      <c r="J298" s="34">
        <f t="shared" si="20"/>
        <v>35.420475507040791</v>
      </c>
    </row>
    <row r="299" spans="1:10" x14ac:dyDescent="0.25">
      <c r="A299" s="50">
        <f>'A) Base RI'!A301</f>
        <v>5923</v>
      </c>
      <c r="B299" s="308" t="str">
        <f>'A) Base RI'!B301</f>
        <v>Oppens</v>
      </c>
      <c r="C299" s="99">
        <f>'B) D RI'!U301</f>
        <v>4631.0916713851466</v>
      </c>
      <c r="D299" s="115">
        <f>'E) Fact soc'!G305/C299</f>
        <v>17.933942697076528</v>
      </c>
      <c r="E299" s="142">
        <f>'H) Péréquation directe'!I310/C299</f>
        <v>-6.5452006512712542</v>
      </c>
      <c r="F299" s="115">
        <f>+'I) Dépenses thématiques'!O299/'J) Plafonnement effort'!C299</f>
        <v>-9.665945827576655</v>
      </c>
      <c r="G299" s="142">
        <f t="shared" si="17"/>
        <v>1.7227962182286181</v>
      </c>
      <c r="H299" s="323">
        <f t="shared" si="18"/>
        <v>0</v>
      </c>
      <c r="I299" s="58">
        <f t="shared" si="19"/>
        <v>0</v>
      </c>
      <c r="J299" s="34">
        <f t="shared" si="20"/>
        <v>1.7227962182286181</v>
      </c>
    </row>
    <row r="300" spans="1:10" x14ac:dyDescent="0.25">
      <c r="A300" s="50">
        <f>'A) Base RI'!A302</f>
        <v>5924</v>
      </c>
      <c r="B300" s="308" t="str">
        <f>'A) Base RI'!B302</f>
        <v>Orges</v>
      </c>
      <c r="C300" s="99">
        <f>'B) D RI'!U302</f>
        <v>10396.618626656635</v>
      </c>
      <c r="D300" s="115">
        <f>'E) Fact soc'!G306/C300</f>
        <v>16.792339779589717</v>
      </c>
      <c r="E300" s="142">
        <f>'H) Péréquation directe'!I311/C300</f>
        <v>5.9629925789546583</v>
      </c>
      <c r="F300" s="115">
        <f>+'I) Dépenses thématiques'!O300/'J) Plafonnement effort'!C300</f>
        <v>0</v>
      </c>
      <c r="G300" s="142">
        <f t="shared" si="17"/>
        <v>22.755332358544376</v>
      </c>
      <c r="H300" s="323">
        <f t="shared" si="18"/>
        <v>0</v>
      </c>
      <c r="I300" s="58">
        <f t="shared" si="19"/>
        <v>0</v>
      </c>
      <c r="J300" s="34">
        <f t="shared" si="20"/>
        <v>22.755332358544376</v>
      </c>
    </row>
    <row r="301" spans="1:10" x14ac:dyDescent="0.25">
      <c r="A301" s="50">
        <f>'A) Base RI'!A303</f>
        <v>5925</v>
      </c>
      <c r="B301" s="308" t="str">
        <f>'A) Base RI'!B303</f>
        <v>Orzens</v>
      </c>
      <c r="C301" s="99">
        <f>'B) D RI'!U303</f>
        <v>4755.0256411268865</v>
      </c>
      <c r="D301" s="115">
        <f>'E) Fact soc'!G307/C301</f>
        <v>16.632105023375988</v>
      </c>
      <c r="E301" s="142">
        <f>'H) Péréquation directe'!I312/C301</f>
        <v>-6.2786299955731373</v>
      </c>
      <c r="F301" s="115">
        <f>+'I) Dépenses thématiques'!O301/'J) Plafonnement effort'!C301</f>
        <v>-2.3226640098151266</v>
      </c>
      <c r="G301" s="142">
        <f t="shared" si="17"/>
        <v>8.030811017987725</v>
      </c>
      <c r="H301" s="323">
        <f t="shared" si="18"/>
        <v>0</v>
      </c>
      <c r="I301" s="58">
        <f t="shared" si="19"/>
        <v>0</v>
      </c>
      <c r="J301" s="34">
        <f t="shared" si="20"/>
        <v>8.030811017987725</v>
      </c>
    </row>
    <row r="302" spans="1:10" x14ac:dyDescent="0.25">
      <c r="A302" s="50">
        <f>'A) Base RI'!A304</f>
        <v>5926</v>
      </c>
      <c r="B302" s="308" t="str">
        <f>'A) Base RI'!B304</f>
        <v>Pomy</v>
      </c>
      <c r="C302" s="99">
        <f>'B) D RI'!U304</f>
        <v>23259.861194280857</v>
      </c>
      <c r="D302" s="115">
        <f>'E) Fact soc'!G308/C302</f>
        <v>17.714618613265674</v>
      </c>
      <c r="E302" s="142">
        <f>'H) Péréquation directe'!I313/C302</f>
        <v>5.2869127844884938</v>
      </c>
      <c r="F302" s="115">
        <f>+'I) Dépenses thématiques'!O302/'J) Plafonnement effort'!C302</f>
        <v>-1.5735019496850351</v>
      </c>
      <c r="G302" s="142">
        <f t="shared" si="17"/>
        <v>21.428029448069132</v>
      </c>
      <c r="H302" s="323">
        <f t="shared" si="18"/>
        <v>0</v>
      </c>
      <c r="I302" s="58">
        <f t="shared" si="19"/>
        <v>0</v>
      </c>
      <c r="J302" s="34">
        <f t="shared" si="20"/>
        <v>21.428029448069132</v>
      </c>
    </row>
    <row r="303" spans="1:10" x14ac:dyDescent="0.25">
      <c r="A303" s="50">
        <f>'A) Base RI'!A305</f>
        <v>5928</v>
      </c>
      <c r="B303" s="308" t="str">
        <f>'A) Base RI'!B305</f>
        <v>Rovray</v>
      </c>
      <c r="C303" s="99">
        <f>'B) D RI'!U305</f>
        <v>4486.3585880513701</v>
      </c>
      <c r="D303" s="115">
        <f>'E) Fact soc'!G309/C303</f>
        <v>16.932196268956808</v>
      </c>
      <c r="E303" s="142">
        <f>'H) Péréquation directe'!I314/C303</f>
        <v>-3.9050721703171463</v>
      </c>
      <c r="F303" s="115">
        <f>+'I) Dépenses thématiques'!O303/'J) Plafonnement effort'!C303</f>
        <v>-3.0156636403797119</v>
      </c>
      <c r="G303" s="142">
        <f t="shared" si="17"/>
        <v>10.01146045825995</v>
      </c>
      <c r="H303" s="323">
        <f t="shared" si="18"/>
        <v>0</v>
      </c>
      <c r="I303" s="58">
        <f t="shared" si="19"/>
        <v>0</v>
      </c>
      <c r="J303" s="34">
        <f t="shared" si="20"/>
        <v>10.01146045825995</v>
      </c>
    </row>
    <row r="304" spans="1:10" x14ac:dyDescent="0.25">
      <c r="A304" s="50">
        <f>'A) Base RI'!A306</f>
        <v>5929</v>
      </c>
      <c r="B304" s="308" t="str">
        <f>'A) Base RI'!B306</f>
        <v>Suchy</v>
      </c>
      <c r="C304" s="99">
        <f>'B) D RI'!U306</f>
        <v>17021.216382984901</v>
      </c>
      <c r="D304" s="115">
        <f>'E) Fact soc'!G310/C304</f>
        <v>18.383174334141565</v>
      </c>
      <c r="E304" s="142">
        <f>'H) Péréquation directe'!I315/C304</f>
        <v>3.7776336629989484</v>
      </c>
      <c r="F304" s="115">
        <f>+'I) Dépenses thématiques'!O304/'J) Plafonnement effort'!C304</f>
        <v>-1.1772242925530576</v>
      </c>
      <c r="G304" s="142">
        <f t="shared" si="17"/>
        <v>20.983583704587456</v>
      </c>
      <c r="H304" s="323">
        <f t="shared" si="18"/>
        <v>0</v>
      </c>
      <c r="I304" s="58">
        <f t="shared" si="19"/>
        <v>0</v>
      </c>
      <c r="J304" s="34">
        <f t="shared" si="20"/>
        <v>20.983583704587456</v>
      </c>
    </row>
    <row r="305" spans="1:13" x14ac:dyDescent="0.25">
      <c r="A305" s="50">
        <f>'A) Base RI'!A307</f>
        <v>5930</v>
      </c>
      <c r="B305" s="308" t="str">
        <f>'A) Base RI'!B307</f>
        <v>Suscévaz</v>
      </c>
      <c r="C305" s="99">
        <f>'B) D RI'!U307</f>
        <v>5363.6524098848004</v>
      </c>
      <c r="D305" s="115">
        <f>'E) Fact soc'!G311/C305</f>
        <v>19.646819232772138</v>
      </c>
      <c r="E305" s="142">
        <f>'H) Péréquation directe'!I316/C305</f>
        <v>1.248226515280209</v>
      </c>
      <c r="F305" s="115">
        <f>+'I) Dépenses thématiques'!O305/'J) Plafonnement effort'!C305</f>
        <v>-6.4294967133099288</v>
      </c>
      <c r="G305" s="142">
        <f t="shared" si="17"/>
        <v>14.465549034742418</v>
      </c>
      <c r="H305" s="323">
        <f t="shared" si="18"/>
        <v>0</v>
      </c>
      <c r="I305" s="58">
        <f t="shared" si="19"/>
        <v>0</v>
      </c>
      <c r="J305" s="34">
        <f t="shared" si="20"/>
        <v>14.465549034742418</v>
      </c>
    </row>
    <row r="306" spans="1:13" x14ac:dyDescent="0.25">
      <c r="A306" s="50">
        <f>'A) Base RI'!A308</f>
        <v>5931</v>
      </c>
      <c r="B306" s="308" t="str">
        <f>'A) Base RI'!B308</f>
        <v>Treycovagnes</v>
      </c>
      <c r="C306" s="99">
        <f>'B) D RI'!U308</f>
        <v>13443.123228865978</v>
      </c>
      <c r="D306" s="115">
        <f>'E) Fact soc'!G312/C306</f>
        <v>19.94616377365011</v>
      </c>
      <c r="E306" s="142">
        <f>'H) Péréquation directe'!I317/C306</f>
        <v>3.8689197057192737</v>
      </c>
      <c r="F306" s="115">
        <f>+'I) Dépenses thématiques'!O306/'J) Plafonnement effort'!C306</f>
        <v>-1.0879176198727636</v>
      </c>
      <c r="G306" s="142">
        <f t="shared" si="17"/>
        <v>22.727165859496623</v>
      </c>
      <c r="H306" s="323">
        <f t="shared" si="18"/>
        <v>0</v>
      </c>
      <c r="I306" s="58">
        <f t="shared" si="19"/>
        <v>0</v>
      </c>
      <c r="J306" s="34">
        <f t="shared" si="20"/>
        <v>22.727165859496623</v>
      </c>
    </row>
    <row r="307" spans="1:13" x14ac:dyDescent="0.25">
      <c r="A307" s="50">
        <f>'A) Base RI'!A309</f>
        <v>5932</v>
      </c>
      <c r="B307" s="308" t="str">
        <f>'A) Base RI'!B309</f>
        <v>Ursins</v>
      </c>
      <c r="C307" s="99">
        <f>'B) D RI'!U309</f>
        <v>6855.3003269100209</v>
      </c>
      <c r="D307" s="115">
        <f>'E) Fact soc'!G313/C307</f>
        <v>17.701685915360443</v>
      </c>
      <c r="E307" s="142">
        <f>'H) Péréquation directe'!I318/C307</f>
        <v>5.4774433171729635</v>
      </c>
      <c r="F307" s="115">
        <f>+'I) Dépenses thématiques'!O307/'J) Plafonnement effort'!C307</f>
        <v>-0.90868006619124841</v>
      </c>
      <c r="G307" s="142">
        <f t="shared" si="17"/>
        <v>22.270449166342157</v>
      </c>
      <c r="H307" s="323">
        <f t="shared" si="18"/>
        <v>0</v>
      </c>
      <c r="I307" s="58">
        <f t="shared" si="19"/>
        <v>0</v>
      </c>
      <c r="J307" s="34">
        <f t="shared" si="20"/>
        <v>22.270449166342157</v>
      </c>
    </row>
    <row r="308" spans="1:13" x14ac:dyDescent="0.25">
      <c r="A308" s="50">
        <f>'A) Base RI'!A310</f>
        <v>5933</v>
      </c>
      <c r="B308" s="308" t="str">
        <f>'A) Base RI'!B310</f>
        <v>Valeyres-sous-Montagny</v>
      </c>
      <c r="C308" s="99">
        <f>'B) D RI'!U310</f>
        <v>20669.421262090575</v>
      </c>
      <c r="D308" s="115">
        <f>'E) Fact soc'!G314/C308</f>
        <v>18.996424145259596</v>
      </c>
      <c r="E308" s="142">
        <f>'H) Péréquation directe'!I319/C308</f>
        <v>4.607857940256844</v>
      </c>
      <c r="F308" s="115">
        <f>+'I) Dépenses thématiques'!O308/'J) Plafonnement effort'!C308</f>
        <v>-13.739703634001634</v>
      </c>
      <c r="G308" s="142">
        <f t="shared" si="17"/>
        <v>9.8645784515148041</v>
      </c>
      <c r="H308" s="323">
        <f t="shared" si="18"/>
        <v>0</v>
      </c>
      <c r="I308" s="58">
        <f t="shared" si="19"/>
        <v>0</v>
      </c>
      <c r="J308" s="34">
        <f t="shared" si="20"/>
        <v>9.8645784515148041</v>
      </c>
    </row>
    <row r="309" spans="1:13" x14ac:dyDescent="0.25">
      <c r="A309" s="50">
        <f>'A) Base RI'!A311</f>
        <v>5934</v>
      </c>
      <c r="B309" s="308" t="str">
        <f>'A) Base RI'!B311</f>
        <v>Valeyres-sous-Ursins</v>
      </c>
      <c r="C309" s="99">
        <f>'B) D RI'!U311</f>
        <v>6791.6761133712571</v>
      </c>
      <c r="D309" s="115">
        <f>'E) Fact soc'!G315/C309</f>
        <v>15.776168524359456</v>
      </c>
      <c r="E309" s="142">
        <f>'H) Péréquation directe'!I320/C309</f>
        <v>1.1605448309910258</v>
      </c>
      <c r="F309" s="115">
        <f>+'I) Dépenses thématiques'!O309/'J) Plafonnement effort'!C309</f>
        <v>-0.83178921089147495</v>
      </c>
      <c r="G309" s="142">
        <f t="shared" si="17"/>
        <v>16.104924144459005</v>
      </c>
      <c r="H309" s="323">
        <f t="shared" si="18"/>
        <v>0</v>
      </c>
      <c r="I309" s="58">
        <f t="shared" si="19"/>
        <v>0</v>
      </c>
      <c r="J309" s="34">
        <f t="shared" si="20"/>
        <v>16.104924144459005</v>
      </c>
    </row>
    <row r="310" spans="1:13" x14ac:dyDescent="0.25">
      <c r="A310" s="50">
        <f>'A) Base RI'!A312</f>
        <v>5935</v>
      </c>
      <c r="B310" s="308" t="str">
        <f>'A) Base RI'!B312</f>
        <v>Villars-Epeney</v>
      </c>
      <c r="C310" s="99">
        <f>'B) D RI'!U312</f>
        <v>5529.6840523560213</v>
      </c>
      <c r="D310" s="115">
        <f>'E) Fact soc'!G316/C310</f>
        <v>18.229336429878654</v>
      </c>
      <c r="E310" s="142">
        <f>'H) Péréquation directe'!I321/C310</f>
        <v>17.645027465619076</v>
      </c>
      <c r="F310" s="115">
        <f>+'I) Dépenses thématiques'!O310/'J) Plafonnement effort'!C310</f>
        <v>-2.8822147540133738</v>
      </c>
      <c r="G310" s="142">
        <f t="shared" si="17"/>
        <v>32.992149141484354</v>
      </c>
      <c r="H310" s="323">
        <f t="shared" si="18"/>
        <v>0</v>
      </c>
      <c r="I310" s="58">
        <f t="shared" si="19"/>
        <v>0</v>
      </c>
      <c r="J310" s="34">
        <f t="shared" si="20"/>
        <v>32.992149141484354</v>
      </c>
    </row>
    <row r="311" spans="1:13" x14ac:dyDescent="0.25">
      <c r="A311" s="50">
        <f>'A) Base RI'!A313</f>
        <v>5937</v>
      </c>
      <c r="B311" s="308" t="str">
        <f>'A) Base RI'!B313</f>
        <v>Vugelles-La Mothe</v>
      </c>
      <c r="C311" s="99">
        <f>'B) D RI'!U313</f>
        <v>2865.8382395608655</v>
      </c>
      <c r="D311" s="115">
        <f>'E) Fact soc'!G317/C311</f>
        <v>17.866159130709164</v>
      </c>
      <c r="E311" s="142">
        <f>'H) Péréquation directe'!I322/C311</f>
        <v>-3.2874323046130152</v>
      </c>
      <c r="F311" s="115">
        <f>+'I) Dépenses thématiques'!O311/'J) Plafonnement effort'!C311</f>
        <v>-10.052675508781903</v>
      </c>
      <c r="G311" s="142">
        <f t="shared" si="17"/>
        <v>4.5260513173142467</v>
      </c>
      <c r="H311" s="323">
        <f t="shared" si="18"/>
        <v>0</v>
      </c>
      <c r="I311" s="58">
        <f t="shared" si="19"/>
        <v>0</v>
      </c>
      <c r="J311" s="34">
        <f t="shared" si="20"/>
        <v>4.5260513173142467</v>
      </c>
    </row>
    <row r="312" spans="1:13" x14ac:dyDescent="0.25">
      <c r="A312" s="50">
        <f>'A) Base RI'!A314</f>
        <v>5938</v>
      </c>
      <c r="B312" s="308" t="str">
        <f>'A) Base RI'!B314</f>
        <v>Yverdon-les-Bains</v>
      </c>
      <c r="C312" s="99">
        <f>'B) D RI'!U314</f>
        <v>774260.97307948919</v>
      </c>
      <c r="D312" s="115">
        <f>'E) Fact soc'!G318/C312</f>
        <v>19.453667234742834</v>
      </c>
      <c r="E312" s="142">
        <f>'H) Péréquation directe'!I323/C312</f>
        <v>-30.639325947248359</v>
      </c>
      <c r="F312" s="115">
        <f>+'I) Dépenses thématiques'!O312/'J) Plafonnement effort'!C312</f>
        <v>-10.223176276134524</v>
      </c>
      <c r="G312" s="142">
        <f t="shared" si="17"/>
        <v>-21.408834988640049</v>
      </c>
      <c r="H312" s="323">
        <f t="shared" si="18"/>
        <v>0</v>
      </c>
      <c r="I312" s="58">
        <f t="shared" si="19"/>
        <v>0</v>
      </c>
      <c r="J312" s="34">
        <f t="shared" si="20"/>
        <v>-21.408834988640049</v>
      </c>
    </row>
    <row r="313" spans="1:13" x14ac:dyDescent="0.25">
      <c r="A313" s="50">
        <f>'A) Base RI'!A315</f>
        <v>5939</v>
      </c>
      <c r="B313" s="308" t="str">
        <f>'A) Base RI'!B315</f>
        <v>Yvonand</v>
      </c>
      <c r="C313" s="99">
        <f>'B) D RI'!U315</f>
        <v>92761.457314991218</v>
      </c>
      <c r="D313" s="115">
        <f>'E) Fact soc'!G319/C313</f>
        <v>22.574429496679105</v>
      </c>
      <c r="E313" s="142">
        <f>'H) Péréquation directe'!I324/C313</f>
        <v>-4.0829448513622504</v>
      </c>
      <c r="F313" s="115">
        <f>+'I) Dépenses thématiques'!O313/'J) Plafonnement effort'!C313</f>
        <v>-3.861290276063007</v>
      </c>
      <c r="G313" s="142">
        <f t="shared" si="17"/>
        <v>14.630194369253848</v>
      </c>
      <c r="H313" s="323">
        <f t="shared" si="18"/>
        <v>0</v>
      </c>
      <c r="I313" s="58">
        <f t="shared" si="19"/>
        <v>0</v>
      </c>
      <c r="J313" s="34">
        <f t="shared" si="20"/>
        <v>14.630194369253848</v>
      </c>
    </row>
    <row r="314" spans="1:13" x14ac:dyDescent="0.25">
      <c r="A314" s="31"/>
      <c r="B314" s="315">
        <f>COUNTA(B5:B313)</f>
        <v>309</v>
      </c>
      <c r="C314" s="101">
        <f>SUM(C5:C313)</f>
        <v>35922747.174706832</v>
      </c>
      <c r="D314" s="324">
        <f>'E) Fact soc'!G320/C314</f>
        <v>22.756750646720864</v>
      </c>
      <c r="E314" s="114">
        <f>'H) Péréquation directe'!I325/C314</f>
        <v>4.8185974915244625</v>
      </c>
      <c r="F314" s="324">
        <f>'I) Dépenses thématiques'!P314</f>
        <v>-4.2339944084462076</v>
      </c>
      <c r="G314" s="114">
        <f>SUM(D314:F314)</f>
        <v>23.341353729799117</v>
      </c>
      <c r="H314" s="325"/>
      <c r="I314" s="38">
        <f>SUM(I5:I313)</f>
        <v>-25101393.124698054</v>
      </c>
      <c r="J314" s="20">
        <f>G314+H314</f>
        <v>23.341353729799117</v>
      </c>
      <c r="L314" s="12"/>
      <c r="M314" s="12"/>
    </row>
    <row r="318" spans="1:13" x14ac:dyDescent="0.25">
      <c r="G318" s="29"/>
      <c r="H318" s="29"/>
      <c r="I318" s="29"/>
    </row>
    <row r="320" spans="1:13" x14ac:dyDescent="0.25">
      <c r="I320" s="29"/>
    </row>
  </sheetData>
  <mergeCells count="9">
    <mergeCell ref="C3:C4"/>
    <mergeCell ref="B3:B4"/>
    <mergeCell ref="A3:A4"/>
    <mergeCell ref="J3:J4"/>
    <mergeCell ref="I3:I4"/>
    <mergeCell ref="G3:G4"/>
    <mergeCell ref="F3:F4"/>
    <mergeCell ref="E3:E4"/>
    <mergeCell ref="D3:D4"/>
  </mergeCells>
  <phoneticPr fontId="0" type="noConversion"/>
  <printOptions horizontalCentered="1"/>
  <pageMargins left="0" right="0" top="0" bottom="0" header="0.51181102362204722" footer="0.51181102362204722"/>
  <pageSetup paperSize="9" scale="64"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00B050"/>
  </sheetPr>
  <dimension ref="A1:Y316"/>
  <sheetViews>
    <sheetView workbookViewId="0">
      <pane ySplit="4" topLeftCell="A5" activePane="bottomLeft" state="frozen"/>
      <selection pane="bottomLeft" activeCell="A5" sqref="A5"/>
    </sheetView>
  </sheetViews>
  <sheetFormatPr baseColWidth="10" defaultColWidth="10.75" defaultRowHeight="15" x14ac:dyDescent="0.25"/>
  <cols>
    <col min="1" max="1" width="7.25" style="13" customWidth="1"/>
    <col min="2" max="2" width="18" style="13" customWidth="1"/>
    <col min="3" max="4" width="9.25" style="13" customWidth="1"/>
    <col min="5" max="5" width="11.625" style="13" customWidth="1"/>
    <col min="6" max="6" width="11" style="13" customWidth="1"/>
    <col min="7" max="7" width="10.375" style="13" customWidth="1"/>
    <col min="8" max="8" width="12.25" style="13" customWidth="1"/>
    <col min="9" max="9" width="10" style="13" customWidth="1"/>
    <col min="10" max="10" width="12.875" style="13" customWidth="1"/>
    <col min="11" max="14" width="12.125" style="13" customWidth="1"/>
    <col min="15" max="17" width="8.125" style="13" customWidth="1"/>
    <col min="18" max="16384" width="10.75" style="13"/>
  </cols>
  <sheetData>
    <row r="1" spans="1:25" s="44" customFormat="1" ht="20.25" customHeight="1" x14ac:dyDescent="0.25">
      <c r="A1" s="52" t="s">
        <v>0</v>
      </c>
      <c r="B1" s="43"/>
      <c r="C1" s="72"/>
      <c r="D1" s="72"/>
      <c r="E1" s="72"/>
      <c r="F1" s="72"/>
      <c r="G1" s="72"/>
      <c r="H1" s="72"/>
      <c r="I1" s="72"/>
      <c r="J1" s="72"/>
      <c r="L1" s="60"/>
      <c r="N1" s="13"/>
      <c r="O1" s="13"/>
      <c r="P1" s="13"/>
      <c r="Q1" s="13"/>
      <c r="R1" s="13"/>
      <c r="Y1" s="13"/>
    </row>
    <row r="3" spans="1:25" ht="45" customHeight="1" x14ac:dyDescent="0.25">
      <c r="A3" s="485" t="s">
        <v>46</v>
      </c>
      <c r="B3" s="485" t="s">
        <v>96</v>
      </c>
      <c r="C3" s="485" t="s">
        <v>371</v>
      </c>
      <c r="D3" s="485" t="s">
        <v>93</v>
      </c>
      <c r="E3" s="485" t="s">
        <v>328</v>
      </c>
      <c r="F3" s="485" t="s">
        <v>369</v>
      </c>
      <c r="G3" s="485" t="s">
        <v>370</v>
      </c>
      <c r="H3" s="485" t="s">
        <v>411</v>
      </c>
      <c r="I3" s="117" t="s">
        <v>146</v>
      </c>
      <c r="J3" s="485" t="s">
        <v>457</v>
      </c>
    </row>
    <row r="4" spans="1:25" x14ac:dyDescent="0.25">
      <c r="A4" s="486"/>
      <c r="B4" s="487"/>
      <c r="C4" s="486"/>
      <c r="D4" s="487"/>
      <c r="E4" s="486"/>
      <c r="F4" s="487"/>
      <c r="G4" s="486"/>
      <c r="H4" s="487"/>
      <c r="I4" s="147">
        <f>Paramètres!B48</f>
        <v>-8</v>
      </c>
      <c r="J4" s="486"/>
    </row>
    <row r="5" spans="1:25" x14ac:dyDescent="0.25">
      <c r="A5" s="47">
        <f>'A) Base RI'!A7</f>
        <v>5401</v>
      </c>
      <c r="B5" s="308" t="str">
        <f>'A) Base RI'!B7</f>
        <v>Aigle</v>
      </c>
      <c r="C5" s="98">
        <f>'B) D RI'!U7</f>
        <v>263862.68069135805</v>
      </c>
      <c r="D5" s="115">
        <f>'E) Fact soc'!G11/C5</f>
        <v>20.630062609131965</v>
      </c>
      <c r="E5" s="141">
        <f>'H) Péréquation directe'!I16/C5</f>
        <v>-12.89685276784415</v>
      </c>
      <c r="F5" s="115">
        <f>+'I) Dépenses thématiques'!O5/'K) Plafonnement aide'!C5</f>
        <v>-9.215085471588516</v>
      </c>
      <c r="G5" s="141">
        <f>SUM(D5:F5)</f>
        <v>-1.481875630300701</v>
      </c>
      <c r="H5" s="115">
        <f>G5-F5</f>
        <v>7.733209841287815</v>
      </c>
      <c r="I5" s="141">
        <f>IF(H5&lt;I$4,H5-I$4,0)</f>
        <v>0</v>
      </c>
      <c r="J5" s="104">
        <f t="shared" ref="J5" si="0">-I5*C5</f>
        <v>0</v>
      </c>
      <c r="K5" s="37"/>
    </row>
    <row r="6" spans="1:25" x14ac:dyDescent="0.25">
      <c r="A6" s="50">
        <f>'A) Base RI'!A8</f>
        <v>5402</v>
      </c>
      <c r="B6" s="308" t="str">
        <f>'A) Base RI'!B8</f>
        <v>Bex</v>
      </c>
      <c r="C6" s="99">
        <f>'B) D RI'!U8</f>
        <v>173630.8553521127</v>
      </c>
      <c r="D6" s="115">
        <f>'E) Fact soc'!G12/C6</f>
        <v>20.888969836083213</v>
      </c>
      <c r="E6" s="142">
        <f>'H) Péréquation directe'!I17/C6</f>
        <v>-19.927076465586282</v>
      </c>
      <c r="F6" s="115">
        <f>+'I) Dépenses thématiques'!O6/'K) Plafonnement aide'!C6</f>
        <v>-10.870705972999589</v>
      </c>
      <c r="G6" s="142">
        <f t="shared" ref="G6:G69" si="1">SUM(D6:F6)</f>
        <v>-9.9088126025026586</v>
      </c>
      <c r="H6" s="115">
        <f t="shared" ref="H6:H69" si="2">G6-F6</f>
        <v>0.9618933704969308</v>
      </c>
      <c r="I6" s="142">
        <f t="shared" ref="I6:I69" si="3">IF(H6&lt;I$4,H6-I$4,0)</f>
        <v>0</v>
      </c>
      <c r="J6" s="58">
        <f t="shared" ref="J6:J69" si="4">-I6*C6</f>
        <v>0</v>
      </c>
      <c r="K6" s="37"/>
    </row>
    <row r="7" spans="1:25" x14ac:dyDescent="0.25">
      <c r="A7" s="50">
        <f>'A) Base RI'!A9</f>
        <v>5403</v>
      </c>
      <c r="B7" s="308" t="str">
        <f>'A) Base RI'!B9</f>
        <v>Chessel</v>
      </c>
      <c r="C7" s="99">
        <f>'B) D RI'!U9</f>
        <v>9734.1508108108119</v>
      </c>
      <c r="D7" s="115">
        <f>'E) Fact soc'!G13/C7</f>
        <v>19.435592514425302</v>
      </c>
      <c r="E7" s="142">
        <f>'H) Péréquation directe'!I18/C7</f>
        <v>-4.1108583202789051</v>
      </c>
      <c r="F7" s="115">
        <f>+'I) Dépenses thématiques'!O7/'K) Plafonnement aide'!C7</f>
        <v>-3.5515919877295747</v>
      </c>
      <c r="G7" s="142">
        <f t="shared" si="1"/>
        <v>11.773142206416823</v>
      </c>
      <c r="H7" s="115">
        <f t="shared" si="2"/>
        <v>15.324734194146398</v>
      </c>
      <c r="I7" s="142">
        <f t="shared" si="3"/>
        <v>0</v>
      </c>
      <c r="J7" s="58">
        <f t="shared" si="4"/>
        <v>0</v>
      </c>
      <c r="K7" s="37"/>
    </row>
    <row r="8" spans="1:25" x14ac:dyDescent="0.25">
      <c r="A8" s="50">
        <f>'A) Base RI'!A10</f>
        <v>5404</v>
      </c>
      <c r="B8" s="308" t="str">
        <f>'A) Base RI'!B10</f>
        <v>Corbeyrier</v>
      </c>
      <c r="C8" s="99">
        <f>'B) D RI'!U10</f>
        <v>10864.664095238095</v>
      </c>
      <c r="D8" s="115">
        <f>'E) Fact soc'!G14/C8</f>
        <v>33.943069338762825</v>
      </c>
      <c r="E8" s="142">
        <f>'H) Péréquation directe'!I19/C8</f>
        <v>-0.92625997612138378</v>
      </c>
      <c r="F8" s="115">
        <f>+'I) Dépenses thématiques'!O8/'K) Plafonnement aide'!C8</f>
        <v>-20.493272079596998</v>
      </c>
      <c r="G8" s="142">
        <f t="shared" si="1"/>
        <v>12.52353728304444</v>
      </c>
      <c r="H8" s="115">
        <f t="shared" si="2"/>
        <v>33.016809362641439</v>
      </c>
      <c r="I8" s="142">
        <f t="shared" si="3"/>
        <v>0</v>
      </c>
      <c r="J8" s="58">
        <f t="shared" si="4"/>
        <v>0</v>
      </c>
      <c r="K8" s="37"/>
    </row>
    <row r="9" spans="1:25" x14ac:dyDescent="0.25">
      <c r="A9" s="50">
        <f>'A) Base RI'!A11</f>
        <v>5405</v>
      </c>
      <c r="B9" s="308" t="str">
        <f>'A) Base RI'!B11</f>
        <v>Gryon</v>
      </c>
      <c r="C9" s="99">
        <f>'B) D RI'!U11</f>
        <v>69822.459644444432</v>
      </c>
      <c r="D9" s="115">
        <f>'E) Fact soc'!G15/C9</f>
        <v>22.166905451568169</v>
      </c>
      <c r="E9" s="142">
        <f>'H) Péréquation directe'!I20/C9</f>
        <v>16.44101635347397</v>
      </c>
      <c r="F9" s="115">
        <f>+'I) Dépenses thématiques'!O9/'K) Plafonnement aide'!C9</f>
        <v>-11.815685759775095</v>
      </c>
      <c r="G9" s="142">
        <f t="shared" si="1"/>
        <v>26.792236045267046</v>
      </c>
      <c r="H9" s="115">
        <f t="shared" si="2"/>
        <v>38.607921805042139</v>
      </c>
      <c r="I9" s="142">
        <f t="shared" si="3"/>
        <v>0</v>
      </c>
      <c r="J9" s="58">
        <f t="shared" si="4"/>
        <v>0</v>
      </c>
      <c r="K9" s="37"/>
    </row>
    <row r="10" spans="1:25" x14ac:dyDescent="0.25">
      <c r="A10" s="50">
        <f>'A) Base RI'!A12</f>
        <v>5406</v>
      </c>
      <c r="B10" s="308" t="str">
        <f>'A) Base RI'!B12</f>
        <v>Lavey-Morcles</v>
      </c>
      <c r="C10" s="99">
        <f>'B) D RI'!U12</f>
        <v>21528.925666305528</v>
      </c>
      <c r="D10" s="115">
        <f>'E) Fact soc'!G16/C10</f>
        <v>19.387630666276102</v>
      </c>
      <c r="E10" s="142">
        <f>'H) Péréquation directe'!I21/C10</f>
        <v>-4.2616992864132133</v>
      </c>
      <c r="F10" s="115">
        <f>+'I) Dépenses thématiques'!O10/'K) Plafonnement aide'!C10</f>
        <v>-7.4516956507271805</v>
      </c>
      <c r="G10" s="142">
        <f t="shared" si="1"/>
        <v>7.6742357291357086</v>
      </c>
      <c r="H10" s="115">
        <f t="shared" si="2"/>
        <v>15.125931379862889</v>
      </c>
      <c r="I10" s="142">
        <f t="shared" si="3"/>
        <v>0</v>
      </c>
      <c r="J10" s="58">
        <f t="shared" si="4"/>
        <v>0</v>
      </c>
      <c r="K10" s="37"/>
    </row>
    <row r="11" spans="1:25" x14ac:dyDescent="0.25">
      <c r="A11" s="50">
        <f>'A) Base RI'!A13</f>
        <v>5407</v>
      </c>
      <c r="B11" s="308" t="str">
        <f>'A) Base RI'!B13</f>
        <v>Leysin</v>
      </c>
      <c r="C11" s="99">
        <f>'B) D RI'!U13</f>
        <v>90534.062564102569</v>
      </c>
      <c r="D11" s="115">
        <f>'E) Fact soc'!G17/C11</f>
        <v>19.652537705865196</v>
      </c>
      <c r="E11" s="142">
        <f>'H) Péréquation directe'!I22/C11</f>
        <v>-19.017563706698873</v>
      </c>
      <c r="F11" s="115">
        <f>+'I) Dépenses thématiques'!O11/'K) Plafonnement aide'!C11</f>
        <v>-21.753095154631751</v>
      </c>
      <c r="G11" s="142">
        <f t="shared" si="1"/>
        <v>-21.118121155465428</v>
      </c>
      <c r="H11" s="115">
        <f t="shared" si="2"/>
        <v>0.63497399916632347</v>
      </c>
      <c r="I11" s="142">
        <f t="shared" si="3"/>
        <v>0</v>
      </c>
      <c r="J11" s="58">
        <f t="shared" si="4"/>
        <v>0</v>
      </c>
      <c r="K11" s="37"/>
      <c r="L11" s="29"/>
    </row>
    <row r="12" spans="1:25" x14ac:dyDescent="0.25">
      <c r="A12" s="50">
        <f>'A) Base RI'!A14</f>
        <v>5408</v>
      </c>
      <c r="B12" s="308" t="str">
        <f>'A) Base RI'!B14</f>
        <v>Noville</v>
      </c>
      <c r="C12" s="99">
        <f>'B) D RI'!U14</f>
        <v>31735.72989384289</v>
      </c>
      <c r="D12" s="115">
        <f>'E) Fact soc'!G18/C12</f>
        <v>20.257110840029647</v>
      </c>
      <c r="E12" s="142">
        <f>'H) Péréquation directe'!I23/C12</f>
        <v>3.1769258305296675</v>
      </c>
      <c r="F12" s="115">
        <f>+'I) Dépenses thématiques'!O12/'K) Plafonnement aide'!C12</f>
        <v>-6.2039639193790519</v>
      </c>
      <c r="G12" s="142">
        <f t="shared" si="1"/>
        <v>17.230072751180263</v>
      </c>
      <c r="H12" s="115">
        <f t="shared" si="2"/>
        <v>23.434036670559315</v>
      </c>
      <c r="I12" s="142">
        <f t="shared" si="3"/>
        <v>0</v>
      </c>
      <c r="J12" s="58">
        <f t="shared" si="4"/>
        <v>0</v>
      </c>
      <c r="K12" s="37"/>
    </row>
    <row r="13" spans="1:25" x14ac:dyDescent="0.25">
      <c r="A13" s="50">
        <f>'A) Base RI'!A15</f>
        <v>5409</v>
      </c>
      <c r="B13" s="308" t="str">
        <f>'A) Base RI'!B15</f>
        <v>Ollon</v>
      </c>
      <c r="C13" s="99">
        <f>'B) D RI'!U15</f>
        <v>367365.91906108597</v>
      </c>
      <c r="D13" s="115">
        <f>'E) Fact soc'!G19/C13</f>
        <v>20.82538460620146</v>
      </c>
      <c r="E13" s="142">
        <f>'H) Péréquation directe'!I24/C13</f>
        <v>11.080285201968733</v>
      </c>
      <c r="F13" s="115">
        <f>+'I) Dépenses thématiques'!O13/'K) Plafonnement aide'!C13</f>
        <v>-5.5985481766904917</v>
      </c>
      <c r="G13" s="142">
        <f t="shared" si="1"/>
        <v>26.307121631479703</v>
      </c>
      <c r="H13" s="115">
        <f t="shared" si="2"/>
        <v>31.905669808170195</v>
      </c>
      <c r="I13" s="142">
        <f t="shared" si="3"/>
        <v>0</v>
      </c>
      <c r="J13" s="58">
        <f t="shared" si="4"/>
        <v>0</v>
      </c>
      <c r="K13" s="37"/>
    </row>
    <row r="14" spans="1:25" x14ac:dyDescent="0.25">
      <c r="A14" s="50">
        <f>'A) Base RI'!A16</f>
        <v>5410</v>
      </c>
      <c r="B14" s="308" t="str">
        <f>'A) Base RI'!B16</f>
        <v>Ormont-Dessous</v>
      </c>
      <c r="C14" s="99">
        <f>'B) D RI'!U16</f>
        <v>37585.850743099792</v>
      </c>
      <c r="D14" s="115">
        <f>'E) Fact soc'!G20/C14</f>
        <v>21.151146634628475</v>
      </c>
      <c r="E14" s="142">
        <f>'H) Péréquation directe'!I25/C14</f>
        <v>7.2149952057052946</v>
      </c>
      <c r="F14" s="115">
        <f>+'I) Dépenses thématiques'!O14/'K) Plafonnement aide'!C14</f>
        <v>-24.262142254462347</v>
      </c>
      <c r="G14" s="142">
        <f t="shared" si="1"/>
        <v>4.1039995858714207</v>
      </c>
      <c r="H14" s="115">
        <f t="shared" si="2"/>
        <v>28.366141840333768</v>
      </c>
      <c r="I14" s="142">
        <f t="shared" si="3"/>
        <v>0</v>
      </c>
      <c r="J14" s="58">
        <f t="shared" si="4"/>
        <v>0</v>
      </c>
      <c r="K14" s="37"/>
    </row>
    <row r="15" spans="1:25" x14ac:dyDescent="0.25">
      <c r="A15" s="50">
        <f>'A) Base RI'!A17</f>
        <v>5411</v>
      </c>
      <c r="B15" s="308" t="str">
        <f>'A) Base RI'!B17</f>
        <v>Ormont-Dessus</v>
      </c>
      <c r="C15" s="99">
        <f>'B) D RI'!U17</f>
        <v>78533.565482456135</v>
      </c>
      <c r="D15" s="115">
        <f>'E) Fact soc'!G21/C15</f>
        <v>21.48227927972362</v>
      </c>
      <c r="E15" s="142">
        <f>'H) Péréquation directe'!I26/C15</f>
        <v>16.38364827730534</v>
      </c>
      <c r="F15" s="115">
        <f>+'I) Dépenses thématiques'!O15/'K) Plafonnement aide'!C15</f>
        <v>-11.759079411716266</v>
      </c>
      <c r="G15" s="142">
        <f t="shared" si="1"/>
        <v>26.106848145312696</v>
      </c>
      <c r="H15" s="115">
        <f t="shared" si="2"/>
        <v>37.865927557028961</v>
      </c>
      <c r="I15" s="142">
        <f t="shared" si="3"/>
        <v>0</v>
      </c>
      <c r="J15" s="58">
        <f t="shared" si="4"/>
        <v>0</v>
      </c>
      <c r="K15" s="37"/>
    </row>
    <row r="16" spans="1:25" x14ac:dyDescent="0.25">
      <c r="A16" s="50">
        <f>'A) Base RI'!A18</f>
        <v>5412</v>
      </c>
      <c r="B16" s="308" t="str">
        <f>'A) Base RI'!B18</f>
        <v>Rennaz</v>
      </c>
      <c r="C16" s="99">
        <f>'B) D RI'!U18</f>
        <v>30683.439407407404</v>
      </c>
      <c r="D16" s="115">
        <f>'E) Fact soc'!G22/C16</f>
        <v>18.265745686349931</v>
      </c>
      <c r="E16" s="142">
        <f>'H) Péréquation directe'!I27/C16</f>
        <v>12.34630507048073</v>
      </c>
      <c r="F16" s="115">
        <f>+'I) Dépenses thématiques'!O16/'K) Plafonnement aide'!C16</f>
        <v>0</v>
      </c>
      <c r="G16" s="142">
        <f t="shared" si="1"/>
        <v>30.612050756830662</v>
      </c>
      <c r="H16" s="115">
        <f t="shared" si="2"/>
        <v>30.612050756830662</v>
      </c>
      <c r="I16" s="142">
        <f t="shared" si="3"/>
        <v>0</v>
      </c>
      <c r="J16" s="58">
        <f t="shared" si="4"/>
        <v>0</v>
      </c>
      <c r="K16" s="37"/>
    </row>
    <row r="17" spans="1:11" x14ac:dyDescent="0.25">
      <c r="A17" s="50">
        <f>'A) Base RI'!A19</f>
        <v>5413</v>
      </c>
      <c r="B17" s="308" t="str">
        <f>'A) Base RI'!B19</f>
        <v>Roche</v>
      </c>
      <c r="C17" s="99">
        <f>'B) D RI'!U19</f>
        <v>36754.028088235296</v>
      </c>
      <c r="D17" s="115">
        <f>'E) Fact soc'!G23/C17</f>
        <v>20.214765964845679</v>
      </c>
      <c r="E17" s="142">
        <f>'H) Péréquation directe'!I28/C17</f>
        <v>-8.4222089601927212</v>
      </c>
      <c r="F17" s="115">
        <f>+'I) Dépenses thématiques'!O17/'K) Plafonnement aide'!C17</f>
        <v>-1.1228111207706717</v>
      </c>
      <c r="G17" s="142">
        <f t="shared" si="1"/>
        <v>10.669745883882285</v>
      </c>
      <c r="H17" s="115">
        <f t="shared" si="2"/>
        <v>11.792557004652958</v>
      </c>
      <c r="I17" s="142">
        <f t="shared" si="3"/>
        <v>0</v>
      </c>
      <c r="J17" s="58">
        <f t="shared" si="4"/>
        <v>0</v>
      </c>
      <c r="K17" s="37"/>
    </row>
    <row r="18" spans="1:11" x14ac:dyDescent="0.25">
      <c r="A18" s="50">
        <f>'A) Base RI'!A20</f>
        <v>5414</v>
      </c>
      <c r="B18" s="308" t="str">
        <f>'A) Base RI'!B20</f>
        <v>Villeneuve</v>
      </c>
      <c r="C18" s="99">
        <f>'B) D RI'!U20</f>
        <v>161374.0856521739</v>
      </c>
      <c r="D18" s="115">
        <f>'E) Fact soc'!G24/C18</f>
        <v>21.74465888703142</v>
      </c>
      <c r="E18" s="142">
        <f>'H) Péréquation directe'!I29/C18</f>
        <v>-4.7988499187294114</v>
      </c>
      <c r="F18" s="115">
        <f>+'I) Dépenses thématiques'!O18/'K) Plafonnement aide'!C18</f>
        <v>-10.104425473631554</v>
      </c>
      <c r="G18" s="142">
        <f t="shared" si="1"/>
        <v>6.8413834946704561</v>
      </c>
      <c r="H18" s="115">
        <f t="shared" si="2"/>
        <v>16.945808968302011</v>
      </c>
      <c r="I18" s="142">
        <f t="shared" si="3"/>
        <v>0</v>
      </c>
      <c r="J18" s="58">
        <f t="shared" si="4"/>
        <v>0</v>
      </c>
      <c r="K18" s="37"/>
    </row>
    <row r="19" spans="1:11" x14ac:dyDescent="0.25">
      <c r="A19" s="50">
        <f>'A) Base RI'!A21</f>
        <v>5415</v>
      </c>
      <c r="B19" s="308" t="str">
        <f>'A) Base RI'!B21</f>
        <v>Yvorne</v>
      </c>
      <c r="C19" s="99">
        <f>'B) D RI'!U21</f>
        <v>34416.914731934739</v>
      </c>
      <c r="D19" s="115">
        <f>'E) Fact soc'!G25/C19</f>
        <v>19.431821884922236</v>
      </c>
      <c r="E19" s="142">
        <f>'H) Péréquation directe'!I30/C19</f>
        <v>7.939724226172153</v>
      </c>
      <c r="F19" s="115">
        <f>+'I) Dépenses thématiques'!O19/'K) Plafonnement aide'!C19</f>
        <v>-3.0690163944716482</v>
      </c>
      <c r="G19" s="142">
        <f t="shared" si="1"/>
        <v>24.30252971662274</v>
      </c>
      <c r="H19" s="115">
        <f t="shared" si="2"/>
        <v>27.371546111094389</v>
      </c>
      <c r="I19" s="142">
        <f t="shared" si="3"/>
        <v>0</v>
      </c>
      <c r="J19" s="58">
        <f t="shared" si="4"/>
        <v>0</v>
      </c>
      <c r="K19" s="37"/>
    </row>
    <row r="20" spans="1:11" x14ac:dyDescent="0.25">
      <c r="A20" s="50">
        <f>'A) Base RI'!A22</f>
        <v>5421</v>
      </c>
      <c r="B20" s="308" t="str">
        <f>'A) Base RI'!B22</f>
        <v>Apples</v>
      </c>
      <c r="C20" s="99">
        <f>'B) D RI'!U22</f>
        <v>58623.163421052632</v>
      </c>
      <c r="D20" s="115">
        <f>'E) Fact soc'!G26/C20</f>
        <v>17.991336342365074</v>
      </c>
      <c r="E20" s="142">
        <f>'H) Péréquation directe'!I31/C20</f>
        <v>12.834227046163923</v>
      </c>
      <c r="F20" s="115">
        <f>+'I) Dépenses thématiques'!O20/'K) Plafonnement aide'!C20</f>
        <v>-3.0472322966409977</v>
      </c>
      <c r="G20" s="142">
        <f t="shared" si="1"/>
        <v>27.778331091887999</v>
      </c>
      <c r="H20" s="115">
        <f t="shared" si="2"/>
        <v>30.825563388528998</v>
      </c>
      <c r="I20" s="142">
        <f t="shared" si="3"/>
        <v>0</v>
      </c>
      <c r="J20" s="58">
        <f t="shared" si="4"/>
        <v>0</v>
      </c>
      <c r="K20" s="37"/>
    </row>
    <row r="21" spans="1:11" x14ac:dyDescent="0.25">
      <c r="A21" s="50">
        <f>'A) Base RI'!A23</f>
        <v>5422</v>
      </c>
      <c r="B21" s="308" t="str">
        <f>'A) Base RI'!B23</f>
        <v>Aubonne</v>
      </c>
      <c r="C21" s="99">
        <f>'B) D RI'!U23</f>
        <v>244308.18220588236</v>
      </c>
      <c r="D21" s="115">
        <f>'E) Fact soc'!G27/C21</f>
        <v>26.508367917950306</v>
      </c>
      <c r="E21" s="142">
        <f>'H) Péréquation directe'!I32/C21</f>
        <v>16.132255519863715</v>
      </c>
      <c r="F21" s="115">
        <f>+'I) Dépenses thématiques'!O21/'K) Plafonnement aide'!C21</f>
        <v>-8.1596353362846402E-2</v>
      </c>
      <c r="G21" s="142">
        <f t="shared" si="1"/>
        <v>42.559027084451174</v>
      </c>
      <c r="H21" s="115">
        <f t="shared" si="2"/>
        <v>42.640623437814021</v>
      </c>
      <c r="I21" s="142">
        <f t="shared" si="3"/>
        <v>0</v>
      </c>
      <c r="J21" s="58">
        <f t="shared" si="4"/>
        <v>0</v>
      </c>
      <c r="K21" s="37"/>
    </row>
    <row r="22" spans="1:11" x14ac:dyDescent="0.25">
      <c r="A22" s="50">
        <f>'A) Base RI'!A24</f>
        <v>5423</v>
      </c>
      <c r="B22" s="308" t="str">
        <f>'A) Base RI'!B24</f>
        <v>Ballens</v>
      </c>
      <c r="C22" s="99">
        <f>'B) D RI'!U24</f>
        <v>16828.247681159421</v>
      </c>
      <c r="D22" s="115">
        <f>'E) Fact soc'!G28/C22</f>
        <v>19.954950316282488</v>
      </c>
      <c r="E22" s="142">
        <f>'H) Péréquation directe'!I33/C22</f>
        <v>8.2585295328816102</v>
      </c>
      <c r="F22" s="115">
        <f>+'I) Dépenses thématiques'!O22/'K) Plafonnement aide'!C22</f>
        <v>-3.3044892710547615</v>
      </c>
      <c r="G22" s="142">
        <f t="shared" si="1"/>
        <v>24.908990578109336</v>
      </c>
      <c r="H22" s="115">
        <f t="shared" si="2"/>
        <v>28.213479849164099</v>
      </c>
      <c r="I22" s="142">
        <f t="shared" si="3"/>
        <v>0</v>
      </c>
      <c r="J22" s="58">
        <f t="shared" si="4"/>
        <v>0</v>
      </c>
      <c r="K22" s="37"/>
    </row>
    <row r="23" spans="1:11" x14ac:dyDescent="0.25">
      <c r="A23" s="50">
        <f>'A) Base RI'!A25</f>
        <v>5424</v>
      </c>
      <c r="B23" s="308" t="str">
        <f>'A) Base RI'!B25</f>
        <v>Berolle</v>
      </c>
      <c r="C23" s="99">
        <f>'B) D RI'!U25</f>
        <v>11334.098571428574</v>
      </c>
      <c r="D23" s="115">
        <f>'E) Fact soc'!G29/C23</f>
        <v>17.559267980627258</v>
      </c>
      <c r="E23" s="142">
        <f>'H) Péréquation directe'!I34/C23</f>
        <v>11.990732583917373</v>
      </c>
      <c r="F23" s="115">
        <f>+'I) Dépenses thématiques'!O23/'K) Plafonnement aide'!C23</f>
        <v>-1.0528105518253434</v>
      </c>
      <c r="G23" s="142">
        <f t="shared" si="1"/>
        <v>28.49719001271929</v>
      </c>
      <c r="H23" s="115">
        <f t="shared" si="2"/>
        <v>29.550000564544632</v>
      </c>
      <c r="I23" s="142">
        <f t="shared" si="3"/>
        <v>0</v>
      </c>
      <c r="J23" s="58">
        <f t="shared" si="4"/>
        <v>0</v>
      </c>
      <c r="K23" s="37"/>
    </row>
    <row r="24" spans="1:11" x14ac:dyDescent="0.25">
      <c r="A24" s="50">
        <f>'A) Base RI'!A26</f>
        <v>5425</v>
      </c>
      <c r="B24" s="308" t="str">
        <f>'A) Base RI'!B26</f>
        <v>Bière</v>
      </c>
      <c r="C24" s="99">
        <f>'B) D RI'!U26</f>
        <v>40579.487849898578</v>
      </c>
      <c r="D24" s="115">
        <f>'E) Fact soc'!G30/C24</f>
        <v>17.69098039402661</v>
      </c>
      <c r="E24" s="142">
        <f>'H) Péréquation directe'!I35/C24</f>
        <v>-1.8872776613554541</v>
      </c>
      <c r="F24" s="115">
        <f>+'I) Dépenses thématiques'!O24/'K) Plafonnement aide'!C24</f>
        <v>-14.011622303276697</v>
      </c>
      <c r="G24" s="142">
        <f t="shared" si="1"/>
        <v>1.7920804293944581</v>
      </c>
      <c r="H24" s="115">
        <f t="shared" si="2"/>
        <v>15.803702732671155</v>
      </c>
      <c r="I24" s="142">
        <f t="shared" si="3"/>
        <v>0</v>
      </c>
      <c r="J24" s="58">
        <f t="shared" si="4"/>
        <v>0</v>
      </c>
      <c r="K24" s="37"/>
    </row>
    <row r="25" spans="1:11" x14ac:dyDescent="0.25">
      <c r="A25" s="50">
        <f>'A) Base RI'!A27</f>
        <v>5426</v>
      </c>
      <c r="B25" s="308" t="str">
        <f>'A) Base RI'!B27</f>
        <v>Bougy-Villars</v>
      </c>
      <c r="C25" s="99">
        <f>'B) D RI'!U27</f>
        <v>47833.150252525251</v>
      </c>
      <c r="D25" s="115">
        <f>'E) Fact soc'!G31/C25</f>
        <v>37.333884828636855</v>
      </c>
      <c r="E25" s="142">
        <f>'H) Péréquation directe'!I36/C25</f>
        <v>18.765296471493354</v>
      </c>
      <c r="F25" s="115">
        <f>+'I) Dépenses thématiques'!O25/'K) Plafonnement aide'!C25</f>
        <v>0</v>
      </c>
      <c r="G25" s="142">
        <f t="shared" si="1"/>
        <v>56.099181300130212</v>
      </c>
      <c r="H25" s="115">
        <f t="shared" si="2"/>
        <v>56.099181300130212</v>
      </c>
      <c r="I25" s="142">
        <f t="shared" si="3"/>
        <v>0</v>
      </c>
      <c r="J25" s="58">
        <f t="shared" si="4"/>
        <v>0</v>
      </c>
      <c r="K25" s="37"/>
    </row>
    <row r="26" spans="1:11" x14ac:dyDescent="0.25">
      <c r="A26" s="50">
        <f>'A) Base RI'!A28</f>
        <v>5427</v>
      </c>
      <c r="B26" s="308" t="str">
        <f>'A) Base RI'!B28</f>
        <v>Féchy</v>
      </c>
      <c r="C26" s="99">
        <f>'B) D RI'!U28</f>
        <v>79308.783786057698</v>
      </c>
      <c r="D26" s="115">
        <f>'E) Fact soc'!G32/C26</f>
        <v>29.11237951099984</v>
      </c>
      <c r="E26" s="142">
        <f>'H) Péréquation directe'!I37/C26</f>
        <v>18.618662692286492</v>
      </c>
      <c r="F26" s="115">
        <f>+'I) Dépenses thématiques'!O26/'K) Plafonnement aide'!C26</f>
        <v>0</v>
      </c>
      <c r="G26" s="142">
        <f t="shared" si="1"/>
        <v>47.731042203286336</v>
      </c>
      <c r="H26" s="115">
        <f t="shared" si="2"/>
        <v>47.731042203286336</v>
      </c>
      <c r="I26" s="142">
        <f t="shared" si="3"/>
        <v>0</v>
      </c>
      <c r="J26" s="58">
        <f t="shared" si="4"/>
        <v>0</v>
      </c>
      <c r="K26" s="37"/>
    </row>
    <row r="27" spans="1:11" x14ac:dyDescent="0.25">
      <c r="A27" s="50">
        <f>'A) Base RI'!A29</f>
        <v>5428</v>
      </c>
      <c r="B27" s="308" t="str">
        <f>'A) Base RI'!B29</f>
        <v>Gimel</v>
      </c>
      <c r="C27" s="99">
        <f>'B) D RI'!U29</f>
        <v>61728.526853146868</v>
      </c>
      <c r="D27" s="115">
        <f>'E) Fact soc'!G33/C27</f>
        <v>22.611141696548341</v>
      </c>
      <c r="E27" s="142">
        <f>'H) Péréquation directe'!I38/C27</f>
        <v>2.6166973963876128</v>
      </c>
      <c r="F27" s="115">
        <f>+'I) Dépenses thématiques'!O27/'K) Plafonnement aide'!C27</f>
        <v>-8.9050836260680271</v>
      </c>
      <c r="G27" s="142">
        <f t="shared" si="1"/>
        <v>16.322755466867925</v>
      </c>
      <c r="H27" s="115">
        <f t="shared" si="2"/>
        <v>25.227839092935952</v>
      </c>
      <c r="I27" s="142">
        <f t="shared" si="3"/>
        <v>0</v>
      </c>
      <c r="J27" s="58">
        <f t="shared" si="4"/>
        <v>0</v>
      </c>
      <c r="K27" s="37"/>
    </row>
    <row r="28" spans="1:11" x14ac:dyDescent="0.25">
      <c r="A28" s="50">
        <f>'A) Base RI'!A30</f>
        <v>5429</v>
      </c>
      <c r="B28" s="308" t="str">
        <f>'A) Base RI'!B30</f>
        <v>Longirod</v>
      </c>
      <c r="C28" s="99">
        <f>'B) D RI'!U30</f>
        <v>14939.782716049382</v>
      </c>
      <c r="D28" s="115">
        <f>'E) Fact soc'!G34/C28</f>
        <v>18.556573754441967</v>
      </c>
      <c r="E28" s="142">
        <f>'H) Péréquation directe'!I39/C28</f>
        <v>5.177359132588486</v>
      </c>
      <c r="F28" s="115">
        <f>+'I) Dépenses thématiques'!O28/'K) Plafonnement aide'!C28</f>
        <v>-6.6271523855768653</v>
      </c>
      <c r="G28" s="142">
        <f t="shared" si="1"/>
        <v>17.106780501453585</v>
      </c>
      <c r="H28" s="115">
        <f t="shared" si="2"/>
        <v>23.733932887030448</v>
      </c>
      <c r="I28" s="142">
        <f t="shared" si="3"/>
        <v>0</v>
      </c>
      <c r="J28" s="58">
        <f t="shared" si="4"/>
        <v>0</v>
      </c>
      <c r="K28" s="37"/>
    </row>
    <row r="29" spans="1:11" x14ac:dyDescent="0.25">
      <c r="A29" s="50">
        <f>'A) Base RI'!A31</f>
        <v>5430</v>
      </c>
      <c r="B29" s="308" t="str">
        <f>'A) Base RI'!B31</f>
        <v>Marchissy</v>
      </c>
      <c r="C29" s="99">
        <f>'B) D RI'!U31</f>
        <v>13613.731392405061</v>
      </c>
      <c r="D29" s="115">
        <f>'E) Fact soc'!G35/C29</f>
        <v>19.601630001368925</v>
      </c>
      <c r="E29" s="142">
        <f>'H) Péréquation directe'!I40/C29</f>
        <v>3.1813975311080553</v>
      </c>
      <c r="F29" s="115">
        <f>+'I) Dépenses thématiques'!O29/'K) Plafonnement aide'!C29</f>
        <v>-15.43278672432724</v>
      </c>
      <c r="G29" s="142">
        <f t="shared" si="1"/>
        <v>7.3502408081497386</v>
      </c>
      <c r="H29" s="115">
        <f t="shared" si="2"/>
        <v>22.783027532476979</v>
      </c>
      <c r="I29" s="142">
        <f t="shared" si="3"/>
        <v>0</v>
      </c>
      <c r="J29" s="58">
        <f t="shared" si="4"/>
        <v>0</v>
      </c>
      <c r="K29" s="37"/>
    </row>
    <row r="30" spans="1:11" x14ac:dyDescent="0.25">
      <c r="A30" s="50">
        <f>'A) Base RI'!A32</f>
        <v>5431</v>
      </c>
      <c r="B30" s="308" t="str">
        <f>'A) Base RI'!B32</f>
        <v>Mollens</v>
      </c>
      <c r="C30" s="99">
        <f>'B) D RI'!U32</f>
        <v>8973.9812162162179</v>
      </c>
      <c r="D30" s="115">
        <f>'E) Fact soc'!G36/C30</f>
        <v>17.391259937054784</v>
      </c>
      <c r="E30" s="142">
        <f>'H) Péréquation directe'!I41/C30</f>
        <v>4.6062575807831374</v>
      </c>
      <c r="F30" s="115">
        <f>+'I) Dépenses thématiques'!O30/'K) Plafonnement aide'!C30</f>
        <v>-2.4787509079740295</v>
      </c>
      <c r="G30" s="142">
        <f t="shared" si="1"/>
        <v>19.518766609863892</v>
      </c>
      <c r="H30" s="115">
        <f t="shared" si="2"/>
        <v>21.99751751783792</v>
      </c>
      <c r="I30" s="142">
        <f t="shared" si="3"/>
        <v>0</v>
      </c>
      <c r="J30" s="58">
        <f t="shared" si="4"/>
        <v>0</v>
      </c>
      <c r="K30" s="37"/>
    </row>
    <row r="31" spans="1:11" x14ac:dyDescent="0.25">
      <c r="A31" s="50">
        <f>'A) Base RI'!A33</f>
        <v>5432</v>
      </c>
      <c r="B31" s="308" t="str">
        <f>'A) Base RI'!B33</f>
        <v>Montherod</v>
      </c>
      <c r="C31" s="99">
        <f>'B) D RI'!U33</f>
        <v>17887.262179487177</v>
      </c>
      <c r="D31" s="115">
        <f>'E) Fact soc'!G37/C31</f>
        <v>19.13818890492751</v>
      </c>
      <c r="E31" s="142">
        <f>'H) Péréquation directe'!I42/C31</f>
        <v>7.8495204046471807</v>
      </c>
      <c r="F31" s="115">
        <f>+'I) Dépenses thématiques'!O31/'K) Plafonnement aide'!C31</f>
        <v>0</v>
      </c>
      <c r="G31" s="142">
        <f t="shared" si="1"/>
        <v>26.98770930957469</v>
      </c>
      <c r="H31" s="115">
        <f t="shared" si="2"/>
        <v>26.98770930957469</v>
      </c>
      <c r="I31" s="142">
        <f t="shared" si="3"/>
        <v>0</v>
      </c>
      <c r="J31" s="58">
        <f t="shared" si="4"/>
        <v>0</v>
      </c>
      <c r="K31" s="37"/>
    </row>
    <row r="32" spans="1:11" x14ac:dyDescent="0.25">
      <c r="A32" s="50">
        <f>'A) Base RI'!A34</f>
        <v>5434</v>
      </c>
      <c r="B32" s="308" t="str">
        <f>'A) Base RI'!B34</f>
        <v>Saint-George</v>
      </c>
      <c r="C32" s="99">
        <f>'B) D RI'!U34</f>
        <v>37133.404507042258</v>
      </c>
      <c r="D32" s="115">
        <f>'E) Fact soc'!G38/C32</f>
        <v>21.832239816108416</v>
      </c>
      <c r="E32" s="142">
        <f>'H) Péréquation directe'!I43/C32</f>
        <v>11.270383223401163</v>
      </c>
      <c r="F32" s="115">
        <f>+'I) Dépenses thématiques'!O32/'K) Plafonnement aide'!C32</f>
        <v>-1.7852394752787248</v>
      </c>
      <c r="G32" s="142">
        <f t="shared" si="1"/>
        <v>31.317383564230855</v>
      </c>
      <c r="H32" s="115">
        <f t="shared" si="2"/>
        <v>33.102623039509581</v>
      </c>
      <c r="I32" s="142">
        <f t="shared" si="3"/>
        <v>0</v>
      </c>
      <c r="J32" s="58">
        <f t="shared" si="4"/>
        <v>0</v>
      </c>
      <c r="K32" s="37"/>
    </row>
    <row r="33" spans="1:11" x14ac:dyDescent="0.25">
      <c r="A33" s="50">
        <f>'A) Base RI'!A35</f>
        <v>5435</v>
      </c>
      <c r="B33" s="308" t="str">
        <f>'A) Base RI'!B35</f>
        <v>Saint-Livres</v>
      </c>
      <c r="C33" s="99">
        <f>'B) D RI'!U35</f>
        <v>25639.681014492751</v>
      </c>
      <c r="D33" s="115">
        <f>'E) Fact soc'!G39/C33</f>
        <v>15.947970193713694</v>
      </c>
      <c r="E33" s="142">
        <f>'H) Péréquation directe'!I44/C33</f>
        <v>12.845114294827585</v>
      </c>
      <c r="F33" s="115">
        <f>+'I) Dépenses thématiques'!O33/'K) Plafonnement aide'!C33</f>
        <v>-1.5463399833497449</v>
      </c>
      <c r="G33" s="142">
        <f t="shared" si="1"/>
        <v>27.246744505191533</v>
      </c>
      <c r="H33" s="115">
        <f t="shared" si="2"/>
        <v>28.793084488541279</v>
      </c>
      <c r="I33" s="142">
        <f t="shared" si="3"/>
        <v>0</v>
      </c>
      <c r="J33" s="58">
        <f t="shared" si="4"/>
        <v>0</v>
      </c>
      <c r="K33" s="37"/>
    </row>
    <row r="34" spans="1:11" x14ac:dyDescent="0.25">
      <c r="A34" s="50">
        <f>'A) Base RI'!A36</f>
        <v>5436</v>
      </c>
      <c r="B34" s="308" t="str">
        <f>'A) Base RI'!B36</f>
        <v>Saint-Oyens</v>
      </c>
      <c r="C34" s="99">
        <f>'B) D RI'!U36</f>
        <v>11326.600185185187</v>
      </c>
      <c r="D34" s="115">
        <f>'E) Fact soc'!G40/C34</f>
        <v>23.394008263494669</v>
      </c>
      <c r="E34" s="142">
        <f>'H) Péréquation directe'!I45/C34</f>
        <v>3.9764478592563135</v>
      </c>
      <c r="F34" s="115">
        <f>+'I) Dépenses thématiques'!O34/'K) Plafonnement aide'!C34</f>
        <v>-11.423855935097125</v>
      </c>
      <c r="G34" s="142">
        <f t="shared" si="1"/>
        <v>15.946600187653859</v>
      </c>
      <c r="H34" s="115">
        <f t="shared" si="2"/>
        <v>27.370456122750983</v>
      </c>
      <c r="I34" s="142">
        <f t="shared" si="3"/>
        <v>0</v>
      </c>
      <c r="J34" s="58">
        <f t="shared" si="4"/>
        <v>0</v>
      </c>
      <c r="K34" s="37"/>
    </row>
    <row r="35" spans="1:11" x14ac:dyDescent="0.25">
      <c r="A35" s="50">
        <f>'A) Base RI'!A37</f>
        <v>5437</v>
      </c>
      <c r="B35" s="308" t="str">
        <f>'A) Base RI'!B37</f>
        <v>Saubraz</v>
      </c>
      <c r="C35" s="99">
        <f>'B) D RI'!U37</f>
        <v>9913.9082500000004</v>
      </c>
      <c r="D35" s="115">
        <f>'E) Fact soc'!G41/C35</f>
        <v>18.025594223855919</v>
      </c>
      <c r="E35" s="142">
        <f>'H) Péréquation directe'!I46/C35</f>
        <v>-8.5482990648726034</v>
      </c>
      <c r="F35" s="115">
        <f>+'I) Dépenses thématiques'!O35/'K) Plafonnement aide'!C35</f>
        <v>-6.9484069829373292</v>
      </c>
      <c r="G35" s="142">
        <f t="shared" si="1"/>
        <v>2.528888176045986</v>
      </c>
      <c r="H35" s="115">
        <f t="shared" si="2"/>
        <v>9.4772951589833152</v>
      </c>
      <c r="I35" s="142">
        <f t="shared" si="3"/>
        <v>0</v>
      </c>
      <c r="J35" s="58">
        <f t="shared" si="4"/>
        <v>0</v>
      </c>
      <c r="K35" s="37"/>
    </row>
    <row r="36" spans="1:11" x14ac:dyDescent="0.25">
      <c r="A36" s="50">
        <f>'A) Base RI'!A38</f>
        <v>5451</v>
      </c>
      <c r="B36" s="308" t="str">
        <f>'A) Base RI'!B38</f>
        <v>Avenches</v>
      </c>
      <c r="C36" s="99">
        <f>'B) D RI'!U38</f>
        <v>95537.476225490187</v>
      </c>
      <c r="D36" s="115">
        <f>'E) Fact soc'!G42/C36</f>
        <v>20.520976875064601</v>
      </c>
      <c r="E36" s="142">
        <f>'H) Péréquation directe'!I47/C36</f>
        <v>-13.046501720972392</v>
      </c>
      <c r="F36" s="115">
        <f>+'I) Dépenses thématiques'!O36/'K) Plafonnement aide'!C36</f>
        <v>-16.935482801106826</v>
      </c>
      <c r="G36" s="142">
        <f t="shared" si="1"/>
        <v>-9.4610076470146165</v>
      </c>
      <c r="H36" s="115">
        <f t="shared" si="2"/>
        <v>7.4744751540922092</v>
      </c>
      <c r="I36" s="142">
        <f t="shared" si="3"/>
        <v>0</v>
      </c>
      <c r="J36" s="58">
        <f t="shared" si="4"/>
        <v>0</v>
      </c>
      <c r="K36" s="37"/>
    </row>
    <row r="37" spans="1:11" x14ac:dyDescent="0.25">
      <c r="A37" s="50">
        <f>'A) Base RI'!A39</f>
        <v>5456</v>
      </c>
      <c r="B37" s="308" t="str">
        <f>'A) Base RI'!B39</f>
        <v>Cudrefin</v>
      </c>
      <c r="C37" s="99">
        <f>'B) D RI'!U39</f>
        <v>54725.941638418088</v>
      </c>
      <c r="D37" s="115">
        <f>'E) Fact soc'!G43/C37</f>
        <v>19.222466282854302</v>
      </c>
      <c r="E37" s="142">
        <f>'H) Péréquation directe'!I48/C37</f>
        <v>9.697173946379678</v>
      </c>
      <c r="F37" s="115">
        <f>+'I) Dépenses thématiques'!O37/'K) Plafonnement aide'!C37</f>
        <v>-5.6696895636725388</v>
      </c>
      <c r="G37" s="142">
        <f t="shared" si="1"/>
        <v>23.249950665561443</v>
      </c>
      <c r="H37" s="115">
        <f t="shared" si="2"/>
        <v>28.91964022923398</v>
      </c>
      <c r="I37" s="142">
        <f t="shared" si="3"/>
        <v>0</v>
      </c>
      <c r="J37" s="58">
        <f t="shared" si="4"/>
        <v>0</v>
      </c>
      <c r="K37" s="37"/>
    </row>
    <row r="38" spans="1:11" x14ac:dyDescent="0.25">
      <c r="A38" s="50">
        <f>'A) Base RI'!A40</f>
        <v>5458</v>
      </c>
      <c r="B38" s="308" t="str">
        <f>'A) Base RI'!B40</f>
        <v>Faoug</v>
      </c>
      <c r="C38" s="99">
        <f>'B) D RI'!U40</f>
        <v>34607.593906250004</v>
      </c>
      <c r="D38" s="115">
        <f>'E) Fact soc'!G44/C38</f>
        <v>19.523668288466954</v>
      </c>
      <c r="E38" s="142">
        <f>'H) Péréquation directe'!I49/C38</f>
        <v>14.105289572790804</v>
      </c>
      <c r="F38" s="115">
        <f>+'I) Dépenses thématiques'!O38/'K) Plafonnement aide'!C38</f>
        <v>-2.5694270108284254</v>
      </c>
      <c r="G38" s="142">
        <f t="shared" si="1"/>
        <v>31.059530850429333</v>
      </c>
      <c r="H38" s="115">
        <f t="shared" si="2"/>
        <v>33.62895786125776</v>
      </c>
      <c r="I38" s="142">
        <f t="shared" si="3"/>
        <v>0</v>
      </c>
      <c r="J38" s="58">
        <f t="shared" si="4"/>
        <v>0</v>
      </c>
      <c r="K38" s="37"/>
    </row>
    <row r="39" spans="1:11" x14ac:dyDescent="0.25">
      <c r="A39" s="50">
        <f>'A) Base RI'!A41</f>
        <v>5464</v>
      </c>
      <c r="B39" s="308" t="str">
        <f>'A) Base RI'!B41</f>
        <v>Vully-les-Lacs</v>
      </c>
      <c r="C39" s="99">
        <f>'B) D RI'!U41</f>
        <v>98727.295671641783</v>
      </c>
      <c r="D39" s="115">
        <f>'E) Fact soc'!G45/C39</f>
        <v>18.823801379620832</v>
      </c>
      <c r="E39" s="142">
        <f>'H) Péréquation directe'!I50/C39</f>
        <v>4.0170764782017567</v>
      </c>
      <c r="F39" s="115">
        <f>+'I) Dépenses thématiques'!O39/'K) Plafonnement aide'!C39</f>
        <v>-4.8825527194969016</v>
      </c>
      <c r="G39" s="142">
        <f t="shared" si="1"/>
        <v>17.958325138325691</v>
      </c>
      <c r="H39" s="115">
        <f t="shared" si="2"/>
        <v>22.840877857822591</v>
      </c>
      <c r="I39" s="142">
        <f t="shared" si="3"/>
        <v>0</v>
      </c>
      <c r="J39" s="58">
        <f t="shared" si="4"/>
        <v>0</v>
      </c>
      <c r="K39" s="37"/>
    </row>
    <row r="40" spans="1:11" x14ac:dyDescent="0.25">
      <c r="A40" s="50">
        <f>'A) Base RI'!A42</f>
        <v>5471</v>
      </c>
      <c r="B40" s="308" t="str">
        <f>'A) Base RI'!B42</f>
        <v>Bettens</v>
      </c>
      <c r="C40" s="99">
        <f>'B) D RI'!U42</f>
        <v>19145.941571428568</v>
      </c>
      <c r="D40" s="115">
        <f>'E) Fact soc'!G46/C40</f>
        <v>21.383491862283417</v>
      </c>
      <c r="E40" s="142">
        <f>'H) Péréquation directe'!I51/C40</f>
        <v>9.3717495973646443</v>
      </c>
      <c r="F40" s="115">
        <f>+'I) Dépenses thématiques'!O40/'K) Plafonnement aide'!C40</f>
        <v>0</v>
      </c>
      <c r="G40" s="142">
        <f t="shared" si="1"/>
        <v>30.755241459648062</v>
      </c>
      <c r="H40" s="115">
        <f t="shared" si="2"/>
        <v>30.755241459648062</v>
      </c>
      <c r="I40" s="142">
        <f t="shared" si="3"/>
        <v>0</v>
      </c>
      <c r="J40" s="58">
        <f t="shared" si="4"/>
        <v>0</v>
      </c>
      <c r="K40" s="37"/>
    </row>
    <row r="41" spans="1:11" x14ac:dyDescent="0.25">
      <c r="A41" s="50">
        <f>'A) Base RI'!A43</f>
        <v>5472</v>
      </c>
      <c r="B41" s="308" t="str">
        <f>'A) Base RI'!B43</f>
        <v>Bournens</v>
      </c>
      <c r="C41" s="99">
        <f>'B) D RI'!U43</f>
        <v>14770.012375000002</v>
      </c>
      <c r="D41" s="115">
        <f>'E) Fact soc'!G47/C41</f>
        <v>17.492216511082962</v>
      </c>
      <c r="E41" s="142">
        <f>'H) Péréquation directe'!I52/C41</f>
        <v>9.3038121041929447</v>
      </c>
      <c r="F41" s="115">
        <f>+'I) Dépenses thématiques'!O41/'K) Plafonnement aide'!C41</f>
        <v>-2.5073432424087585</v>
      </c>
      <c r="G41" s="142">
        <f t="shared" si="1"/>
        <v>24.28868537286715</v>
      </c>
      <c r="H41" s="115">
        <f t="shared" si="2"/>
        <v>26.796028615275908</v>
      </c>
      <c r="I41" s="142">
        <f t="shared" si="3"/>
        <v>0</v>
      </c>
      <c r="J41" s="58">
        <f t="shared" si="4"/>
        <v>0</v>
      </c>
      <c r="K41" s="37"/>
    </row>
    <row r="42" spans="1:11" x14ac:dyDescent="0.25">
      <c r="A42" s="50">
        <f>'A) Base RI'!A44</f>
        <v>5473</v>
      </c>
      <c r="B42" s="308" t="str">
        <f>'A) Base RI'!B44</f>
        <v>Boussens</v>
      </c>
      <c r="C42" s="99">
        <f>'B) D RI'!U44</f>
        <v>33002.569420289859</v>
      </c>
      <c r="D42" s="115">
        <f>'E) Fact soc'!G48/C42</f>
        <v>17.196398852583041</v>
      </c>
      <c r="E42" s="142">
        <f>'H) Péréquation directe'!I53/C42</f>
        <v>9.7891572131896929</v>
      </c>
      <c r="F42" s="115">
        <f>+'I) Dépenses thématiques'!O42/'K) Plafonnement aide'!C42</f>
        <v>0</v>
      </c>
      <c r="G42" s="142">
        <f t="shared" si="1"/>
        <v>26.985556065772734</v>
      </c>
      <c r="H42" s="115">
        <f t="shared" si="2"/>
        <v>26.985556065772734</v>
      </c>
      <c r="I42" s="142">
        <f t="shared" si="3"/>
        <v>0</v>
      </c>
      <c r="J42" s="58">
        <f t="shared" si="4"/>
        <v>0</v>
      </c>
      <c r="K42" s="37"/>
    </row>
    <row r="43" spans="1:11" x14ac:dyDescent="0.25">
      <c r="A43" s="50">
        <f>'A) Base RI'!A45</f>
        <v>5474</v>
      </c>
      <c r="B43" s="308" t="str">
        <f>'A) Base RI'!B45</f>
        <v>La Chaux (Cossonay)</v>
      </c>
      <c r="C43" s="99">
        <f>'B) D RI'!U45</f>
        <v>13388.045367965367</v>
      </c>
      <c r="D43" s="115">
        <f>'E) Fact soc'!G49/C43</f>
        <v>23.834813534493328</v>
      </c>
      <c r="E43" s="142">
        <f>'H) Péréquation directe'!I54/C43</f>
        <v>6.2584319920244109</v>
      </c>
      <c r="F43" s="115">
        <f>+'I) Dépenses thématiques'!O43/'K) Plafonnement aide'!C43</f>
        <v>-7.7752346145547548</v>
      </c>
      <c r="G43" s="142">
        <f t="shared" si="1"/>
        <v>22.318010911962986</v>
      </c>
      <c r="H43" s="115">
        <f t="shared" si="2"/>
        <v>30.093245526517741</v>
      </c>
      <c r="I43" s="142">
        <f t="shared" si="3"/>
        <v>0</v>
      </c>
      <c r="J43" s="58">
        <f t="shared" si="4"/>
        <v>0</v>
      </c>
      <c r="K43" s="37"/>
    </row>
    <row r="44" spans="1:11" x14ac:dyDescent="0.25">
      <c r="A44" s="50">
        <f>'A) Base RI'!A46</f>
        <v>5475</v>
      </c>
      <c r="B44" s="308" t="str">
        <f>'A) Base RI'!B46</f>
        <v>Chavannes-le-Veyron</v>
      </c>
      <c r="C44" s="99">
        <f>'B) D RI'!U46</f>
        <v>3775.6794805194804</v>
      </c>
      <c r="D44" s="115">
        <f>'E) Fact soc'!G50/C44</f>
        <v>16.504514247079975</v>
      </c>
      <c r="E44" s="142">
        <f>'H) Péréquation directe'!I55/C44</f>
        <v>-0.85360019553271871</v>
      </c>
      <c r="F44" s="115">
        <f>+'I) Dépenses thématiques'!O44/'K) Plafonnement aide'!C44</f>
        <v>-11.334559442160442</v>
      </c>
      <c r="G44" s="142">
        <f t="shared" si="1"/>
        <v>4.3163546093868135</v>
      </c>
      <c r="H44" s="115">
        <f t="shared" si="2"/>
        <v>15.650914051547256</v>
      </c>
      <c r="I44" s="142">
        <f t="shared" si="3"/>
        <v>0</v>
      </c>
      <c r="J44" s="58">
        <f t="shared" si="4"/>
        <v>0</v>
      </c>
      <c r="K44" s="37"/>
    </row>
    <row r="45" spans="1:11" x14ac:dyDescent="0.25">
      <c r="A45" s="50">
        <f>'A) Base RI'!A47</f>
        <v>5476</v>
      </c>
      <c r="B45" s="308" t="str">
        <f>'A) Base RI'!B47</f>
        <v>Chevilly</v>
      </c>
      <c r="C45" s="99">
        <f>'B) D RI'!U47</f>
        <v>10077.570765765768</v>
      </c>
      <c r="D45" s="115">
        <f>'E) Fact soc'!G51/C45</f>
        <v>15.994931562718778</v>
      </c>
      <c r="E45" s="142">
        <f>'H) Péréquation directe'!I56/C45</f>
        <v>9.0104941034787345</v>
      </c>
      <c r="F45" s="115">
        <f>+'I) Dépenses thématiques'!O45/'K) Plafonnement aide'!C45</f>
        <v>-3.3567192125626248</v>
      </c>
      <c r="G45" s="142">
        <f t="shared" si="1"/>
        <v>21.648706453634887</v>
      </c>
      <c r="H45" s="115">
        <f t="shared" si="2"/>
        <v>25.00542566619751</v>
      </c>
      <c r="I45" s="142">
        <f t="shared" si="3"/>
        <v>0</v>
      </c>
      <c r="J45" s="58">
        <f t="shared" si="4"/>
        <v>0</v>
      </c>
      <c r="K45" s="37"/>
    </row>
    <row r="46" spans="1:11" x14ac:dyDescent="0.25">
      <c r="A46" s="50">
        <f>'A) Base RI'!A48</f>
        <v>5477</v>
      </c>
      <c r="B46" s="308" t="str">
        <f>'A) Base RI'!B48</f>
        <v>Cossonay</v>
      </c>
      <c r="C46" s="99">
        <f>'B) D RI'!U48</f>
        <v>123540.83633802818</v>
      </c>
      <c r="D46" s="115">
        <f>'E) Fact soc'!G52/C46</f>
        <v>20.537416363013907</v>
      </c>
      <c r="E46" s="142">
        <f>'H) Péréquation directe'!I57/C46</f>
        <v>2.2809279014721899</v>
      </c>
      <c r="F46" s="115">
        <f>+'I) Dépenses thématiques'!O46/'K) Plafonnement aide'!C46</f>
        <v>-4.6150568417054556</v>
      </c>
      <c r="G46" s="142">
        <f t="shared" si="1"/>
        <v>18.20328742278064</v>
      </c>
      <c r="H46" s="115">
        <f t="shared" si="2"/>
        <v>22.818344264486097</v>
      </c>
      <c r="I46" s="142">
        <f t="shared" si="3"/>
        <v>0</v>
      </c>
      <c r="J46" s="58">
        <f t="shared" si="4"/>
        <v>0</v>
      </c>
      <c r="K46" s="37"/>
    </row>
    <row r="47" spans="1:11" x14ac:dyDescent="0.25">
      <c r="A47" s="50">
        <f>'A) Base RI'!A49</f>
        <v>5478</v>
      </c>
      <c r="B47" s="308" t="str">
        <f>'A) Base RI'!B49</f>
        <v>Cottens</v>
      </c>
      <c r="C47" s="99">
        <f>'B) D RI'!U49</f>
        <v>16872.928378378379</v>
      </c>
      <c r="D47" s="115">
        <f>'E) Fact soc'!G53/C47</f>
        <v>18.167836946997447</v>
      </c>
      <c r="E47" s="142">
        <f>'H) Péréquation directe'!I58/C47</f>
        <v>10.452933050681409</v>
      </c>
      <c r="F47" s="115">
        <f>+'I) Dépenses thématiques'!O47/'K) Plafonnement aide'!C47</f>
        <v>-1.7994908203745847</v>
      </c>
      <c r="G47" s="142">
        <f t="shared" si="1"/>
        <v>26.82127917730427</v>
      </c>
      <c r="H47" s="115">
        <f t="shared" si="2"/>
        <v>28.620769997678856</v>
      </c>
      <c r="I47" s="142">
        <f t="shared" si="3"/>
        <v>0</v>
      </c>
      <c r="J47" s="58">
        <f t="shared" si="4"/>
        <v>0</v>
      </c>
      <c r="K47" s="37"/>
    </row>
    <row r="48" spans="1:11" x14ac:dyDescent="0.25">
      <c r="A48" s="50">
        <f>'A) Base RI'!A50</f>
        <v>5479</v>
      </c>
      <c r="B48" s="308" t="str">
        <f>'A) Base RI'!B50</f>
        <v>Cuarnens</v>
      </c>
      <c r="C48" s="99">
        <f>'B) D RI'!U50</f>
        <v>15098.323116883119</v>
      </c>
      <c r="D48" s="115">
        <f>'E) Fact soc'!G54/C48</f>
        <v>19.925774378928942</v>
      </c>
      <c r="E48" s="142">
        <f>'H) Péréquation directe'!I59/C48</f>
        <v>5.8367986358792328</v>
      </c>
      <c r="F48" s="115">
        <f>+'I) Dépenses thématiques'!O48/'K) Plafonnement aide'!C48</f>
        <v>-9.3444528818750374</v>
      </c>
      <c r="G48" s="142">
        <f t="shared" si="1"/>
        <v>16.41812013293314</v>
      </c>
      <c r="H48" s="115">
        <f t="shared" si="2"/>
        <v>25.762573014808176</v>
      </c>
      <c r="I48" s="142">
        <f t="shared" si="3"/>
        <v>0</v>
      </c>
      <c r="J48" s="58">
        <f t="shared" si="4"/>
        <v>0</v>
      </c>
      <c r="K48" s="37"/>
    </row>
    <row r="49" spans="1:11" x14ac:dyDescent="0.25">
      <c r="A49" s="50">
        <f>'A) Base RI'!A51</f>
        <v>5480</v>
      </c>
      <c r="B49" s="308" t="str">
        <f>'A) Base RI'!B51</f>
        <v>Daillens</v>
      </c>
      <c r="C49" s="99">
        <f>'B) D RI'!U51</f>
        <v>41105.758873239436</v>
      </c>
      <c r="D49" s="115">
        <f>'E) Fact soc'!G55/C49</f>
        <v>17.638870298972524</v>
      </c>
      <c r="E49" s="142">
        <f>'H) Péréquation directe'!I60/C49</f>
        <v>15.049445139993935</v>
      </c>
      <c r="F49" s="115">
        <f>+'I) Dépenses thématiques'!O49/'K) Plafonnement aide'!C49</f>
        <v>-3.2104612681527973</v>
      </c>
      <c r="G49" s="142">
        <f t="shared" si="1"/>
        <v>29.477854170813657</v>
      </c>
      <c r="H49" s="115">
        <f t="shared" si="2"/>
        <v>32.688315438966455</v>
      </c>
      <c r="I49" s="142">
        <f t="shared" si="3"/>
        <v>0</v>
      </c>
      <c r="J49" s="58">
        <f t="shared" si="4"/>
        <v>0</v>
      </c>
      <c r="K49" s="37"/>
    </row>
    <row r="50" spans="1:11" x14ac:dyDescent="0.25">
      <c r="A50" s="50">
        <f>'A) Base RI'!A52</f>
        <v>5481</v>
      </c>
      <c r="B50" s="308" t="str">
        <f>'A) Base RI'!B52</f>
        <v>Dizy</v>
      </c>
      <c r="C50" s="99">
        <f>'B) D RI'!U52</f>
        <v>8417.6035443037963</v>
      </c>
      <c r="D50" s="115">
        <f>'E) Fact soc'!G56/C50</f>
        <v>16.822989624167953</v>
      </c>
      <c r="E50" s="142">
        <f>'H) Péréquation directe'!I61/C50</f>
        <v>10.933406305974241</v>
      </c>
      <c r="F50" s="115">
        <f>+'I) Dépenses thématiques'!O50/'K) Plafonnement aide'!C50</f>
        <v>-0.87844226628860522</v>
      </c>
      <c r="G50" s="142">
        <f t="shared" si="1"/>
        <v>26.877953663853589</v>
      </c>
      <c r="H50" s="115">
        <f t="shared" si="2"/>
        <v>27.756395930142194</v>
      </c>
      <c r="I50" s="142">
        <f t="shared" si="3"/>
        <v>0</v>
      </c>
      <c r="J50" s="58">
        <f t="shared" si="4"/>
        <v>0</v>
      </c>
      <c r="K50" s="37"/>
    </row>
    <row r="51" spans="1:11" x14ac:dyDescent="0.25">
      <c r="A51" s="50">
        <f>'A) Base RI'!A53</f>
        <v>5482</v>
      </c>
      <c r="B51" s="308" t="str">
        <f>'A) Base RI'!B53</f>
        <v>Eclépens</v>
      </c>
      <c r="C51" s="99">
        <f>'B) D RI'!U53</f>
        <v>48921.463913043473</v>
      </c>
      <c r="D51" s="115">
        <f>'E) Fact soc'!G57/C51</f>
        <v>21.204118318993476</v>
      </c>
      <c r="E51" s="142">
        <f>'H) Péréquation directe'!I62/C51</f>
        <v>16.773439703634082</v>
      </c>
      <c r="F51" s="115">
        <f>+'I) Dépenses thématiques'!O51/'K) Plafonnement aide'!C51</f>
        <v>-1.9984759401463759</v>
      </c>
      <c r="G51" s="142">
        <f t="shared" si="1"/>
        <v>35.979082082481185</v>
      </c>
      <c r="H51" s="115">
        <f t="shared" si="2"/>
        <v>37.977558022627562</v>
      </c>
      <c r="I51" s="142">
        <f t="shared" si="3"/>
        <v>0</v>
      </c>
      <c r="J51" s="58">
        <f t="shared" si="4"/>
        <v>0</v>
      </c>
      <c r="K51" s="37"/>
    </row>
    <row r="52" spans="1:11" x14ac:dyDescent="0.25">
      <c r="A52" s="50">
        <f>'A) Base RI'!A54</f>
        <v>5483</v>
      </c>
      <c r="B52" s="308" t="str">
        <f>'A) Base RI'!B54</f>
        <v>Ferreyres</v>
      </c>
      <c r="C52" s="99">
        <f>'B) D RI'!U54</f>
        <v>12338.918289473684</v>
      </c>
      <c r="D52" s="115">
        <f>'E) Fact soc'!G58/C52</f>
        <v>16.837889227314104</v>
      </c>
      <c r="E52" s="142">
        <f>'H) Péréquation directe'!I63/C52</f>
        <v>12.649013410917879</v>
      </c>
      <c r="F52" s="115">
        <f>+'I) Dépenses thématiques'!O52/'K) Plafonnement aide'!C52</f>
        <v>-0.56878894069224428</v>
      </c>
      <c r="G52" s="142">
        <f t="shared" si="1"/>
        <v>28.918113697539738</v>
      </c>
      <c r="H52" s="115">
        <f t="shared" si="2"/>
        <v>29.486902638231982</v>
      </c>
      <c r="I52" s="142">
        <f t="shared" si="3"/>
        <v>0</v>
      </c>
      <c r="J52" s="58">
        <f t="shared" si="4"/>
        <v>0</v>
      </c>
      <c r="K52" s="37"/>
    </row>
    <row r="53" spans="1:11" x14ac:dyDescent="0.25">
      <c r="A53" s="50">
        <f>'A) Base RI'!A55</f>
        <v>5484</v>
      </c>
      <c r="B53" s="308" t="str">
        <f>'A) Base RI'!B55</f>
        <v>Gollion</v>
      </c>
      <c r="C53" s="99">
        <f>'B) D RI'!U55</f>
        <v>33965.841756756759</v>
      </c>
      <c r="D53" s="115">
        <f>'E) Fact soc'!G59/C53</f>
        <v>20.939987700579614</v>
      </c>
      <c r="E53" s="142">
        <f>'H) Péréquation directe'!I64/C53</f>
        <v>11.831598731651148</v>
      </c>
      <c r="F53" s="115">
        <f>+'I) Dépenses thématiques'!O53/'K) Plafonnement aide'!C53</f>
        <v>-4.0790338462414475</v>
      </c>
      <c r="G53" s="142">
        <f t="shared" si="1"/>
        <v>28.692552585989315</v>
      </c>
      <c r="H53" s="115">
        <f t="shared" si="2"/>
        <v>32.771586432230762</v>
      </c>
      <c r="I53" s="142">
        <f t="shared" si="3"/>
        <v>0</v>
      </c>
      <c r="J53" s="58">
        <f t="shared" si="4"/>
        <v>0</v>
      </c>
      <c r="K53" s="37"/>
    </row>
    <row r="54" spans="1:11" x14ac:dyDescent="0.25">
      <c r="A54" s="50">
        <f>'A) Base RI'!A56</f>
        <v>5485</v>
      </c>
      <c r="B54" s="308" t="str">
        <f>'A) Base RI'!B56</f>
        <v>Grancy</v>
      </c>
      <c r="C54" s="99">
        <f>'B) D RI'!U56</f>
        <v>17740.37528571429</v>
      </c>
      <c r="D54" s="115">
        <f>'E) Fact soc'!G60/C54</f>
        <v>18.279403054902925</v>
      </c>
      <c r="E54" s="142">
        <f>'H) Péréquation directe'!I65/C54</f>
        <v>16.675249695555269</v>
      </c>
      <c r="F54" s="115">
        <f>+'I) Dépenses thématiques'!O54/'K) Plafonnement aide'!C54</f>
        <v>-1.9939949390022158</v>
      </c>
      <c r="G54" s="142">
        <f t="shared" si="1"/>
        <v>32.960657811455981</v>
      </c>
      <c r="H54" s="115">
        <f t="shared" si="2"/>
        <v>34.954652750458195</v>
      </c>
      <c r="I54" s="142">
        <f t="shared" si="3"/>
        <v>0</v>
      </c>
      <c r="J54" s="58">
        <f t="shared" si="4"/>
        <v>0</v>
      </c>
      <c r="K54" s="37"/>
    </row>
    <row r="55" spans="1:11" x14ac:dyDescent="0.25">
      <c r="A55" s="50">
        <f>'A) Base RI'!A57</f>
        <v>5486</v>
      </c>
      <c r="B55" s="308" t="str">
        <f>'A) Base RI'!B57</f>
        <v>L'Isle</v>
      </c>
      <c r="C55" s="99">
        <f>'B) D RI'!U57</f>
        <v>25696.695921052633</v>
      </c>
      <c r="D55" s="115">
        <f>'E) Fact soc'!G61/C55</f>
        <v>19.957762544467172</v>
      </c>
      <c r="E55" s="142">
        <f>'H) Péréquation directe'!I66/C55</f>
        <v>-2.5313267137857109</v>
      </c>
      <c r="F55" s="115">
        <f>+'I) Dépenses thématiques'!O55/'K) Plafonnement aide'!C55</f>
        <v>-12.929232363321089</v>
      </c>
      <c r="G55" s="142">
        <f t="shared" si="1"/>
        <v>4.4972034673603734</v>
      </c>
      <c r="H55" s="115">
        <f t="shared" si="2"/>
        <v>17.426435830681463</v>
      </c>
      <c r="I55" s="142">
        <f t="shared" si="3"/>
        <v>0</v>
      </c>
      <c r="J55" s="58">
        <f t="shared" si="4"/>
        <v>0</v>
      </c>
      <c r="K55" s="37"/>
    </row>
    <row r="56" spans="1:11" x14ac:dyDescent="0.25">
      <c r="A56" s="50">
        <f>'A) Base RI'!A58</f>
        <v>5487</v>
      </c>
      <c r="B56" s="308" t="str">
        <f>'A) Base RI'!B58</f>
        <v>Lussery-Villars</v>
      </c>
      <c r="C56" s="99">
        <f>'B) D RI'!U58</f>
        <v>14347.116805555555</v>
      </c>
      <c r="D56" s="115">
        <f>'E) Fact soc'!G62/C56</f>
        <v>18.92415328060757</v>
      </c>
      <c r="E56" s="142">
        <f>'H) Péréquation directe'!I67/C56</f>
        <v>6.8434792228707275</v>
      </c>
      <c r="F56" s="115">
        <f>+'I) Dépenses thématiques'!O56/'K) Plafonnement aide'!C56</f>
        <v>-0.88220158364958368</v>
      </c>
      <c r="G56" s="142">
        <f t="shared" si="1"/>
        <v>24.885430919828714</v>
      </c>
      <c r="H56" s="115">
        <f t="shared" si="2"/>
        <v>25.767632503478296</v>
      </c>
      <c r="I56" s="142">
        <f t="shared" si="3"/>
        <v>0</v>
      </c>
      <c r="J56" s="58">
        <f t="shared" si="4"/>
        <v>0</v>
      </c>
      <c r="K56" s="37"/>
    </row>
    <row r="57" spans="1:11" x14ac:dyDescent="0.25">
      <c r="A57" s="50">
        <f>'A) Base RI'!A59</f>
        <v>5488</v>
      </c>
      <c r="B57" s="308" t="str">
        <f>'A) Base RI'!B59</f>
        <v>Mauraz</v>
      </c>
      <c r="C57" s="99">
        <f>'B) D RI'!U59</f>
        <v>1636.236081081081</v>
      </c>
      <c r="D57" s="115">
        <f>'E) Fact soc'!G63/C57</f>
        <v>15.776168524359456</v>
      </c>
      <c r="E57" s="142">
        <f>'H) Péréquation directe'!I68/C57</f>
        <v>1.1366863824791265</v>
      </c>
      <c r="F57" s="115">
        <f>+'I) Dépenses thématiques'!O57/'K) Plafonnement aide'!C57</f>
        <v>-1.1890603904957548</v>
      </c>
      <c r="G57" s="142">
        <f t="shared" si="1"/>
        <v>15.723794516342828</v>
      </c>
      <c r="H57" s="115">
        <f t="shared" si="2"/>
        <v>16.912854906838582</v>
      </c>
      <c r="I57" s="142">
        <f t="shared" si="3"/>
        <v>0</v>
      </c>
      <c r="J57" s="58">
        <f t="shared" si="4"/>
        <v>0</v>
      </c>
      <c r="K57" s="37"/>
    </row>
    <row r="58" spans="1:11" x14ac:dyDescent="0.25">
      <c r="A58" s="50">
        <f>'A) Base RI'!A60</f>
        <v>5489</v>
      </c>
      <c r="B58" s="308" t="str">
        <f>'A) Base RI'!B60</f>
        <v>Mex</v>
      </c>
      <c r="C58" s="99">
        <f>'B) D RI'!U60</f>
        <v>52928.292459016397</v>
      </c>
      <c r="D58" s="115">
        <f>'E) Fact soc'!G64/C58</f>
        <v>25.552116125671905</v>
      </c>
      <c r="E58" s="142">
        <f>'H) Péréquation directe'!I69/C58</f>
        <v>18.337039261233855</v>
      </c>
      <c r="F58" s="115">
        <f>+'I) Dépenses thématiques'!O58/'K) Plafonnement aide'!C58</f>
        <v>0</v>
      </c>
      <c r="G58" s="142">
        <f t="shared" si="1"/>
        <v>43.889155386905756</v>
      </c>
      <c r="H58" s="115">
        <f t="shared" si="2"/>
        <v>43.889155386905756</v>
      </c>
      <c r="I58" s="142">
        <f t="shared" si="3"/>
        <v>0</v>
      </c>
      <c r="J58" s="58">
        <f t="shared" si="4"/>
        <v>0</v>
      </c>
      <c r="K58" s="37"/>
    </row>
    <row r="59" spans="1:11" x14ac:dyDescent="0.25">
      <c r="A59" s="50">
        <f>'A) Base RI'!A61</f>
        <v>5490</v>
      </c>
      <c r="B59" s="308" t="str">
        <f>'A) Base RI'!B61</f>
        <v>Moiry</v>
      </c>
      <c r="C59" s="99">
        <f>'B) D RI'!U61</f>
        <v>8175.9358024691346</v>
      </c>
      <c r="D59" s="115">
        <f>'E) Fact soc'!G65/C59</f>
        <v>16.583583743789919</v>
      </c>
      <c r="E59" s="142">
        <f>'H) Péréquation directe'!I70/C59</f>
        <v>-4.2894868040584209</v>
      </c>
      <c r="F59" s="115">
        <f>+'I) Dépenses thématiques'!O59/'K) Plafonnement aide'!C59</f>
        <v>-5.4854742342327123</v>
      </c>
      <c r="G59" s="142">
        <f t="shared" si="1"/>
        <v>6.8086227054987871</v>
      </c>
      <c r="H59" s="115">
        <f t="shared" si="2"/>
        <v>12.294096939731499</v>
      </c>
      <c r="I59" s="142">
        <f t="shared" si="3"/>
        <v>0</v>
      </c>
      <c r="J59" s="58">
        <f t="shared" si="4"/>
        <v>0</v>
      </c>
      <c r="K59" s="37"/>
    </row>
    <row r="60" spans="1:11" x14ac:dyDescent="0.25">
      <c r="A60" s="50">
        <f>'A) Base RI'!A62</f>
        <v>5491</v>
      </c>
      <c r="B60" s="308" t="str">
        <f>'A) Base RI'!B62</f>
        <v>Mont-la-Ville</v>
      </c>
      <c r="C60" s="99">
        <f>'B) D RI'!U62</f>
        <v>10544.805394736843</v>
      </c>
      <c r="D60" s="115">
        <f>'E) Fact soc'!G66/C60</f>
        <v>18.025755322029511</v>
      </c>
      <c r="E60" s="142">
        <f>'H) Péréquation directe'!I71/C60</f>
        <v>-2.9945735378021787</v>
      </c>
      <c r="F60" s="115">
        <f>+'I) Dépenses thématiques'!O60/'K) Plafonnement aide'!C60</f>
        <v>-9.0633786028169201</v>
      </c>
      <c r="G60" s="142">
        <f t="shared" si="1"/>
        <v>5.967803181410412</v>
      </c>
      <c r="H60" s="115">
        <f t="shared" si="2"/>
        <v>15.031181784227332</v>
      </c>
      <c r="I60" s="142">
        <f t="shared" si="3"/>
        <v>0</v>
      </c>
      <c r="J60" s="58">
        <f t="shared" si="4"/>
        <v>0</v>
      </c>
      <c r="K60" s="37"/>
    </row>
    <row r="61" spans="1:11" x14ac:dyDescent="0.25">
      <c r="A61" s="50">
        <f>'A) Base RI'!A63</f>
        <v>5492</v>
      </c>
      <c r="B61" s="308" t="str">
        <f>'A) Base RI'!B63</f>
        <v>Montricher</v>
      </c>
      <c r="C61" s="99">
        <f>'B) D RI'!U63</f>
        <v>222873.70244791667</v>
      </c>
      <c r="D61" s="115">
        <f>'E) Fact soc'!G67/C61</f>
        <v>42.122786183151867</v>
      </c>
      <c r="E61" s="142">
        <f>'H) Péréquation directe'!I72/C61</f>
        <v>19.465930919687807</v>
      </c>
      <c r="F61" s="115">
        <f>+'I) Dépenses thématiques'!O61/'K) Plafonnement aide'!C61</f>
        <v>-0.42183744484629448</v>
      </c>
      <c r="G61" s="142">
        <f t="shared" si="1"/>
        <v>61.166879657993377</v>
      </c>
      <c r="H61" s="115">
        <f t="shared" si="2"/>
        <v>61.588717102839674</v>
      </c>
      <c r="I61" s="142">
        <f t="shared" si="3"/>
        <v>0</v>
      </c>
      <c r="J61" s="58">
        <f t="shared" si="4"/>
        <v>0</v>
      </c>
      <c r="K61" s="37"/>
    </row>
    <row r="62" spans="1:11" x14ac:dyDescent="0.25">
      <c r="A62" s="50">
        <f>'A) Base RI'!A64</f>
        <v>5493</v>
      </c>
      <c r="B62" s="308" t="str">
        <f>'A) Base RI'!B64</f>
        <v>Orny</v>
      </c>
      <c r="C62" s="99">
        <f>'B) D RI'!U64</f>
        <v>9896.3592518440455</v>
      </c>
      <c r="D62" s="115">
        <f>'E) Fact soc'!G68/C62</f>
        <v>21.378239305052826</v>
      </c>
      <c r="E62" s="142">
        <f>'H) Péréquation directe'!I73/C62</f>
        <v>2.2761448440998451</v>
      </c>
      <c r="F62" s="115">
        <f>+'I) Dépenses thématiques'!O62/'K) Plafonnement aide'!C62</f>
        <v>-33.199994734309023</v>
      </c>
      <c r="G62" s="142">
        <f t="shared" si="1"/>
        <v>-9.54561058515635</v>
      </c>
      <c r="H62" s="115">
        <f t="shared" si="2"/>
        <v>23.654384149152673</v>
      </c>
      <c r="I62" s="142">
        <f t="shared" si="3"/>
        <v>0</v>
      </c>
      <c r="J62" s="58">
        <f t="shared" si="4"/>
        <v>0</v>
      </c>
      <c r="K62" s="37"/>
    </row>
    <row r="63" spans="1:11" x14ac:dyDescent="0.25">
      <c r="A63" s="50">
        <f>'A) Base RI'!A65</f>
        <v>5494</v>
      </c>
      <c r="B63" s="308" t="str">
        <f>'A) Base RI'!B65</f>
        <v>Pampigny</v>
      </c>
      <c r="C63" s="99">
        <f>'B) D RI'!U65</f>
        <v>36998.378139682543</v>
      </c>
      <c r="D63" s="115">
        <f>'E) Fact soc'!G69/C63</f>
        <v>16.577676360406844</v>
      </c>
      <c r="E63" s="142">
        <f>'H) Péréquation directe'!I74/C63</f>
        <v>7.146408326938583</v>
      </c>
      <c r="F63" s="115">
        <f>+'I) Dépenses thématiques'!O63/'K) Plafonnement aide'!C63</f>
        <v>-6.1548426987101639</v>
      </c>
      <c r="G63" s="142">
        <f t="shared" si="1"/>
        <v>17.569241988635262</v>
      </c>
      <c r="H63" s="115">
        <f t="shared" si="2"/>
        <v>23.724084687345425</v>
      </c>
      <c r="I63" s="142">
        <f t="shared" si="3"/>
        <v>0</v>
      </c>
      <c r="J63" s="58">
        <f t="shared" si="4"/>
        <v>0</v>
      </c>
      <c r="K63" s="37"/>
    </row>
    <row r="64" spans="1:11" x14ac:dyDescent="0.25">
      <c r="A64" s="50">
        <f>'A) Base RI'!A66</f>
        <v>5495</v>
      </c>
      <c r="B64" s="308" t="str">
        <f>'A) Base RI'!B66</f>
        <v>Penthalaz</v>
      </c>
      <c r="C64" s="99">
        <f>'B) D RI'!U66</f>
        <v>92865.132567567576</v>
      </c>
      <c r="D64" s="115">
        <f>'E) Fact soc'!G70/C64</f>
        <v>19.861963747059779</v>
      </c>
      <c r="E64" s="142">
        <f>'H) Péréquation directe'!I75/C64</f>
        <v>-3.3026446282677964</v>
      </c>
      <c r="F64" s="115">
        <f>+'I) Dépenses thématiques'!O64/'K) Plafonnement aide'!C64</f>
        <v>-5.284347220544463</v>
      </c>
      <c r="G64" s="142">
        <f t="shared" si="1"/>
        <v>11.27497189824752</v>
      </c>
      <c r="H64" s="115">
        <f t="shared" si="2"/>
        <v>16.559319118791983</v>
      </c>
      <c r="I64" s="142">
        <f t="shared" si="3"/>
        <v>0</v>
      </c>
      <c r="J64" s="58">
        <f t="shared" si="4"/>
        <v>0</v>
      </c>
      <c r="K64" s="37"/>
    </row>
    <row r="65" spans="1:11" x14ac:dyDescent="0.25">
      <c r="A65" s="50">
        <f>'A) Base RI'!A67</f>
        <v>5496</v>
      </c>
      <c r="B65" s="308" t="str">
        <f>'A) Base RI'!B67</f>
        <v>Penthaz</v>
      </c>
      <c r="C65" s="99">
        <f>'B) D RI'!U67</f>
        <v>54824.850845070439</v>
      </c>
      <c r="D65" s="115">
        <f>'E) Fact soc'!G71/C65</f>
        <v>18.425688819644691</v>
      </c>
      <c r="E65" s="142">
        <f>'H) Péréquation directe'!I76/C65</f>
        <v>4.6804056414794131</v>
      </c>
      <c r="F65" s="115">
        <f>+'I) Dépenses thématiques'!O65/'K) Plafonnement aide'!C65</f>
        <v>-4.4692760883563611</v>
      </c>
      <c r="G65" s="142">
        <f t="shared" si="1"/>
        <v>18.636818372767742</v>
      </c>
      <c r="H65" s="115">
        <f t="shared" si="2"/>
        <v>23.106094461124101</v>
      </c>
      <c r="I65" s="142">
        <f t="shared" si="3"/>
        <v>0</v>
      </c>
      <c r="J65" s="58">
        <f t="shared" si="4"/>
        <v>0</v>
      </c>
      <c r="K65" s="37"/>
    </row>
    <row r="66" spans="1:11" x14ac:dyDescent="0.25">
      <c r="A66" s="50">
        <f>'A) Base RI'!A68</f>
        <v>5497</v>
      </c>
      <c r="B66" s="308" t="str">
        <f>'A) Base RI'!B68</f>
        <v>Pompaples</v>
      </c>
      <c r="C66" s="99">
        <f>'B) D RI'!U68</f>
        <v>21718.90772727273</v>
      </c>
      <c r="D66" s="115">
        <f>'E) Fact soc'!G72/C66</f>
        <v>27.364047765817212</v>
      </c>
      <c r="E66" s="142">
        <f>'H) Péréquation directe'!I77/C66</f>
        <v>1.6651157172217381</v>
      </c>
      <c r="F66" s="115">
        <f>+'I) Dépenses thématiques'!O66/'K) Plafonnement aide'!C66</f>
        <v>-8.3560050954345435</v>
      </c>
      <c r="G66" s="142">
        <f t="shared" si="1"/>
        <v>20.673158387604406</v>
      </c>
      <c r="H66" s="115">
        <f t="shared" si="2"/>
        <v>29.02916348303895</v>
      </c>
      <c r="I66" s="142">
        <f t="shared" si="3"/>
        <v>0</v>
      </c>
      <c r="J66" s="58">
        <f t="shared" si="4"/>
        <v>0</v>
      </c>
      <c r="K66" s="37"/>
    </row>
    <row r="67" spans="1:11" x14ac:dyDescent="0.25">
      <c r="A67" s="50">
        <f>'A) Base RI'!A69</f>
        <v>5498</v>
      </c>
      <c r="B67" s="308" t="str">
        <f>'A) Base RI'!B69</f>
        <v>La Sarraz</v>
      </c>
      <c r="C67" s="99">
        <f>'B) D RI'!U69</f>
        <v>70914.560303030303</v>
      </c>
      <c r="D67" s="115">
        <f>'E) Fact soc'!G73/C67</f>
        <v>21.860979078865018</v>
      </c>
      <c r="E67" s="142">
        <f>'H) Péréquation directe'!I78/C67</f>
        <v>-1.0823705227549452</v>
      </c>
      <c r="F67" s="115">
        <f>+'I) Dépenses thématiques'!O67/'K) Plafonnement aide'!C67</f>
        <v>-8.6202415353014068</v>
      </c>
      <c r="G67" s="142">
        <f t="shared" si="1"/>
        <v>12.158367020808665</v>
      </c>
      <c r="H67" s="115">
        <f t="shared" si="2"/>
        <v>20.778608556110072</v>
      </c>
      <c r="I67" s="142">
        <f t="shared" si="3"/>
        <v>0</v>
      </c>
      <c r="J67" s="58">
        <f t="shared" si="4"/>
        <v>0</v>
      </c>
      <c r="K67" s="37"/>
    </row>
    <row r="68" spans="1:11" x14ac:dyDescent="0.25">
      <c r="A68" s="50">
        <f>'A) Base RI'!A70</f>
        <v>5499</v>
      </c>
      <c r="B68" s="308" t="str">
        <f>'A) Base RI'!B70</f>
        <v>Senarclens</v>
      </c>
      <c r="C68" s="99">
        <f>'B) D RI'!U70</f>
        <v>20155.097956204383</v>
      </c>
      <c r="D68" s="115">
        <f>'E) Fact soc'!G74/C68</f>
        <v>24.580053545686148</v>
      </c>
      <c r="E68" s="142">
        <f>'H) Péréquation directe'!I79/C68</f>
        <v>14.433295852792796</v>
      </c>
      <c r="F68" s="115">
        <f>+'I) Dépenses thématiques'!O68/'K) Plafonnement aide'!C68</f>
        <v>-1.1989230871157897</v>
      </c>
      <c r="G68" s="142">
        <f t="shared" si="1"/>
        <v>37.814426311363157</v>
      </c>
      <c r="H68" s="115">
        <f t="shared" si="2"/>
        <v>39.013349398478944</v>
      </c>
      <c r="I68" s="142">
        <f t="shared" si="3"/>
        <v>0</v>
      </c>
      <c r="J68" s="58">
        <f t="shared" si="4"/>
        <v>0</v>
      </c>
      <c r="K68" s="37"/>
    </row>
    <row r="69" spans="1:11" x14ac:dyDescent="0.25">
      <c r="A69" s="50">
        <f>'A) Base RI'!A71</f>
        <v>5500</v>
      </c>
      <c r="B69" s="308" t="str">
        <f>'A) Base RI'!B71</f>
        <v>Sévery</v>
      </c>
      <c r="C69" s="99">
        <f>'B) D RI'!U71</f>
        <v>8930.8127555555548</v>
      </c>
      <c r="D69" s="115">
        <f>'E) Fact soc'!G75/C69</f>
        <v>17.613744280249229</v>
      </c>
      <c r="E69" s="142">
        <f>'H) Péréquation directe'!I80/C69</f>
        <v>12.765029532182277</v>
      </c>
      <c r="F69" s="115">
        <f>+'I) Dépenses thématiques'!O69/'K) Plafonnement aide'!C69</f>
        <v>-0.80027693585006465</v>
      </c>
      <c r="G69" s="142">
        <f t="shared" si="1"/>
        <v>29.57849687658144</v>
      </c>
      <c r="H69" s="115">
        <f t="shared" si="2"/>
        <v>30.378773812431504</v>
      </c>
      <c r="I69" s="142">
        <f t="shared" si="3"/>
        <v>0</v>
      </c>
      <c r="J69" s="58">
        <f t="shared" si="4"/>
        <v>0</v>
      </c>
      <c r="K69" s="37"/>
    </row>
    <row r="70" spans="1:11" x14ac:dyDescent="0.25">
      <c r="A70" s="50">
        <f>'A) Base RI'!A72</f>
        <v>5501</v>
      </c>
      <c r="B70" s="308" t="str">
        <f>'A) Base RI'!B72</f>
        <v>Sullens</v>
      </c>
      <c r="C70" s="99">
        <f>'B) D RI'!U72</f>
        <v>34225.937428571429</v>
      </c>
      <c r="D70" s="115">
        <f>'E) Fact soc'!G76/C70</f>
        <v>18.420090701475903</v>
      </c>
      <c r="E70" s="142">
        <f>'H) Péréquation directe'!I81/C70</f>
        <v>9.9592034416122779</v>
      </c>
      <c r="F70" s="115">
        <f>+'I) Dépenses thématiques'!O70/'K) Plafonnement aide'!C70</f>
        <v>-1.8305977005859906</v>
      </c>
      <c r="G70" s="142">
        <f t="shared" ref="G70:G133" si="5">SUM(D70:F70)</f>
        <v>26.548696442502191</v>
      </c>
      <c r="H70" s="115">
        <f t="shared" ref="H70:H133" si="6">G70-F70</f>
        <v>28.379294143088181</v>
      </c>
      <c r="I70" s="142">
        <f t="shared" ref="I70:I133" si="7">IF(H70&lt;I$4,H70-I$4,0)</f>
        <v>0</v>
      </c>
      <c r="J70" s="58">
        <f t="shared" ref="J70:J133" si="8">-I70*C70</f>
        <v>0</v>
      </c>
      <c r="K70" s="37"/>
    </row>
    <row r="71" spans="1:11" x14ac:dyDescent="0.25">
      <c r="A71" s="50">
        <f>'A) Base RI'!A73</f>
        <v>5503</v>
      </c>
      <c r="B71" s="308" t="str">
        <f>'A) Base RI'!B73</f>
        <v>Vufflens-la-Ville</v>
      </c>
      <c r="C71" s="99">
        <f>'B) D RI'!U73</f>
        <v>64516.192437810947</v>
      </c>
      <c r="D71" s="115">
        <f>'E) Fact soc'!G77/C71</f>
        <v>19.326306455857988</v>
      </c>
      <c r="E71" s="142">
        <f>'H) Péréquation directe'!I82/C71</f>
        <v>16.576052317195003</v>
      </c>
      <c r="F71" s="115">
        <f>+'I) Dépenses thématiques'!O71/'K) Plafonnement aide'!C71</f>
        <v>0</v>
      </c>
      <c r="G71" s="142">
        <f t="shared" si="5"/>
        <v>35.902358773052995</v>
      </c>
      <c r="H71" s="115">
        <f t="shared" si="6"/>
        <v>35.902358773052995</v>
      </c>
      <c r="I71" s="142">
        <f t="shared" si="7"/>
        <v>0</v>
      </c>
      <c r="J71" s="58">
        <f t="shared" si="8"/>
        <v>0</v>
      </c>
      <c r="K71" s="37"/>
    </row>
    <row r="72" spans="1:11" x14ac:dyDescent="0.25">
      <c r="A72" s="50">
        <f>'A) Base RI'!A74</f>
        <v>5511</v>
      </c>
      <c r="B72" s="308" t="str">
        <f>'A) Base RI'!B74</f>
        <v>Assens</v>
      </c>
      <c r="C72" s="99">
        <f>'B) D RI'!U74</f>
        <v>48081.721857142853</v>
      </c>
      <c r="D72" s="115">
        <f>'E) Fact soc'!G78/C72</f>
        <v>16.699531775199535</v>
      </c>
      <c r="E72" s="142">
        <f>'H) Péréquation directe'!I83/C72</f>
        <v>16.816936865460217</v>
      </c>
      <c r="F72" s="115">
        <f>+'I) Dépenses thématiques'!O72/'K) Plafonnement aide'!C72</f>
        <v>-2.839278910658694</v>
      </c>
      <c r="G72" s="142">
        <f t="shared" si="5"/>
        <v>30.677189730001057</v>
      </c>
      <c r="H72" s="115">
        <f t="shared" si="6"/>
        <v>33.516468640659753</v>
      </c>
      <c r="I72" s="142">
        <f t="shared" si="7"/>
        <v>0</v>
      </c>
      <c r="J72" s="58">
        <f t="shared" si="8"/>
        <v>0</v>
      </c>
      <c r="K72" s="37"/>
    </row>
    <row r="73" spans="1:11" x14ac:dyDescent="0.25">
      <c r="A73" s="50">
        <f>'A) Base RI'!A75</f>
        <v>5512</v>
      </c>
      <c r="B73" s="308" t="str">
        <f>'A) Base RI'!B75</f>
        <v>Bercher</v>
      </c>
      <c r="C73" s="99">
        <f>'B) D RI'!U75</f>
        <v>37529.742911392401</v>
      </c>
      <c r="D73" s="115">
        <f>'E) Fact soc'!G79/C73</f>
        <v>18.970244627758813</v>
      </c>
      <c r="E73" s="142">
        <f>'H) Péréquation directe'!I84/C73</f>
        <v>2.9795790941405729</v>
      </c>
      <c r="F73" s="115">
        <f>+'I) Dépenses thématiques'!O73/'K) Plafonnement aide'!C73</f>
        <v>-4.7109446752425423</v>
      </c>
      <c r="G73" s="142">
        <f t="shared" si="5"/>
        <v>17.238879046656841</v>
      </c>
      <c r="H73" s="115">
        <f t="shared" si="6"/>
        <v>21.949823721899385</v>
      </c>
      <c r="I73" s="142">
        <f t="shared" si="7"/>
        <v>0</v>
      </c>
      <c r="J73" s="58">
        <f t="shared" si="8"/>
        <v>0</v>
      </c>
      <c r="K73" s="37"/>
    </row>
    <row r="74" spans="1:11" x14ac:dyDescent="0.25">
      <c r="A74" s="50">
        <f>'A) Base RI'!A76</f>
        <v>5513</v>
      </c>
      <c r="B74" s="308" t="str">
        <f>'A) Base RI'!B76</f>
        <v>Bioley-Orjulaz</v>
      </c>
      <c r="C74" s="99">
        <f>'B) D RI'!U76</f>
        <v>21045.596470588232</v>
      </c>
      <c r="D74" s="115">
        <f>'E) Fact soc'!G80/C74</f>
        <v>25.931363712040746</v>
      </c>
      <c r="E74" s="142">
        <f>'H) Péréquation directe'!I85/C74</f>
        <v>15.755249227321487</v>
      </c>
      <c r="F74" s="115">
        <f>+'I) Dépenses thématiques'!O74/'K) Plafonnement aide'!C74</f>
        <v>-1.2613408801964283</v>
      </c>
      <c r="G74" s="142">
        <f t="shared" si="5"/>
        <v>40.425272059165806</v>
      </c>
      <c r="H74" s="115">
        <f t="shared" si="6"/>
        <v>41.686612939362234</v>
      </c>
      <c r="I74" s="142">
        <f t="shared" si="7"/>
        <v>0</v>
      </c>
      <c r="J74" s="58">
        <f t="shared" si="8"/>
        <v>0</v>
      </c>
      <c r="K74" s="37"/>
    </row>
    <row r="75" spans="1:11" x14ac:dyDescent="0.25">
      <c r="A75" s="50">
        <f>'A) Base RI'!A77</f>
        <v>5514</v>
      </c>
      <c r="B75" s="308" t="str">
        <f>'A) Base RI'!B77</f>
        <v>Bottens</v>
      </c>
      <c r="C75" s="99">
        <f>'B) D RI'!U77</f>
        <v>40912.963623188407</v>
      </c>
      <c r="D75" s="115">
        <f>'E) Fact soc'!G81/C75</f>
        <v>17.298692181499149</v>
      </c>
      <c r="E75" s="142">
        <f>'H) Péréquation directe'!I86/C75</f>
        <v>7.2668938907254459</v>
      </c>
      <c r="F75" s="115">
        <f>+'I) Dépenses thématiques'!O75/'K) Plafonnement aide'!C75</f>
        <v>0</v>
      </c>
      <c r="G75" s="142">
        <f t="shared" si="5"/>
        <v>24.565586072224594</v>
      </c>
      <c r="H75" s="115">
        <f t="shared" si="6"/>
        <v>24.565586072224594</v>
      </c>
      <c r="I75" s="142">
        <f t="shared" si="7"/>
        <v>0</v>
      </c>
      <c r="J75" s="58">
        <f t="shared" si="8"/>
        <v>0</v>
      </c>
      <c r="K75" s="37"/>
    </row>
    <row r="76" spans="1:11" x14ac:dyDescent="0.25">
      <c r="A76" s="50">
        <f>'A) Base RI'!A78</f>
        <v>5515</v>
      </c>
      <c r="B76" s="308" t="str">
        <f>'A) Base RI'!B78</f>
        <v>Bretigny-sur-Morrens</v>
      </c>
      <c r="C76" s="99">
        <f>'B) D RI'!U78</f>
        <v>27693.425342465755</v>
      </c>
      <c r="D76" s="115">
        <f>'E) Fact soc'!G82/C76</f>
        <v>17.787986286554681</v>
      </c>
      <c r="E76" s="142">
        <f>'H) Péréquation directe'!I87/C76</f>
        <v>8.9697754269066099</v>
      </c>
      <c r="F76" s="115">
        <f>+'I) Dépenses thématiques'!O76/'K) Plafonnement aide'!C76</f>
        <v>-1.6476996753173274</v>
      </c>
      <c r="G76" s="142">
        <f t="shared" si="5"/>
        <v>25.110062038143965</v>
      </c>
      <c r="H76" s="115">
        <f t="shared" si="6"/>
        <v>26.757761713461292</v>
      </c>
      <c r="I76" s="142">
        <f t="shared" si="7"/>
        <v>0</v>
      </c>
      <c r="J76" s="58">
        <f t="shared" si="8"/>
        <v>0</v>
      </c>
      <c r="K76" s="37"/>
    </row>
    <row r="77" spans="1:11" x14ac:dyDescent="0.25">
      <c r="A77" s="50">
        <f>'A) Base RI'!A79</f>
        <v>5516</v>
      </c>
      <c r="B77" s="308" t="str">
        <f>'A) Base RI'!B79</f>
        <v>Cugy</v>
      </c>
      <c r="C77" s="99">
        <f>'B) D RI'!U79</f>
        <v>110018.3817142857</v>
      </c>
      <c r="D77" s="115">
        <f>'E) Fact soc'!G83/C77</f>
        <v>18.558610923803066</v>
      </c>
      <c r="E77" s="142">
        <f>'H) Péréquation directe'!I88/C77</f>
        <v>10.914698076488943</v>
      </c>
      <c r="F77" s="115">
        <f>+'I) Dépenses thématiques'!O77/'K) Plafonnement aide'!C77</f>
        <v>-2.4354017532280641</v>
      </c>
      <c r="G77" s="142">
        <f t="shared" si="5"/>
        <v>27.037907247063945</v>
      </c>
      <c r="H77" s="115">
        <f t="shared" si="6"/>
        <v>29.473309000292009</v>
      </c>
      <c r="I77" s="142">
        <f t="shared" si="7"/>
        <v>0</v>
      </c>
      <c r="J77" s="58">
        <f t="shared" si="8"/>
        <v>0</v>
      </c>
      <c r="K77" s="37"/>
    </row>
    <row r="78" spans="1:11" x14ac:dyDescent="0.25">
      <c r="A78" s="50">
        <f>'A) Base RI'!A80</f>
        <v>5518</v>
      </c>
      <c r="B78" s="308" t="str">
        <f>'A) Base RI'!B80</f>
        <v>Echallens</v>
      </c>
      <c r="C78" s="99">
        <f>'B) D RI'!U80</f>
        <v>186251.15094594596</v>
      </c>
      <c r="D78" s="115">
        <f>'E) Fact soc'!G84/C78</f>
        <v>17.487847503956868</v>
      </c>
      <c r="E78" s="142">
        <f>'H) Péréquation directe'!I89/C78</f>
        <v>-0.50160427097323212</v>
      </c>
      <c r="F78" s="115">
        <f>+'I) Dépenses thématiques'!O78/'K) Plafonnement aide'!C78</f>
        <v>-5.7467636515972993</v>
      </c>
      <c r="G78" s="142">
        <f t="shared" si="5"/>
        <v>11.239479581386338</v>
      </c>
      <c r="H78" s="115">
        <f t="shared" si="6"/>
        <v>16.986243232983636</v>
      </c>
      <c r="I78" s="142">
        <f t="shared" si="7"/>
        <v>0</v>
      </c>
      <c r="J78" s="58">
        <f t="shared" si="8"/>
        <v>0</v>
      </c>
      <c r="K78" s="37"/>
    </row>
    <row r="79" spans="1:11" x14ac:dyDescent="0.25">
      <c r="A79" s="50">
        <f>'A) Base RI'!A81</f>
        <v>5520</v>
      </c>
      <c r="B79" s="308" t="str">
        <f>'A) Base RI'!B81</f>
        <v>Essertines-sur-Yverdon</v>
      </c>
      <c r="C79" s="99">
        <f>'B) D RI'!U81</f>
        <v>32026.22082191781</v>
      </c>
      <c r="D79" s="115">
        <f>'E) Fact soc'!G85/C79</f>
        <v>18.94659536193722</v>
      </c>
      <c r="E79" s="142">
        <f>'H) Péréquation directe'!I90/C79</f>
        <v>8.0595657219894008</v>
      </c>
      <c r="F79" s="115">
        <f>+'I) Dépenses thématiques'!O79/'K) Plafonnement aide'!C79</f>
        <v>-7.2865375140469233</v>
      </c>
      <c r="G79" s="142">
        <f t="shared" si="5"/>
        <v>19.719623569879698</v>
      </c>
      <c r="H79" s="115">
        <f t="shared" si="6"/>
        <v>27.006161083926621</v>
      </c>
      <c r="I79" s="142">
        <f t="shared" si="7"/>
        <v>0</v>
      </c>
      <c r="J79" s="58">
        <f t="shared" si="8"/>
        <v>0</v>
      </c>
      <c r="K79" s="37"/>
    </row>
    <row r="80" spans="1:11" x14ac:dyDescent="0.25">
      <c r="A80" s="50">
        <f>'A) Base RI'!A82</f>
        <v>5521</v>
      </c>
      <c r="B80" s="308" t="str">
        <f>'A) Base RI'!B82</f>
        <v>Etagnières</v>
      </c>
      <c r="C80" s="99">
        <f>'B) D RI'!U82</f>
        <v>40939.440821917808</v>
      </c>
      <c r="D80" s="115">
        <f>'E) Fact soc'!G86/C80</f>
        <v>17.94839213598215</v>
      </c>
      <c r="E80" s="142">
        <f>'H) Péréquation directe'!I91/C80</f>
        <v>10.984288427509435</v>
      </c>
      <c r="F80" s="115">
        <f>+'I) Dépenses thématiques'!O80/'K) Plafonnement aide'!C80</f>
        <v>-2.5821189719992716E-2</v>
      </c>
      <c r="G80" s="142">
        <f t="shared" si="5"/>
        <v>28.906859373771596</v>
      </c>
      <c r="H80" s="115">
        <f t="shared" si="6"/>
        <v>28.932680563491587</v>
      </c>
      <c r="I80" s="142">
        <f t="shared" si="7"/>
        <v>0</v>
      </c>
      <c r="J80" s="58">
        <f t="shared" si="8"/>
        <v>0</v>
      </c>
      <c r="K80" s="37"/>
    </row>
    <row r="81" spans="1:11" x14ac:dyDescent="0.25">
      <c r="A81" s="50">
        <f>'A) Base RI'!A83</f>
        <v>5522</v>
      </c>
      <c r="B81" s="308" t="str">
        <f>'A) Base RI'!B83</f>
        <v>Fey</v>
      </c>
      <c r="C81" s="99">
        <f>'B) D RI'!U83</f>
        <v>20215.813200000001</v>
      </c>
      <c r="D81" s="115">
        <f>'E) Fact soc'!G87/C81</f>
        <v>19.186533930782979</v>
      </c>
      <c r="E81" s="142">
        <f>'H) Péréquation directe'!I92/C81</f>
        <v>2.8987170536362159</v>
      </c>
      <c r="F81" s="115">
        <f>+'I) Dépenses thématiques'!O81/'K) Plafonnement aide'!C81</f>
        <v>-0.95267060045845675</v>
      </c>
      <c r="G81" s="142">
        <f t="shared" si="5"/>
        <v>21.132580383960736</v>
      </c>
      <c r="H81" s="115">
        <f t="shared" si="6"/>
        <v>22.085250984419194</v>
      </c>
      <c r="I81" s="142">
        <f t="shared" si="7"/>
        <v>0</v>
      </c>
      <c r="J81" s="58">
        <f t="shared" si="8"/>
        <v>0</v>
      </c>
      <c r="K81" s="37"/>
    </row>
    <row r="82" spans="1:11" x14ac:dyDescent="0.25">
      <c r="A82" s="50">
        <f>'A) Base RI'!A84</f>
        <v>5523</v>
      </c>
      <c r="B82" s="308" t="str">
        <f>'A) Base RI'!B84</f>
        <v>Froideville</v>
      </c>
      <c r="C82" s="99">
        <f>'B) D RI'!U84</f>
        <v>83831.156184210529</v>
      </c>
      <c r="D82" s="115">
        <f>'E) Fact soc'!G88/C82</f>
        <v>17.498948891155848</v>
      </c>
      <c r="E82" s="142">
        <f>'H) Péréquation directe'!I93/C82</f>
        <v>3.3301383708809142</v>
      </c>
      <c r="F82" s="115">
        <f>+'I) Dépenses thématiques'!O82/'K) Plafonnement aide'!C82</f>
        <v>-1.7742605454217921</v>
      </c>
      <c r="G82" s="142">
        <f t="shared" si="5"/>
        <v>19.054826716614969</v>
      </c>
      <c r="H82" s="115">
        <f t="shared" si="6"/>
        <v>20.829087262036762</v>
      </c>
      <c r="I82" s="142">
        <f t="shared" si="7"/>
        <v>0</v>
      </c>
      <c r="J82" s="58">
        <f t="shared" si="8"/>
        <v>0</v>
      </c>
      <c r="K82" s="37"/>
    </row>
    <row r="83" spans="1:11" x14ac:dyDescent="0.25">
      <c r="A83" s="50">
        <f>'A) Base RI'!A85</f>
        <v>5527</v>
      </c>
      <c r="B83" s="308" t="str">
        <f>'A) Base RI'!B85</f>
        <v>Morrens</v>
      </c>
      <c r="C83" s="99">
        <f>'B) D RI'!U85</f>
        <v>39666.797042253522</v>
      </c>
      <c r="D83" s="115">
        <f>'E) Fact soc'!G89/C83</f>
        <v>17.837117128627089</v>
      </c>
      <c r="E83" s="142">
        <f>'H) Péréquation directe'!I94/C83</f>
        <v>11.1831070937302</v>
      </c>
      <c r="F83" s="115">
        <f>+'I) Dépenses thématiques'!O83/'K) Plafonnement aide'!C83</f>
        <v>-0.75113117186499656</v>
      </c>
      <c r="G83" s="142">
        <f t="shared" si="5"/>
        <v>28.269093050492291</v>
      </c>
      <c r="H83" s="115">
        <f t="shared" si="6"/>
        <v>29.020224222357289</v>
      </c>
      <c r="I83" s="142">
        <f t="shared" si="7"/>
        <v>0</v>
      </c>
      <c r="J83" s="58">
        <f t="shared" si="8"/>
        <v>0</v>
      </c>
      <c r="K83" s="37"/>
    </row>
    <row r="84" spans="1:11" x14ac:dyDescent="0.25">
      <c r="A84" s="50">
        <f>'A) Base RI'!A86</f>
        <v>5529</v>
      </c>
      <c r="B84" s="308" t="str">
        <f>'A) Base RI'!B86</f>
        <v>Oulens-sous-Echallens</v>
      </c>
      <c r="C84" s="99">
        <f>'B) D RI'!U86</f>
        <v>20224.362535211272</v>
      </c>
      <c r="D84" s="115">
        <f>'E) Fact soc'!G90/C84</f>
        <v>18.388925782245902</v>
      </c>
      <c r="E84" s="142">
        <f>'H) Péréquation directe'!I95/C84</f>
        <v>10.667149827356894</v>
      </c>
      <c r="F84" s="115">
        <f>+'I) Dépenses thématiques'!O84/'K) Plafonnement aide'!C84</f>
        <v>-6.0663001206451757</v>
      </c>
      <c r="G84" s="142">
        <f t="shared" si="5"/>
        <v>22.989775488957619</v>
      </c>
      <c r="H84" s="115">
        <f t="shared" si="6"/>
        <v>29.056075609602793</v>
      </c>
      <c r="I84" s="142">
        <f t="shared" si="7"/>
        <v>0</v>
      </c>
      <c r="J84" s="58">
        <f t="shared" si="8"/>
        <v>0</v>
      </c>
      <c r="K84" s="37"/>
    </row>
    <row r="85" spans="1:11" x14ac:dyDescent="0.25">
      <c r="A85" s="50">
        <f>'A) Base RI'!A87</f>
        <v>5530</v>
      </c>
      <c r="B85" s="308" t="str">
        <f>'A) Base RI'!B87</f>
        <v>Pailly</v>
      </c>
      <c r="C85" s="99">
        <f>'B) D RI'!U87</f>
        <v>16275.145870967741</v>
      </c>
      <c r="D85" s="115">
        <f>'E) Fact soc'!G91/C85</f>
        <v>18.915039008533025</v>
      </c>
      <c r="E85" s="142">
        <f>'H) Péréquation directe'!I96/C85</f>
        <v>3.7295560932939762</v>
      </c>
      <c r="F85" s="115">
        <f>+'I) Dépenses thématiques'!O85/'K) Plafonnement aide'!C85</f>
        <v>-33.432174413968191</v>
      </c>
      <c r="G85" s="142">
        <f t="shared" si="5"/>
        <v>-10.78757931214119</v>
      </c>
      <c r="H85" s="115">
        <f t="shared" si="6"/>
        <v>22.644595101827001</v>
      </c>
      <c r="I85" s="142">
        <f t="shared" si="7"/>
        <v>0</v>
      </c>
      <c r="J85" s="58">
        <f t="shared" si="8"/>
        <v>0</v>
      </c>
      <c r="K85" s="37"/>
    </row>
    <row r="86" spans="1:11" x14ac:dyDescent="0.25">
      <c r="A86" s="50">
        <f>'A) Base RI'!A88</f>
        <v>5531</v>
      </c>
      <c r="B86" s="308" t="str">
        <f>'A) Base RI'!B88</f>
        <v>Penthéréaz</v>
      </c>
      <c r="C86" s="99">
        <f>'B) D RI'!U88</f>
        <v>13115.607307692309</v>
      </c>
      <c r="D86" s="115">
        <f>'E) Fact soc'!G92/C86</f>
        <v>17.972314636717254</v>
      </c>
      <c r="E86" s="142">
        <f>'H) Péréquation directe'!I97/C86</f>
        <v>5.391879401991762</v>
      </c>
      <c r="F86" s="115">
        <f>+'I) Dépenses thématiques'!O86/'K) Plafonnement aide'!C86</f>
        <v>-4.6153334155997747</v>
      </c>
      <c r="G86" s="142">
        <f t="shared" si="5"/>
        <v>18.748860623109241</v>
      </c>
      <c r="H86" s="115">
        <f t="shared" si="6"/>
        <v>23.364194038709016</v>
      </c>
      <c r="I86" s="142">
        <f t="shared" si="7"/>
        <v>0</v>
      </c>
      <c r="J86" s="58">
        <f t="shared" si="8"/>
        <v>0</v>
      </c>
      <c r="K86" s="37"/>
    </row>
    <row r="87" spans="1:11" x14ac:dyDescent="0.25">
      <c r="A87" s="50">
        <f>'A) Base RI'!A89</f>
        <v>5533</v>
      </c>
      <c r="B87" s="308" t="str">
        <f>'A) Base RI'!B89</f>
        <v>Poliez-Pittet</v>
      </c>
      <c r="C87" s="99">
        <f>'B) D RI'!U89</f>
        <v>27509.250422535213</v>
      </c>
      <c r="D87" s="115">
        <f>'E) Fact soc'!G93/C87</f>
        <v>16.457689093332931</v>
      </c>
      <c r="E87" s="142">
        <f>'H) Péréquation directe'!I98/C87</f>
        <v>8.2627762938191136</v>
      </c>
      <c r="F87" s="115">
        <f>+'I) Dépenses thématiques'!O87/'K) Plafonnement aide'!C87</f>
        <v>-1.6710855054861489</v>
      </c>
      <c r="G87" s="142">
        <f t="shared" si="5"/>
        <v>23.049379881665896</v>
      </c>
      <c r="H87" s="115">
        <f t="shared" si="6"/>
        <v>24.720465387152046</v>
      </c>
      <c r="I87" s="142">
        <f t="shared" si="7"/>
        <v>0</v>
      </c>
      <c r="J87" s="58">
        <f t="shared" si="8"/>
        <v>0</v>
      </c>
      <c r="K87" s="37"/>
    </row>
    <row r="88" spans="1:11" x14ac:dyDescent="0.25">
      <c r="A88" s="50">
        <f>'A) Base RI'!A90</f>
        <v>5534</v>
      </c>
      <c r="B88" s="308" t="str">
        <f>'A) Base RI'!B90</f>
        <v>Rueyres</v>
      </c>
      <c r="C88" s="99">
        <f>'B) D RI'!U90</f>
        <v>9282.5224657534254</v>
      </c>
      <c r="D88" s="115">
        <f>'E) Fact soc'!G94/C88</f>
        <v>17.021500818749086</v>
      </c>
      <c r="E88" s="142">
        <f>'H) Péréquation directe'!I99/C88</f>
        <v>11.247798859475081</v>
      </c>
      <c r="F88" s="115">
        <f>+'I) Dépenses thématiques'!O88/'K) Plafonnement aide'!C88</f>
        <v>-2.3050817743889693</v>
      </c>
      <c r="G88" s="142">
        <f t="shared" si="5"/>
        <v>25.964217903835195</v>
      </c>
      <c r="H88" s="115">
        <f t="shared" si="6"/>
        <v>28.269299678224165</v>
      </c>
      <c r="I88" s="142">
        <f t="shared" si="7"/>
        <v>0</v>
      </c>
      <c r="J88" s="58">
        <f t="shared" si="8"/>
        <v>0</v>
      </c>
      <c r="K88" s="37"/>
    </row>
    <row r="89" spans="1:11" x14ac:dyDescent="0.25">
      <c r="A89" s="50">
        <f>'A) Base RI'!A91</f>
        <v>5535</v>
      </c>
      <c r="B89" s="308" t="str">
        <f>'A) Base RI'!B91</f>
        <v>Saint-Barthélemy</v>
      </c>
      <c r="C89" s="99">
        <f>'B) D RI'!U91</f>
        <v>23206.167922077926</v>
      </c>
      <c r="D89" s="115">
        <f>'E) Fact soc'!G95/C89</f>
        <v>16.907866359529152</v>
      </c>
      <c r="E89" s="142">
        <f>'H) Péréquation directe'!I100/C89</f>
        <v>4.1551010925546317</v>
      </c>
      <c r="F89" s="115">
        <f>+'I) Dépenses thématiques'!O89/'K) Plafonnement aide'!C89</f>
        <v>0</v>
      </c>
      <c r="G89" s="142">
        <f t="shared" si="5"/>
        <v>21.062967452083782</v>
      </c>
      <c r="H89" s="115">
        <f t="shared" si="6"/>
        <v>21.062967452083782</v>
      </c>
      <c r="I89" s="142">
        <f t="shared" si="7"/>
        <v>0</v>
      </c>
      <c r="J89" s="58">
        <f t="shared" si="8"/>
        <v>0</v>
      </c>
      <c r="K89" s="37"/>
    </row>
    <row r="90" spans="1:11" x14ac:dyDescent="0.25">
      <c r="A90" s="50">
        <f>'A) Base RI'!A92</f>
        <v>5537</v>
      </c>
      <c r="B90" s="308" t="str">
        <f>'A) Base RI'!B92</f>
        <v>Villars-le-Terroir</v>
      </c>
      <c r="C90" s="99">
        <f>'B) D RI'!U92</f>
        <v>33504.625479452057</v>
      </c>
      <c r="D90" s="115">
        <f>'E) Fact soc'!G96/C90</f>
        <v>17.943065302373743</v>
      </c>
      <c r="E90" s="142">
        <f>'H) Péréquation directe'!I101/C90</f>
        <v>3.0665744405712605</v>
      </c>
      <c r="F90" s="115">
        <f>+'I) Dépenses thématiques'!O90/'K) Plafonnement aide'!C90</f>
        <v>-1.422676613786378</v>
      </c>
      <c r="G90" s="142">
        <f t="shared" si="5"/>
        <v>19.586963129158626</v>
      </c>
      <c r="H90" s="115">
        <f t="shared" si="6"/>
        <v>21.009639742945005</v>
      </c>
      <c r="I90" s="142">
        <f t="shared" si="7"/>
        <v>0</v>
      </c>
      <c r="J90" s="58">
        <f t="shared" si="8"/>
        <v>0</v>
      </c>
      <c r="K90" s="37"/>
    </row>
    <row r="91" spans="1:11" x14ac:dyDescent="0.25">
      <c r="A91" s="50">
        <f>'A) Base RI'!A93</f>
        <v>5539</v>
      </c>
      <c r="B91" s="308" t="str">
        <f>'A) Base RI'!B93</f>
        <v>Vuarrens</v>
      </c>
      <c r="C91" s="99">
        <f>'B) D RI'!U93</f>
        <v>26926.432233333333</v>
      </c>
      <c r="D91" s="115">
        <f>'E) Fact soc'!G97/C91</f>
        <v>17.549914655526255</v>
      </c>
      <c r="E91" s="142">
        <f>'H) Péréquation directe'!I102/C91</f>
        <v>6.2536656954348652E-2</v>
      </c>
      <c r="F91" s="115">
        <f>+'I) Dépenses thématiques'!O91/'K) Plafonnement aide'!C91</f>
        <v>-1.5084871056447313</v>
      </c>
      <c r="G91" s="142">
        <f t="shared" si="5"/>
        <v>16.103964206835872</v>
      </c>
      <c r="H91" s="115">
        <f t="shared" si="6"/>
        <v>17.612451312480605</v>
      </c>
      <c r="I91" s="142">
        <f t="shared" si="7"/>
        <v>0</v>
      </c>
      <c r="J91" s="58">
        <f t="shared" si="8"/>
        <v>0</v>
      </c>
      <c r="K91" s="37"/>
    </row>
    <row r="92" spans="1:11" x14ac:dyDescent="0.25">
      <c r="A92" s="50">
        <f>'A) Base RI'!A94</f>
        <v>5540</v>
      </c>
      <c r="B92" s="308" t="str">
        <f>'A) Base RI'!B94</f>
        <v>Montilliez</v>
      </c>
      <c r="C92" s="99">
        <f>'B) D RI'!U94</f>
        <v>56983.650067567571</v>
      </c>
      <c r="D92" s="115">
        <f>'E) Fact soc'!G98/C92</f>
        <v>17.62883617332227</v>
      </c>
      <c r="E92" s="142">
        <f>'H) Péréquation directe'!I103/C92</f>
        <v>5.2644316555730448</v>
      </c>
      <c r="F92" s="115">
        <f>+'I) Dépenses thématiques'!O92/'K) Plafonnement aide'!C92</f>
        <v>-5.2383466431156398</v>
      </c>
      <c r="G92" s="142">
        <f t="shared" si="5"/>
        <v>17.654921185779674</v>
      </c>
      <c r="H92" s="115">
        <f t="shared" si="6"/>
        <v>22.893267828895315</v>
      </c>
      <c r="I92" s="142">
        <f t="shared" si="7"/>
        <v>0</v>
      </c>
      <c r="J92" s="58">
        <f t="shared" si="8"/>
        <v>0</v>
      </c>
      <c r="K92" s="37"/>
    </row>
    <row r="93" spans="1:11" x14ac:dyDescent="0.25">
      <c r="A93" s="50">
        <f>'A) Base RI'!A95</f>
        <v>5541</v>
      </c>
      <c r="B93" s="308" t="str">
        <f>'A) Base RI'!B95</f>
        <v>Goumoëns</v>
      </c>
      <c r="C93" s="99">
        <f>'B) D RI'!U95</f>
        <v>38548.273636363643</v>
      </c>
      <c r="D93" s="115">
        <f>'E) Fact soc'!G99/C93</f>
        <v>17.646536979251469</v>
      </c>
      <c r="E93" s="142">
        <f>'H) Péréquation directe'!I104/C93</f>
        <v>8.6916125097502768</v>
      </c>
      <c r="F93" s="115">
        <f>+'I) Dépenses thématiques'!O93/'K) Plafonnement aide'!C93</f>
        <v>-0.52939746081306538</v>
      </c>
      <c r="G93" s="142">
        <f t="shared" si="5"/>
        <v>25.808752028188678</v>
      </c>
      <c r="H93" s="115">
        <f t="shared" si="6"/>
        <v>26.338149489001744</v>
      </c>
      <c r="I93" s="142">
        <f t="shared" si="7"/>
        <v>0</v>
      </c>
      <c r="J93" s="58">
        <f t="shared" si="8"/>
        <v>0</v>
      </c>
      <c r="K93" s="37"/>
    </row>
    <row r="94" spans="1:11" x14ac:dyDescent="0.25">
      <c r="A94" s="50">
        <f>'A) Base RI'!A96</f>
        <v>5551</v>
      </c>
      <c r="B94" s="308" t="str">
        <f>'A) Base RI'!B96</f>
        <v>Bonvillars</v>
      </c>
      <c r="C94" s="99">
        <f>'B) D RI'!U96</f>
        <v>18775.330727272729</v>
      </c>
      <c r="D94" s="115">
        <f>'E) Fact soc'!G100/C94</f>
        <v>19.030478975000204</v>
      </c>
      <c r="E94" s="142">
        <f>'H) Péréquation directe'!I105/C94</f>
        <v>14.442017378423539</v>
      </c>
      <c r="F94" s="115">
        <f>+'I) Dépenses thématiques'!O94/'K) Plafonnement aide'!C94</f>
        <v>-4.1708462411881104</v>
      </c>
      <c r="G94" s="142">
        <f t="shared" si="5"/>
        <v>29.301650112235635</v>
      </c>
      <c r="H94" s="115">
        <f t="shared" si="6"/>
        <v>33.472496353423743</v>
      </c>
      <c r="I94" s="142">
        <f t="shared" si="7"/>
        <v>0</v>
      </c>
      <c r="J94" s="58">
        <f t="shared" si="8"/>
        <v>0</v>
      </c>
      <c r="K94" s="37"/>
    </row>
    <row r="95" spans="1:11" x14ac:dyDescent="0.25">
      <c r="A95" s="50">
        <f>'A) Base RI'!A97</f>
        <v>5552</v>
      </c>
      <c r="B95" s="308" t="str">
        <f>'A) Base RI'!B97</f>
        <v>Bullet</v>
      </c>
      <c r="C95" s="99">
        <f>'B) D RI'!U97</f>
        <v>17788.918428571429</v>
      </c>
      <c r="D95" s="115">
        <f>'E) Fact soc'!G101/C95</f>
        <v>19.102676554491119</v>
      </c>
      <c r="E95" s="142">
        <f>'H) Péréquation directe'!I106/C95</f>
        <v>3.1155882934907191</v>
      </c>
      <c r="F95" s="115">
        <f>+'I) Dépenses thématiques'!O95/'K) Plafonnement aide'!C95</f>
        <v>-11.496514047682124</v>
      </c>
      <c r="G95" s="142">
        <f t="shared" si="5"/>
        <v>10.721750800299715</v>
      </c>
      <c r="H95" s="115">
        <f t="shared" si="6"/>
        <v>22.218264847981839</v>
      </c>
      <c r="I95" s="142">
        <f t="shared" si="7"/>
        <v>0</v>
      </c>
      <c r="J95" s="58">
        <f t="shared" si="8"/>
        <v>0</v>
      </c>
      <c r="K95" s="37"/>
    </row>
    <row r="96" spans="1:11" x14ac:dyDescent="0.25">
      <c r="A96" s="50">
        <f>'A) Base RI'!A98</f>
        <v>5553</v>
      </c>
      <c r="B96" s="308" t="str">
        <f>'A) Base RI'!B98</f>
        <v>Champagne</v>
      </c>
      <c r="C96" s="99">
        <f>'B) D RI'!U98</f>
        <v>34060.380307692314</v>
      </c>
      <c r="D96" s="115">
        <f>'E) Fact soc'!G102/C96</f>
        <v>18.881983082046855</v>
      </c>
      <c r="E96" s="142">
        <f>'H) Péréquation directe'!I107/C96</f>
        <v>9.9991931491409716</v>
      </c>
      <c r="F96" s="115">
        <f>+'I) Dépenses thématiques'!O96/'K) Plafonnement aide'!C96</f>
        <v>-7.4291575912301093</v>
      </c>
      <c r="G96" s="142">
        <f t="shared" si="5"/>
        <v>21.452018639957718</v>
      </c>
      <c r="H96" s="115">
        <f t="shared" si="6"/>
        <v>28.881176231187826</v>
      </c>
      <c r="I96" s="142">
        <f t="shared" si="7"/>
        <v>0</v>
      </c>
      <c r="J96" s="58">
        <f t="shared" si="8"/>
        <v>0</v>
      </c>
      <c r="K96" s="37"/>
    </row>
    <row r="97" spans="1:11" x14ac:dyDescent="0.25">
      <c r="A97" s="50">
        <f>'A) Base RI'!A99</f>
        <v>5554</v>
      </c>
      <c r="B97" s="308" t="str">
        <f>'A) Base RI'!B99</f>
        <v>Concise</v>
      </c>
      <c r="C97" s="99">
        <f>'B) D RI'!U99</f>
        <v>31701.023466666669</v>
      </c>
      <c r="D97" s="115">
        <f>'E) Fact soc'!G103/C97</f>
        <v>17.640544924135501</v>
      </c>
      <c r="E97" s="142">
        <f>'H) Péréquation directe'!I108/C97</f>
        <v>7.6788203768314265</v>
      </c>
      <c r="F97" s="115">
        <f>+'I) Dépenses thématiques'!O97/'K) Plafonnement aide'!C97</f>
        <v>-4.7709292969367674</v>
      </c>
      <c r="G97" s="142">
        <f t="shared" si="5"/>
        <v>20.548436004030162</v>
      </c>
      <c r="H97" s="115">
        <f t="shared" si="6"/>
        <v>25.319365300966929</v>
      </c>
      <c r="I97" s="142">
        <f t="shared" si="7"/>
        <v>0</v>
      </c>
      <c r="J97" s="58">
        <f t="shared" si="8"/>
        <v>0</v>
      </c>
      <c r="K97" s="37"/>
    </row>
    <row r="98" spans="1:11" x14ac:dyDescent="0.25">
      <c r="A98" s="50">
        <f>'A) Base RI'!A100</f>
        <v>5555</v>
      </c>
      <c r="B98" s="308" t="str">
        <f>'A) Base RI'!B100</f>
        <v>Corcelles-près-Concise</v>
      </c>
      <c r="C98" s="99">
        <f>'B) D RI'!U100</f>
        <v>13631.876197183097</v>
      </c>
      <c r="D98" s="115">
        <f>'E) Fact soc'!G104/C98</f>
        <v>20.320884094238384</v>
      </c>
      <c r="E98" s="142">
        <f>'H) Péréquation directe'!I109/C98</f>
        <v>11.568305852146272</v>
      </c>
      <c r="F98" s="115">
        <f>+'I) Dépenses thématiques'!O98/'K) Plafonnement aide'!C98</f>
        <v>-7.4736657078844866</v>
      </c>
      <c r="G98" s="142">
        <f t="shared" si="5"/>
        <v>24.415524238500169</v>
      </c>
      <c r="H98" s="115">
        <f t="shared" si="6"/>
        <v>31.889189946384654</v>
      </c>
      <c r="I98" s="142">
        <f t="shared" si="7"/>
        <v>0</v>
      </c>
      <c r="J98" s="58">
        <f t="shared" si="8"/>
        <v>0</v>
      </c>
      <c r="K98" s="37"/>
    </row>
    <row r="99" spans="1:11" x14ac:dyDescent="0.25">
      <c r="A99" s="50">
        <f>'A) Base RI'!A101</f>
        <v>5556</v>
      </c>
      <c r="B99" s="308" t="str">
        <f>'A) Base RI'!B101</f>
        <v>Fiez</v>
      </c>
      <c r="C99" s="99">
        <f>'B) D RI'!U101</f>
        <v>12908.608502415458</v>
      </c>
      <c r="D99" s="115">
        <f>'E) Fact soc'!G105/C99</f>
        <v>34.157160166921201</v>
      </c>
      <c r="E99" s="142">
        <f>'H) Péréquation directe'!I110/C99</f>
        <v>6.6825647577647826</v>
      </c>
      <c r="F99" s="115">
        <f>+'I) Dépenses thématiques'!O99/'K) Plafonnement aide'!C99</f>
        <v>-9.3395537238685602</v>
      </c>
      <c r="G99" s="142">
        <f t="shared" si="5"/>
        <v>31.50017120081742</v>
      </c>
      <c r="H99" s="115">
        <f t="shared" si="6"/>
        <v>40.839724924685981</v>
      </c>
      <c r="I99" s="142">
        <f t="shared" si="7"/>
        <v>0</v>
      </c>
      <c r="J99" s="58">
        <f t="shared" si="8"/>
        <v>0</v>
      </c>
      <c r="K99" s="37"/>
    </row>
    <row r="100" spans="1:11" x14ac:dyDescent="0.25">
      <c r="A100" s="50">
        <f>'A) Base RI'!A102</f>
        <v>5557</v>
      </c>
      <c r="B100" s="308" t="str">
        <f>'A) Base RI'!B102</f>
        <v>Fontaines-sur-Grandson</v>
      </c>
      <c r="C100" s="99">
        <f>'B) D RI'!U102</f>
        <v>4431.6020289855087</v>
      </c>
      <c r="D100" s="115">
        <f>'E) Fact soc'!G106/C100</f>
        <v>19.231736036929092</v>
      </c>
      <c r="E100" s="142">
        <f>'H) Péréquation directe'!I111/C100</f>
        <v>-7.4979792283273028</v>
      </c>
      <c r="F100" s="115">
        <f>+'I) Dépenses thématiques'!O100/'K) Plafonnement aide'!C100</f>
        <v>-8.6008256280795319</v>
      </c>
      <c r="G100" s="142">
        <f t="shared" si="5"/>
        <v>3.1329311805222577</v>
      </c>
      <c r="H100" s="115">
        <f t="shared" si="6"/>
        <v>11.73375680860179</v>
      </c>
      <c r="I100" s="142">
        <f t="shared" si="7"/>
        <v>0</v>
      </c>
      <c r="J100" s="58">
        <f t="shared" si="8"/>
        <v>0</v>
      </c>
      <c r="K100" s="37"/>
    </row>
    <row r="101" spans="1:11" x14ac:dyDescent="0.25">
      <c r="A101" s="50">
        <f>'A) Base RI'!A103</f>
        <v>5559</v>
      </c>
      <c r="B101" s="308" t="str">
        <f>'A) Base RI'!B103</f>
        <v>Giez</v>
      </c>
      <c r="C101" s="99">
        <f>'B) D RI'!U103</f>
        <v>15789.686212121214</v>
      </c>
      <c r="D101" s="115">
        <f>'E) Fact soc'!G107/C101</f>
        <v>17.942543431401049</v>
      </c>
      <c r="E101" s="142">
        <f>'H) Péréquation directe'!I112/C101</f>
        <v>13.152656454139491</v>
      </c>
      <c r="F101" s="115">
        <f>+'I) Dépenses thématiques'!O101/'K) Plafonnement aide'!C101</f>
        <v>-1.103339388334323</v>
      </c>
      <c r="G101" s="142">
        <f t="shared" si="5"/>
        <v>29.991860497206215</v>
      </c>
      <c r="H101" s="115">
        <f t="shared" si="6"/>
        <v>31.095199885540538</v>
      </c>
      <c r="I101" s="142">
        <f t="shared" si="7"/>
        <v>0</v>
      </c>
      <c r="J101" s="58">
        <f t="shared" si="8"/>
        <v>0</v>
      </c>
      <c r="K101" s="37"/>
    </row>
    <row r="102" spans="1:11" x14ac:dyDescent="0.25">
      <c r="A102" s="50">
        <f>'A) Base RI'!A104</f>
        <v>5560</v>
      </c>
      <c r="B102" s="308" t="str">
        <f>'A) Base RI'!B104</f>
        <v>Grandevent</v>
      </c>
      <c r="C102" s="99">
        <f>'B) D RI'!U104</f>
        <v>6263.3176470588232</v>
      </c>
      <c r="D102" s="115">
        <f>'E) Fact soc'!G108/C102</f>
        <v>17.960877295504986</v>
      </c>
      <c r="E102" s="142">
        <f>'H) Péréquation directe'!I113/C102</f>
        <v>3.471625522842404</v>
      </c>
      <c r="F102" s="115">
        <f>+'I) Dépenses thématiques'!O102/'K) Plafonnement aide'!C102</f>
        <v>-2.9859743567588688</v>
      </c>
      <c r="G102" s="142">
        <f t="shared" si="5"/>
        <v>18.446528461588521</v>
      </c>
      <c r="H102" s="115">
        <f t="shared" si="6"/>
        <v>21.432502818347391</v>
      </c>
      <c r="I102" s="142">
        <f t="shared" si="7"/>
        <v>0</v>
      </c>
      <c r="J102" s="58">
        <f t="shared" si="8"/>
        <v>0</v>
      </c>
      <c r="K102" s="37"/>
    </row>
    <row r="103" spans="1:11" x14ac:dyDescent="0.25">
      <c r="A103" s="50">
        <f>'A) Base RI'!A105</f>
        <v>5561</v>
      </c>
      <c r="B103" s="308" t="str">
        <f>'A) Base RI'!B105</f>
        <v>Grandson</v>
      </c>
      <c r="C103" s="99">
        <f>'B) D RI'!U105</f>
        <v>115658.41101449275</v>
      </c>
      <c r="D103" s="115">
        <f>'E) Fact soc'!G109/C103</f>
        <v>18.183553145656997</v>
      </c>
      <c r="E103" s="142">
        <f>'H) Péréquation directe'!I114/C103</f>
        <v>6.3703631692459322</v>
      </c>
      <c r="F103" s="115">
        <f>+'I) Dépenses thématiques'!O103/'K) Plafonnement aide'!C103</f>
        <v>-7.6690447857000041</v>
      </c>
      <c r="G103" s="142">
        <f t="shared" si="5"/>
        <v>16.884871529202925</v>
      </c>
      <c r="H103" s="115">
        <f t="shared" si="6"/>
        <v>24.553916314902928</v>
      </c>
      <c r="I103" s="142">
        <f t="shared" si="7"/>
        <v>0</v>
      </c>
      <c r="J103" s="58">
        <f t="shared" si="8"/>
        <v>0</v>
      </c>
      <c r="K103" s="37"/>
    </row>
    <row r="104" spans="1:11" x14ac:dyDescent="0.25">
      <c r="A104" s="50">
        <f>'A) Base RI'!A106</f>
        <v>5562</v>
      </c>
      <c r="B104" s="308" t="str">
        <f>'A) Base RI'!B106</f>
        <v>Mauborget</v>
      </c>
      <c r="C104" s="99">
        <f>'B) D RI'!U106</f>
        <v>5902.7637857142863</v>
      </c>
      <c r="D104" s="115">
        <f>'E) Fact soc'!G110/C104</f>
        <v>18.123107144260956</v>
      </c>
      <c r="E104" s="142">
        <f>'H) Péréquation directe'!I115/C104</f>
        <v>17.522675231939669</v>
      </c>
      <c r="F104" s="115">
        <f>+'I) Dépenses thématiques'!O104/'K) Plafonnement aide'!C104</f>
        <v>-1.7220483176083137</v>
      </c>
      <c r="G104" s="142">
        <f t="shared" si="5"/>
        <v>33.923734058592316</v>
      </c>
      <c r="H104" s="115">
        <f t="shared" si="6"/>
        <v>35.645782376200629</v>
      </c>
      <c r="I104" s="142">
        <f t="shared" si="7"/>
        <v>0</v>
      </c>
      <c r="J104" s="58">
        <f t="shared" si="8"/>
        <v>0</v>
      </c>
      <c r="K104" s="37"/>
    </row>
    <row r="105" spans="1:11" x14ac:dyDescent="0.25">
      <c r="A105" s="50">
        <f>'A) Base RI'!A107</f>
        <v>5563</v>
      </c>
      <c r="B105" s="308" t="str">
        <f>'A) Base RI'!B107</f>
        <v>Mutrux</v>
      </c>
      <c r="C105" s="99">
        <f>'B) D RI'!U107</f>
        <v>3109.2766878980892</v>
      </c>
      <c r="D105" s="115">
        <f>'E) Fact soc'!G111/C105</f>
        <v>17.744954391447472</v>
      </c>
      <c r="E105" s="142">
        <f>'H) Péréquation directe'!I116/C105</f>
        <v>-20.081259487461182</v>
      </c>
      <c r="F105" s="115">
        <f>+'I) Dépenses thématiques'!O105/'K) Plafonnement aide'!C105</f>
        <v>-11.432752193128909</v>
      </c>
      <c r="G105" s="142">
        <f t="shared" si="5"/>
        <v>-13.769057289142619</v>
      </c>
      <c r="H105" s="115">
        <f t="shared" si="6"/>
        <v>-2.3363050960137102</v>
      </c>
      <c r="I105" s="142">
        <f t="shared" si="7"/>
        <v>0</v>
      </c>
      <c r="J105" s="58">
        <f t="shared" si="8"/>
        <v>0</v>
      </c>
      <c r="K105" s="37"/>
    </row>
    <row r="106" spans="1:11" x14ac:dyDescent="0.25">
      <c r="A106" s="50">
        <f>'A) Base RI'!A108</f>
        <v>5564</v>
      </c>
      <c r="B106" s="308" t="str">
        <f>'A) Base RI'!B108</f>
        <v>Novalles</v>
      </c>
      <c r="C106" s="99">
        <f>'B) D RI'!U108</f>
        <v>2625.7898355263155</v>
      </c>
      <c r="D106" s="115">
        <f>'E) Fact soc'!G112/C106</f>
        <v>18.985145833204534</v>
      </c>
      <c r="E106" s="142">
        <f>'H) Péréquation directe'!I117/C106</f>
        <v>-1.7372927290410063</v>
      </c>
      <c r="F106" s="115">
        <f>+'I) Dépenses thématiques'!O106/'K) Plafonnement aide'!C106</f>
        <v>-4.3123857275225141</v>
      </c>
      <c r="G106" s="142">
        <f t="shared" si="5"/>
        <v>12.935467376641014</v>
      </c>
      <c r="H106" s="115">
        <f t="shared" si="6"/>
        <v>17.247853104163529</v>
      </c>
      <c r="I106" s="142">
        <f t="shared" si="7"/>
        <v>0</v>
      </c>
      <c r="J106" s="58">
        <f t="shared" si="8"/>
        <v>0</v>
      </c>
      <c r="K106" s="37"/>
    </row>
    <row r="107" spans="1:11" x14ac:dyDescent="0.25">
      <c r="A107" s="50">
        <f>'A) Base RI'!A109</f>
        <v>5565</v>
      </c>
      <c r="B107" s="308" t="str">
        <f>'A) Base RI'!B109</f>
        <v>Onnens</v>
      </c>
      <c r="C107" s="99">
        <f>'B) D RI'!U109</f>
        <v>18487.846307692304</v>
      </c>
      <c r="D107" s="115">
        <f>'E) Fact soc'!G113/C107</f>
        <v>18.439765418255678</v>
      </c>
      <c r="E107" s="142">
        <f>'H) Péréquation directe'!I118/C107</f>
        <v>14.022131716163875</v>
      </c>
      <c r="F107" s="115">
        <f>+'I) Dépenses thématiques'!O107/'K) Plafonnement aide'!C107</f>
        <v>-2.6585458687325096</v>
      </c>
      <c r="G107" s="142">
        <f t="shared" si="5"/>
        <v>29.803351265687041</v>
      </c>
      <c r="H107" s="115">
        <f t="shared" si="6"/>
        <v>32.461897134419551</v>
      </c>
      <c r="I107" s="142">
        <f t="shared" si="7"/>
        <v>0</v>
      </c>
      <c r="J107" s="58">
        <f t="shared" si="8"/>
        <v>0</v>
      </c>
      <c r="K107" s="37"/>
    </row>
    <row r="108" spans="1:11" x14ac:dyDescent="0.25">
      <c r="A108" s="50">
        <f>'A) Base RI'!A110</f>
        <v>5566</v>
      </c>
      <c r="B108" s="308" t="str">
        <f>'A) Base RI'!B110</f>
        <v>Provence</v>
      </c>
      <c r="C108" s="99">
        <f>'B) D RI'!U110</f>
        <v>7938.210164609055</v>
      </c>
      <c r="D108" s="115">
        <f>'E) Fact soc'!G114/C108</f>
        <v>18.270579681206822</v>
      </c>
      <c r="E108" s="142">
        <f>'H) Péréquation directe'!I119/C108</f>
        <v>-17.630811272181131</v>
      </c>
      <c r="F108" s="115">
        <f>+'I) Dépenses thématiques'!O108/'K) Plafonnement aide'!C108</f>
        <v>-26.453013593049732</v>
      </c>
      <c r="G108" s="142">
        <f t="shared" si="5"/>
        <v>-25.813245184024041</v>
      </c>
      <c r="H108" s="115">
        <f t="shared" si="6"/>
        <v>0.63976840902569165</v>
      </c>
      <c r="I108" s="142">
        <f t="shared" si="7"/>
        <v>0</v>
      </c>
      <c r="J108" s="58">
        <f t="shared" si="8"/>
        <v>0</v>
      </c>
      <c r="K108" s="37"/>
    </row>
    <row r="109" spans="1:11" x14ac:dyDescent="0.25">
      <c r="A109" s="50">
        <f>'A) Base RI'!A111</f>
        <v>5568</v>
      </c>
      <c r="B109" s="308" t="str">
        <f>'A) Base RI'!B111</f>
        <v>Sainte-Croix</v>
      </c>
      <c r="C109" s="99">
        <f>'B) D RI'!U111</f>
        <v>99640.524428571414</v>
      </c>
      <c r="D109" s="115">
        <f>'E) Fact soc'!G115/C109</f>
        <v>25.124483784058203</v>
      </c>
      <c r="E109" s="142">
        <f>'H) Péréquation directe'!I120/C109</f>
        <v>-21.718431873717581</v>
      </c>
      <c r="F109" s="115">
        <f>+'I) Dépenses thématiques'!O109/'K) Plafonnement aide'!C109</f>
        <v>-12.369675562985334</v>
      </c>
      <c r="G109" s="142">
        <f t="shared" si="5"/>
        <v>-8.9636236526447117</v>
      </c>
      <c r="H109" s="115">
        <f t="shared" si="6"/>
        <v>3.4060519103406222</v>
      </c>
      <c r="I109" s="142">
        <f t="shared" si="7"/>
        <v>0</v>
      </c>
      <c r="J109" s="58">
        <f t="shared" si="8"/>
        <v>0</v>
      </c>
      <c r="K109" s="37"/>
    </row>
    <row r="110" spans="1:11" x14ac:dyDescent="0.25">
      <c r="A110" s="50">
        <f>'A) Base RI'!A112</f>
        <v>5571</v>
      </c>
      <c r="B110" s="308" t="str">
        <f>'A) Base RI'!B112</f>
        <v>Tévenon</v>
      </c>
      <c r="C110" s="99">
        <f>'B) D RI'!U112</f>
        <v>21324.629931506846</v>
      </c>
      <c r="D110" s="115">
        <f>'E) Fact soc'!G116/C110</f>
        <v>18.600109910138276</v>
      </c>
      <c r="E110" s="142">
        <f>'H) Péréquation directe'!I121/C110</f>
        <v>-1.577099740237935</v>
      </c>
      <c r="F110" s="115">
        <f>+'I) Dépenses thématiques'!O110/'K) Plafonnement aide'!C110</f>
        <v>-8.8060612805701055</v>
      </c>
      <c r="G110" s="142">
        <f t="shared" si="5"/>
        <v>8.2169488893302365</v>
      </c>
      <c r="H110" s="115">
        <f t="shared" si="6"/>
        <v>17.023010169900342</v>
      </c>
      <c r="I110" s="142">
        <f t="shared" si="7"/>
        <v>0</v>
      </c>
      <c r="J110" s="58">
        <f t="shared" si="8"/>
        <v>0</v>
      </c>
      <c r="K110" s="37"/>
    </row>
    <row r="111" spans="1:11" x14ac:dyDescent="0.25">
      <c r="A111" s="50">
        <f>'A) Base RI'!A113</f>
        <v>5581</v>
      </c>
      <c r="B111" s="308" t="str">
        <f>'A) Base RI'!B113</f>
        <v>Belmont-sur-Lausanne</v>
      </c>
      <c r="C111" s="99">
        <f>'B) D RI'!U113</f>
        <v>192051.94455635498</v>
      </c>
      <c r="D111" s="115">
        <f>'E) Fact soc'!G117/C111</f>
        <v>20.319881469992374</v>
      </c>
      <c r="E111" s="142">
        <f>'H) Péréquation directe'!I122/C111</f>
        <v>14.065720185098217</v>
      </c>
      <c r="F111" s="115">
        <f>+'I) Dépenses thématiques'!O111/'K) Plafonnement aide'!C111</f>
        <v>-2.1574375808534851</v>
      </c>
      <c r="G111" s="142">
        <f t="shared" si="5"/>
        <v>32.228164074237107</v>
      </c>
      <c r="H111" s="115">
        <f t="shared" si="6"/>
        <v>34.385601655090589</v>
      </c>
      <c r="I111" s="142">
        <f t="shared" si="7"/>
        <v>0</v>
      </c>
      <c r="J111" s="58">
        <f t="shared" si="8"/>
        <v>0</v>
      </c>
      <c r="K111" s="37"/>
    </row>
    <row r="112" spans="1:11" x14ac:dyDescent="0.25">
      <c r="A112" s="50">
        <f>'A) Base RI'!A114</f>
        <v>5582</v>
      </c>
      <c r="B112" s="308" t="str">
        <f>'A) Base RI'!B114</f>
        <v>Cheseaux-sur-Lausanne</v>
      </c>
      <c r="C112" s="99">
        <f>'B) D RI'!U114</f>
        <v>179002.65087248324</v>
      </c>
      <c r="D112" s="115">
        <f>'E) Fact soc'!G118/C112</f>
        <v>17.005440571044129</v>
      </c>
      <c r="E112" s="142">
        <f>'H) Péréquation directe'!I123/C112</f>
        <v>9.4897526038964628</v>
      </c>
      <c r="F112" s="115">
        <f>+'I) Dépenses thématiques'!O112/'K) Plafonnement aide'!C112</f>
        <v>-2.4233850317340986</v>
      </c>
      <c r="G112" s="142">
        <f t="shared" si="5"/>
        <v>24.071808143206493</v>
      </c>
      <c r="H112" s="115">
        <f t="shared" si="6"/>
        <v>26.495193174940592</v>
      </c>
      <c r="I112" s="142">
        <f t="shared" si="7"/>
        <v>0</v>
      </c>
      <c r="J112" s="58">
        <f t="shared" si="8"/>
        <v>0</v>
      </c>
      <c r="K112" s="37"/>
    </row>
    <row r="113" spans="1:11" x14ac:dyDescent="0.25">
      <c r="A113" s="50">
        <f>'A) Base RI'!A115</f>
        <v>5583</v>
      </c>
      <c r="B113" s="308" t="str">
        <f>'A) Base RI'!B115</f>
        <v>Crissier</v>
      </c>
      <c r="C113" s="99">
        <f>'B) D RI'!U115</f>
        <v>294545.40292307688</v>
      </c>
      <c r="D113" s="115">
        <f>'E) Fact soc'!G119/C113</f>
        <v>19.152797051336471</v>
      </c>
      <c r="E113" s="142">
        <f>'H) Péréquation directe'!I124/C113</f>
        <v>3.9789222410781924</v>
      </c>
      <c r="F113" s="115">
        <f>+'I) Dépenses thématiques'!O113/'K) Plafonnement aide'!C113</f>
        <v>-8.0959473778794777</v>
      </c>
      <c r="G113" s="142">
        <f t="shared" si="5"/>
        <v>15.035771914535184</v>
      </c>
      <c r="H113" s="115">
        <f t="shared" si="6"/>
        <v>23.131719292414662</v>
      </c>
      <c r="I113" s="142">
        <f t="shared" si="7"/>
        <v>0</v>
      </c>
      <c r="J113" s="58">
        <f t="shared" si="8"/>
        <v>0</v>
      </c>
      <c r="K113" s="37"/>
    </row>
    <row r="114" spans="1:11" x14ac:dyDescent="0.25">
      <c r="A114" s="50">
        <f>'A) Base RI'!A116</f>
        <v>5584</v>
      </c>
      <c r="B114" s="308" t="str">
        <f>'A) Base RI'!B116</f>
        <v>Epalinges</v>
      </c>
      <c r="C114" s="99">
        <f>'B) D RI'!U116</f>
        <v>414398.09409090912</v>
      </c>
      <c r="D114" s="115">
        <f>'E) Fact soc'!G120/C114</f>
        <v>19.293548540784528</v>
      </c>
      <c r="E114" s="142">
        <f>'H) Péréquation directe'!I125/C114</f>
        <v>8.9371886909123273</v>
      </c>
      <c r="F114" s="115">
        <f>+'I) Dépenses thématiques'!O114/'K) Plafonnement aide'!C114</f>
        <v>-8.634456785579701</v>
      </c>
      <c r="G114" s="142">
        <f t="shared" si="5"/>
        <v>19.596280446117156</v>
      </c>
      <c r="H114" s="115">
        <f t="shared" si="6"/>
        <v>28.230737231696857</v>
      </c>
      <c r="I114" s="142">
        <f t="shared" si="7"/>
        <v>0</v>
      </c>
      <c r="J114" s="58">
        <f t="shared" si="8"/>
        <v>0</v>
      </c>
      <c r="K114" s="37"/>
    </row>
    <row r="115" spans="1:11" x14ac:dyDescent="0.25">
      <c r="A115" s="50">
        <f>'A) Base RI'!A117</f>
        <v>5585</v>
      </c>
      <c r="B115" s="308" t="str">
        <f>'A) Base RI'!B117</f>
        <v>Jouxtens-Mézery</v>
      </c>
      <c r="C115" s="99">
        <f>'B) D RI'!U117</f>
        <v>171586.66471698115</v>
      </c>
      <c r="D115" s="115">
        <f>'E) Fact soc'!G121/C115</f>
        <v>29.580764026030515</v>
      </c>
      <c r="E115" s="142">
        <f>'H) Péréquation directe'!I126/C115</f>
        <v>18.347448246977439</v>
      </c>
      <c r="F115" s="115">
        <f>+'I) Dépenses thématiques'!O115/'K) Plafonnement aide'!C115</f>
        <v>0</v>
      </c>
      <c r="G115" s="142">
        <f t="shared" si="5"/>
        <v>47.928212273007958</v>
      </c>
      <c r="H115" s="115">
        <f t="shared" si="6"/>
        <v>47.928212273007958</v>
      </c>
      <c r="I115" s="142">
        <f t="shared" si="7"/>
        <v>0</v>
      </c>
      <c r="J115" s="58">
        <f t="shared" si="8"/>
        <v>0</v>
      </c>
      <c r="K115" s="37"/>
    </row>
    <row r="116" spans="1:11" x14ac:dyDescent="0.25">
      <c r="A116" s="50">
        <f>'A) Base RI'!A118</f>
        <v>5586</v>
      </c>
      <c r="B116" s="308" t="str">
        <f>'A) Base RI'!B118</f>
        <v>Lausanne</v>
      </c>
      <c r="C116" s="99">
        <f>'B) D RI'!U118</f>
        <v>5871810.1056962032</v>
      </c>
      <c r="D116" s="115">
        <f>'E) Fact soc'!G122/C116</f>
        <v>19.217091223034572</v>
      </c>
      <c r="E116" s="142">
        <f>'H) Péréquation directe'!I127/C116</f>
        <v>-5.5190925265138535</v>
      </c>
      <c r="F116" s="115">
        <f>+'I) Dépenses thématiques'!O116/'K) Plafonnement aide'!C116</f>
        <v>-8.1524907148111847</v>
      </c>
      <c r="G116" s="142">
        <f t="shared" si="5"/>
        <v>5.5455079817095339</v>
      </c>
      <c r="H116" s="115">
        <f t="shared" si="6"/>
        <v>13.697998696520719</v>
      </c>
      <c r="I116" s="142">
        <f t="shared" si="7"/>
        <v>0</v>
      </c>
      <c r="J116" s="58">
        <f t="shared" si="8"/>
        <v>0</v>
      </c>
      <c r="K116" s="37"/>
    </row>
    <row r="117" spans="1:11" x14ac:dyDescent="0.25">
      <c r="A117" s="50">
        <f>'A) Base RI'!A119</f>
        <v>5587</v>
      </c>
      <c r="B117" s="308" t="str">
        <f>'A) Base RI'!B119</f>
        <v>Le Mont-sur-Lausanne</v>
      </c>
      <c r="C117" s="99">
        <f>'B) D RI'!U119</f>
        <v>415945.64633333334</v>
      </c>
      <c r="D117" s="115">
        <f>'E) Fact soc'!G123/C117</f>
        <v>20.142522151687565</v>
      </c>
      <c r="E117" s="142">
        <f>'H) Péréquation directe'!I128/C117</f>
        <v>11.269857241679885</v>
      </c>
      <c r="F117" s="115">
        <f>+'I) Dépenses thématiques'!O117/'K) Plafonnement aide'!C117</f>
        <v>-5.6452931836152347</v>
      </c>
      <c r="G117" s="142">
        <f t="shared" si="5"/>
        <v>25.767086209752218</v>
      </c>
      <c r="H117" s="115">
        <f t="shared" si="6"/>
        <v>31.412379393367452</v>
      </c>
      <c r="I117" s="142">
        <f t="shared" si="7"/>
        <v>0</v>
      </c>
      <c r="J117" s="58">
        <f t="shared" si="8"/>
        <v>0</v>
      </c>
      <c r="K117" s="37"/>
    </row>
    <row r="118" spans="1:11" x14ac:dyDescent="0.25">
      <c r="A118" s="50">
        <f>'A) Base RI'!A120</f>
        <v>5588</v>
      </c>
      <c r="B118" s="308" t="str">
        <f>'A) Base RI'!B120</f>
        <v>Paudex</v>
      </c>
      <c r="C118" s="99">
        <f>'B) D RI'!U120</f>
        <v>147210.22826945415</v>
      </c>
      <c r="D118" s="115">
        <f>'E) Fact soc'!G124/C118</f>
        <v>27.881038224327348</v>
      </c>
      <c r="E118" s="142">
        <f>'H) Péréquation directe'!I129/C118</f>
        <v>18.045936148466701</v>
      </c>
      <c r="F118" s="115">
        <f>+'I) Dépenses thématiques'!O118/'K) Plafonnement aide'!C118</f>
        <v>0</v>
      </c>
      <c r="G118" s="142">
        <f t="shared" si="5"/>
        <v>45.926974372794049</v>
      </c>
      <c r="H118" s="115">
        <f t="shared" si="6"/>
        <v>45.926974372794049</v>
      </c>
      <c r="I118" s="142">
        <f t="shared" si="7"/>
        <v>0</v>
      </c>
      <c r="J118" s="58">
        <f t="shared" si="8"/>
        <v>0</v>
      </c>
      <c r="K118" s="37"/>
    </row>
    <row r="119" spans="1:11" x14ac:dyDescent="0.25">
      <c r="A119" s="50">
        <f>'A) Base RI'!A121</f>
        <v>5589</v>
      </c>
      <c r="B119" s="308" t="str">
        <f>'A) Base RI'!B121</f>
        <v>Prilly</v>
      </c>
      <c r="C119" s="99">
        <f>'B) D RI'!U121</f>
        <v>397261.42585034011</v>
      </c>
      <c r="D119" s="115">
        <f>'E) Fact soc'!G125/C119</f>
        <v>18.657734542378165</v>
      </c>
      <c r="E119" s="142">
        <f>'H) Péréquation directe'!I130/C119</f>
        <v>-5.2239449609659223</v>
      </c>
      <c r="F119" s="115">
        <f>+'I) Dépenses thématiques'!O119/'K) Plafonnement aide'!C119</f>
        <v>-5.497311852575101</v>
      </c>
      <c r="G119" s="142">
        <f t="shared" si="5"/>
        <v>7.9364777288371409</v>
      </c>
      <c r="H119" s="115">
        <f t="shared" si="6"/>
        <v>13.433789581412242</v>
      </c>
      <c r="I119" s="142">
        <f t="shared" si="7"/>
        <v>0</v>
      </c>
      <c r="J119" s="58">
        <f t="shared" si="8"/>
        <v>0</v>
      </c>
      <c r="K119" s="37"/>
    </row>
    <row r="120" spans="1:11" x14ac:dyDescent="0.25">
      <c r="A120" s="50">
        <f>'A) Base RI'!A122</f>
        <v>5590</v>
      </c>
      <c r="B120" s="308" t="str">
        <f>'A) Base RI'!B122</f>
        <v>Pully</v>
      </c>
      <c r="C120" s="99">
        <f>'B) D RI'!U122</f>
        <v>1436103.5918735364</v>
      </c>
      <c r="D120" s="115">
        <f>'E) Fact soc'!G126/C120</f>
        <v>27.384023271087795</v>
      </c>
      <c r="E120" s="142">
        <f>'H) Péréquation directe'!I131/C120</f>
        <v>10.980734200292217</v>
      </c>
      <c r="F120" s="115">
        <f>+'I) Dépenses thématiques'!O120/'K) Plafonnement aide'!C120</f>
        <v>-1.2050315928122646</v>
      </c>
      <c r="G120" s="142">
        <f t="shared" si="5"/>
        <v>37.159725878567748</v>
      </c>
      <c r="H120" s="115">
        <f t="shared" si="6"/>
        <v>38.36475747138001</v>
      </c>
      <c r="I120" s="142">
        <f t="shared" si="7"/>
        <v>0</v>
      </c>
      <c r="J120" s="58">
        <f t="shared" si="8"/>
        <v>0</v>
      </c>
      <c r="K120" s="37"/>
    </row>
    <row r="121" spans="1:11" x14ac:dyDescent="0.25">
      <c r="A121" s="50">
        <f>'A) Base RI'!A123</f>
        <v>5591</v>
      </c>
      <c r="B121" s="308" t="str">
        <f>'A) Base RI'!B123</f>
        <v>Renens</v>
      </c>
      <c r="C121" s="99">
        <f>'B) D RI'!U123</f>
        <v>526209.31525022746</v>
      </c>
      <c r="D121" s="115">
        <f>'E) Fact soc'!G127/C121</f>
        <v>19.109579040222119</v>
      </c>
      <c r="E121" s="142">
        <f>'H) Péréquation directe'!I132/C121</f>
        <v>-30.370024859183758</v>
      </c>
      <c r="F121" s="115">
        <f>+'I) Dépenses thématiques'!O121/'K) Plafonnement aide'!C121</f>
        <v>-10.89717521585847</v>
      </c>
      <c r="G121" s="142">
        <f t="shared" si="5"/>
        <v>-22.15762103482011</v>
      </c>
      <c r="H121" s="115">
        <f t="shared" si="6"/>
        <v>-11.260445818961641</v>
      </c>
      <c r="I121" s="142">
        <f t="shared" si="7"/>
        <v>-3.2604458189616405</v>
      </c>
      <c r="J121" s="58">
        <f t="shared" si="8"/>
        <v>1715676.9618062719</v>
      </c>
      <c r="K121" s="37"/>
    </row>
    <row r="122" spans="1:11" x14ac:dyDescent="0.25">
      <c r="A122" s="50">
        <f>'A) Base RI'!A124</f>
        <v>5592</v>
      </c>
      <c r="B122" s="308" t="str">
        <f>'A) Base RI'!B124</f>
        <v>Romanel-sur-Lausanne</v>
      </c>
      <c r="C122" s="99">
        <f>'B) D RI'!U124</f>
        <v>111498.54042857142</v>
      </c>
      <c r="D122" s="115">
        <f>'E) Fact soc'!G128/C122</f>
        <v>17.780720683884649</v>
      </c>
      <c r="E122" s="142">
        <f>'H) Péréquation directe'!I133/C122</f>
        <v>4.7732898229676746</v>
      </c>
      <c r="F122" s="115">
        <f>+'I) Dépenses thématiques'!O122/'K) Plafonnement aide'!C122</f>
        <v>-2.5055216539586662</v>
      </c>
      <c r="G122" s="142">
        <f t="shared" si="5"/>
        <v>20.048488852893655</v>
      </c>
      <c r="H122" s="115">
        <f t="shared" si="6"/>
        <v>22.554010506852322</v>
      </c>
      <c r="I122" s="142">
        <f t="shared" si="7"/>
        <v>0</v>
      </c>
      <c r="J122" s="58">
        <f t="shared" si="8"/>
        <v>0</v>
      </c>
      <c r="K122" s="37"/>
    </row>
    <row r="123" spans="1:11" x14ac:dyDescent="0.25">
      <c r="A123" s="50">
        <f>'A) Base RI'!A125</f>
        <v>5601</v>
      </c>
      <c r="B123" s="308" t="str">
        <f>'A) Base RI'!B125</f>
        <v>Chexbres</v>
      </c>
      <c r="C123" s="99">
        <f>'B) D RI'!U125</f>
        <v>116832.8703125</v>
      </c>
      <c r="D123" s="115">
        <f>'E) Fact soc'!G129/C123</f>
        <v>22.528014619042704</v>
      </c>
      <c r="E123" s="142">
        <f>'H) Péréquation directe'!I134/C123</f>
        <v>15.255812453720205</v>
      </c>
      <c r="F123" s="115">
        <f>+'I) Dépenses thématiques'!O123/'K) Plafonnement aide'!C123</f>
        <v>-1.152993397874156</v>
      </c>
      <c r="G123" s="142">
        <f t="shared" si="5"/>
        <v>36.630833674888756</v>
      </c>
      <c r="H123" s="115">
        <f t="shared" si="6"/>
        <v>37.783827072762911</v>
      </c>
      <c r="I123" s="142">
        <f t="shared" si="7"/>
        <v>0</v>
      </c>
      <c r="J123" s="58">
        <f t="shared" si="8"/>
        <v>0</v>
      </c>
      <c r="K123" s="37"/>
    </row>
    <row r="124" spans="1:11" x14ac:dyDescent="0.25">
      <c r="A124" s="50">
        <f>'A) Base RI'!A126</f>
        <v>5604</v>
      </c>
      <c r="B124" s="308" t="str">
        <f>'A) Base RI'!B126</f>
        <v>Forel (Lavaux)</v>
      </c>
      <c r="C124" s="99">
        <f>'B) D RI'!U126</f>
        <v>69144.285441176457</v>
      </c>
      <c r="D124" s="115">
        <f>'E) Fact soc'!G130/C124</f>
        <v>18.294930326419909</v>
      </c>
      <c r="E124" s="142">
        <f>'H) Péréquation directe'!I135/C124</f>
        <v>6.1251597665251474</v>
      </c>
      <c r="F124" s="115">
        <f>+'I) Dépenses thématiques'!O124/'K) Plafonnement aide'!C124</f>
        <v>-4.1079611357700134</v>
      </c>
      <c r="G124" s="142">
        <f t="shared" si="5"/>
        <v>20.312128957175041</v>
      </c>
      <c r="H124" s="115">
        <f t="shared" si="6"/>
        <v>24.420090092945053</v>
      </c>
      <c r="I124" s="142">
        <f t="shared" si="7"/>
        <v>0</v>
      </c>
      <c r="J124" s="58">
        <f t="shared" si="8"/>
        <v>0</v>
      </c>
      <c r="K124" s="37"/>
    </row>
    <row r="125" spans="1:11" x14ac:dyDescent="0.25">
      <c r="A125" s="50">
        <f>'A) Base RI'!A127</f>
        <v>5606</v>
      </c>
      <c r="B125" s="308" t="str">
        <f>'A) Base RI'!B127</f>
        <v>Lutry</v>
      </c>
      <c r="C125" s="99">
        <f>'B) D RI'!U127</f>
        <v>819312.37389961397</v>
      </c>
      <c r="D125" s="115">
        <f>'E) Fact soc'!G131/C125</f>
        <v>27.443712908066466</v>
      </c>
      <c r="E125" s="142">
        <f>'H) Péréquation directe'!I136/C125</f>
        <v>13.891794300777155</v>
      </c>
      <c r="F125" s="115">
        <f>+'I) Dépenses thématiques'!O125/'K) Plafonnement aide'!C125</f>
        <v>-1.9006624411034663</v>
      </c>
      <c r="G125" s="142">
        <f t="shared" si="5"/>
        <v>39.434844767740159</v>
      </c>
      <c r="H125" s="115">
        <f t="shared" si="6"/>
        <v>41.335507208843623</v>
      </c>
      <c r="I125" s="142">
        <f t="shared" si="7"/>
        <v>0</v>
      </c>
      <c r="J125" s="58">
        <f t="shared" si="8"/>
        <v>0</v>
      </c>
      <c r="K125" s="37"/>
    </row>
    <row r="126" spans="1:11" x14ac:dyDescent="0.25">
      <c r="A126" s="50">
        <f>'A) Base RI'!A128</f>
        <v>5607</v>
      </c>
      <c r="B126" s="308" t="str">
        <f>'A) Base RI'!B128</f>
        <v>Puidoux</v>
      </c>
      <c r="C126" s="99">
        <f>'B) D RI'!U128</f>
        <v>104767.98296273292</v>
      </c>
      <c r="D126" s="115">
        <f>'E) Fact soc'!G132/C126</f>
        <v>19.403752679866098</v>
      </c>
      <c r="E126" s="142">
        <f>'H) Péréquation directe'!I137/C126</f>
        <v>7.6063240495534998</v>
      </c>
      <c r="F126" s="115">
        <f>+'I) Dépenses thématiques'!O126/'K) Plafonnement aide'!C126</f>
        <v>-8.3539963973051918</v>
      </c>
      <c r="G126" s="142">
        <f t="shared" si="5"/>
        <v>18.656080332114406</v>
      </c>
      <c r="H126" s="115">
        <f t="shared" si="6"/>
        <v>27.010076729419598</v>
      </c>
      <c r="I126" s="142">
        <f t="shared" si="7"/>
        <v>0</v>
      </c>
      <c r="J126" s="58">
        <f t="shared" si="8"/>
        <v>0</v>
      </c>
      <c r="K126" s="37"/>
    </row>
    <row r="127" spans="1:11" x14ac:dyDescent="0.25">
      <c r="A127" s="50">
        <f>'A) Base RI'!A129</f>
        <v>5609</v>
      </c>
      <c r="B127" s="308" t="str">
        <f>'A) Base RI'!B129</f>
        <v>Rivaz</v>
      </c>
      <c r="C127" s="99">
        <f>'B) D RI'!U129</f>
        <v>15550.240157480319</v>
      </c>
      <c r="D127" s="115">
        <f>'E) Fact soc'!G133/C127</f>
        <v>18.149676883472829</v>
      </c>
      <c r="E127" s="142">
        <f>'H) Péréquation directe'!I138/C127</f>
        <v>16.892172853306509</v>
      </c>
      <c r="F127" s="115">
        <f>+'I) Dépenses thématiques'!O127/'K) Plafonnement aide'!C127</f>
        <v>-3.9822136706499429</v>
      </c>
      <c r="G127" s="142">
        <f t="shared" si="5"/>
        <v>31.059636066129396</v>
      </c>
      <c r="H127" s="115">
        <f t="shared" si="6"/>
        <v>35.041849736779341</v>
      </c>
      <c r="I127" s="142">
        <f t="shared" si="7"/>
        <v>0</v>
      </c>
      <c r="J127" s="58">
        <f t="shared" si="8"/>
        <v>0</v>
      </c>
      <c r="K127" s="37"/>
    </row>
    <row r="128" spans="1:11" x14ac:dyDescent="0.25">
      <c r="A128" s="50">
        <f>'A) Base RI'!A130</f>
        <v>5610</v>
      </c>
      <c r="B128" s="308" t="str">
        <f>'A) Base RI'!B130</f>
        <v>St-Saphorin (Lavaux)</v>
      </c>
      <c r="C128" s="99">
        <f>'B) D RI'!U130</f>
        <v>15345.496567164178</v>
      </c>
      <c r="D128" s="115">
        <f>'E) Fact soc'!G134/C128</f>
        <v>23.427481695367369</v>
      </c>
      <c r="E128" s="142">
        <f>'H) Péréquation directe'!I139/C128</f>
        <v>14.267289766776305</v>
      </c>
      <c r="F128" s="115">
        <f>+'I) Dépenses thématiques'!O128/'K) Plafonnement aide'!C128</f>
        <v>-6.6870283504926791</v>
      </c>
      <c r="G128" s="142">
        <f t="shared" si="5"/>
        <v>31.007743111650999</v>
      </c>
      <c r="H128" s="115">
        <f t="shared" si="6"/>
        <v>37.694771462143677</v>
      </c>
      <c r="I128" s="142">
        <f t="shared" si="7"/>
        <v>0</v>
      </c>
      <c r="J128" s="58">
        <f t="shared" si="8"/>
        <v>0</v>
      </c>
      <c r="K128" s="37"/>
    </row>
    <row r="129" spans="1:11" x14ac:dyDescent="0.25">
      <c r="A129" s="50">
        <f>'A) Base RI'!A131</f>
        <v>5611</v>
      </c>
      <c r="B129" s="308" t="str">
        <f>'A) Base RI'!B131</f>
        <v>Savigny</v>
      </c>
      <c r="C129" s="99">
        <f>'B) D RI'!U131</f>
        <v>131982.7743236715</v>
      </c>
      <c r="D129" s="115">
        <f>'E) Fact soc'!G135/C129</f>
        <v>20.427448724717365</v>
      </c>
      <c r="E129" s="142">
        <f>'H) Péréquation directe'!I140/C129</f>
        <v>9.7055740705041167</v>
      </c>
      <c r="F129" s="115">
        <f>+'I) Dépenses thématiques'!O129/'K) Plafonnement aide'!C129</f>
        <v>-4.0314113473105051</v>
      </c>
      <c r="G129" s="142">
        <f t="shared" si="5"/>
        <v>26.101611447910976</v>
      </c>
      <c r="H129" s="115">
        <f t="shared" si="6"/>
        <v>30.133022795221482</v>
      </c>
      <c r="I129" s="142">
        <f t="shared" si="7"/>
        <v>0</v>
      </c>
      <c r="J129" s="58">
        <f t="shared" si="8"/>
        <v>0</v>
      </c>
      <c r="K129" s="37"/>
    </row>
    <row r="130" spans="1:11" x14ac:dyDescent="0.25">
      <c r="A130" s="50">
        <f>'A) Base RI'!A132</f>
        <v>5613</v>
      </c>
      <c r="B130" s="308" t="str">
        <f>'A) Base RI'!B132</f>
        <v>Bourg-en-Lavaux</v>
      </c>
      <c r="C130" s="99">
        <f>'B) D RI'!U132</f>
        <v>329819.74420765025</v>
      </c>
      <c r="D130" s="115">
        <f>'E) Fact soc'!G136/C130</f>
        <v>22.367558479839776</v>
      </c>
      <c r="E130" s="142">
        <f>'H) Péréquation directe'!I141/C130</f>
        <v>14.028136286421411</v>
      </c>
      <c r="F130" s="115">
        <f>+'I) Dépenses thématiques'!O130/'K) Plafonnement aide'!C130</f>
        <v>-0.7017584265918847</v>
      </c>
      <c r="G130" s="142">
        <f t="shared" si="5"/>
        <v>35.6939363396693</v>
      </c>
      <c r="H130" s="115">
        <f t="shared" si="6"/>
        <v>36.395694766261187</v>
      </c>
      <c r="I130" s="142">
        <f t="shared" si="7"/>
        <v>0</v>
      </c>
      <c r="J130" s="58">
        <f t="shared" si="8"/>
        <v>0</v>
      </c>
      <c r="K130" s="37"/>
    </row>
    <row r="131" spans="1:11" x14ac:dyDescent="0.25">
      <c r="A131" s="50">
        <f>'A) Base RI'!A133</f>
        <v>5621</v>
      </c>
      <c r="B131" s="308" t="str">
        <f>'A) Base RI'!B133</f>
        <v>Aclens</v>
      </c>
      <c r="C131" s="99">
        <f>'B) D RI'!U133</f>
        <v>29752.054618768325</v>
      </c>
      <c r="D131" s="115">
        <f>'E) Fact soc'!G137/C131</f>
        <v>29.43686575521172</v>
      </c>
      <c r="E131" s="142">
        <f>'H) Péréquation directe'!I142/C131</f>
        <v>17.750143720484651</v>
      </c>
      <c r="F131" s="115">
        <f>+'I) Dépenses thématiques'!O131/'K) Plafonnement aide'!C131</f>
        <v>-1.1201203328758016</v>
      </c>
      <c r="G131" s="142">
        <f t="shared" si="5"/>
        <v>46.066889142820571</v>
      </c>
      <c r="H131" s="115">
        <f t="shared" si="6"/>
        <v>47.187009475696371</v>
      </c>
      <c r="I131" s="142">
        <f t="shared" si="7"/>
        <v>0</v>
      </c>
      <c r="J131" s="58">
        <f t="shared" si="8"/>
        <v>0</v>
      </c>
      <c r="K131" s="37"/>
    </row>
    <row r="132" spans="1:11" x14ac:dyDescent="0.25">
      <c r="A132" s="50">
        <f>'A) Base RI'!A134</f>
        <v>5622</v>
      </c>
      <c r="B132" s="308" t="str">
        <f>'A) Base RI'!B134</f>
        <v>Bremblens</v>
      </c>
      <c r="C132" s="99">
        <f>'B) D RI'!U134</f>
        <v>30065.565151515151</v>
      </c>
      <c r="D132" s="115">
        <f>'E) Fact soc'!G138/C132</f>
        <v>19.407302828246088</v>
      </c>
      <c r="E132" s="142">
        <f>'H) Péréquation directe'!I143/C132</f>
        <v>17.76551728644738</v>
      </c>
      <c r="F132" s="115">
        <f>+'I) Dépenses thématiques'!O132/'K) Plafonnement aide'!C132</f>
        <v>0</v>
      </c>
      <c r="G132" s="142">
        <f t="shared" si="5"/>
        <v>37.172820114693465</v>
      </c>
      <c r="H132" s="115">
        <f t="shared" si="6"/>
        <v>37.172820114693465</v>
      </c>
      <c r="I132" s="142">
        <f t="shared" si="7"/>
        <v>0</v>
      </c>
      <c r="J132" s="58">
        <f t="shared" si="8"/>
        <v>0</v>
      </c>
      <c r="K132" s="37"/>
    </row>
    <row r="133" spans="1:11" x14ac:dyDescent="0.25">
      <c r="A133" s="50">
        <f>'A) Base RI'!A135</f>
        <v>5623</v>
      </c>
      <c r="B133" s="308" t="str">
        <f>'A) Base RI'!B135</f>
        <v>Buchillon</v>
      </c>
      <c r="C133" s="99">
        <f>'B) D RI'!U135</f>
        <v>74720.547735849046</v>
      </c>
      <c r="D133" s="115">
        <f>'E) Fact soc'!G139/C133</f>
        <v>29.52181884503743</v>
      </c>
      <c r="E133" s="142">
        <f>'H) Péréquation directe'!I144/C133</f>
        <v>18.957833467016414</v>
      </c>
      <c r="F133" s="115">
        <f>+'I) Dépenses thématiques'!O133/'K) Plafonnement aide'!C133</f>
        <v>0</v>
      </c>
      <c r="G133" s="142">
        <f t="shared" si="5"/>
        <v>48.479652312053844</v>
      </c>
      <c r="H133" s="115">
        <f t="shared" si="6"/>
        <v>48.479652312053844</v>
      </c>
      <c r="I133" s="142">
        <f t="shared" si="7"/>
        <v>0</v>
      </c>
      <c r="J133" s="58">
        <f t="shared" si="8"/>
        <v>0</v>
      </c>
      <c r="K133" s="37"/>
    </row>
    <row r="134" spans="1:11" x14ac:dyDescent="0.25">
      <c r="A134" s="50">
        <f>'A) Base RI'!A136</f>
        <v>5624</v>
      </c>
      <c r="B134" s="308" t="str">
        <f>'A) Base RI'!B136</f>
        <v>Bussigny</v>
      </c>
      <c r="C134" s="99">
        <f>'B) D RI'!U136</f>
        <v>313352.53032258071</v>
      </c>
      <c r="D134" s="115">
        <f>'E) Fact soc'!G140/C134</f>
        <v>20.003351335477632</v>
      </c>
      <c r="E134" s="142">
        <f>'H) Péréquation directe'!I145/C134</f>
        <v>3.443912386874127</v>
      </c>
      <c r="F134" s="115">
        <f>+'I) Dépenses thématiques'!O134/'K) Plafonnement aide'!C134</f>
        <v>-3.4354719170650982</v>
      </c>
      <c r="G134" s="142">
        <f t="shared" ref="G134:G197" si="9">SUM(D134:F134)</f>
        <v>20.011791805286663</v>
      </c>
      <c r="H134" s="115">
        <f t="shared" ref="H134:H197" si="10">G134-F134</f>
        <v>23.44726372235176</v>
      </c>
      <c r="I134" s="142">
        <f t="shared" ref="I134:I197" si="11">IF(H134&lt;I$4,H134-I$4,0)</f>
        <v>0</v>
      </c>
      <c r="J134" s="58">
        <f t="shared" ref="J134:J197" si="12">-I134*C134</f>
        <v>0</v>
      </c>
      <c r="K134" s="37"/>
    </row>
    <row r="135" spans="1:11" x14ac:dyDescent="0.25">
      <c r="A135" s="50">
        <f>'A) Base RI'!A137</f>
        <v>5625</v>
      </c>
      <c r="B135" s="308" t="str">
        <f>'A) Base RI'!B137</f>
        <v>Bussy-Chardonney</v>
      </c>
      <c r="C135" s="99">
        <f>'B) D RI'!U137</f>
        <v>13647.695555555556</v>
      </c>
      <c r="D135" s="115">
        <f>'E) Fact soc'!G141/C135</f>
        <v>18.743620050160391</v>
      </c>
      <c r="E135" s="142">
        <f>'H) Péréquation directe'!I146/C135</f>
        <v>11.1026485345044</v>
      </c>
      <c r="F135" s="115">
        <f>+'I) Dépenses thématiques'!O135/'K) Plafonnement aide'!C135</f>
        <v>-1.1161464296048025</v>
      </c>
      <c r="G135" s="142">
        <f t="shared" si="9"/>
        <v>28.730122155059988</v>
      </c>
      <c r="H135" s="115">
        <f t="shared" si="10"/>
        <v>29.846268584664791</v>
      </c>
      <c r="I135" s="142">
        <f t="shared" si="11"/>
        <v>0</v>
      </c>
      <c r="J135" s="58">
        <f t="shared" si="12"/>
        <v>0</v>
      </c>
      <c r="K135" s="37"/>
    </row>
    <row r="136" spans="1:11" x14ac:dyDescent="0.25">
      <c r="A136" s="50">
        <f>'A) Base RI'!A138</f>
        <v>5627</v>
      </c>
      <c r="B136" s="308" t="str">
        <f>'A) Base RI'!B138</f>
        <v>Chavannes-près-Renens</v>
      </c>
      <c r="C136" s="99">
        <f>'B) D RI'!U138</f>
        <v>167740.14928270038</v>
      </c>
      <c r="D136" s="115">
        <f>'E) Fact soc'!G142/C136</f>
        <v>24.02973820293839</v>
      </c>
      <c r="E136" s="142">
        <f>'H) Péréquation directe'!I147/C136</f>
        <v>-26.52226469197079</v>
      </c>
      <c r="F136" s="115">
        <f>+'I) Dépenses thématiques'!O136/'K) Plafonnement aide'!C136</f>
        <v>-8.7203129993556985</v>
      </c>
      <c r="G136" s="142">
        <f t="shared" si="9"/>
        <v>-11.212839488388099</v>
      </c>
      <c r="H136" s="115">
        <f t="shared" si="10"/>
        <v>-2.4925264890324001</v>
      </c>
      <c r="I136" s="142">
        <f t="shared" si="11"/>
        <v>0</v>
      </c>
      <c r="J136" s="58">
        <f t="shared" si="12"/>
        <v>0</v>
      </c>
      <c r="K136" s="37"/>
    </row>
    <row r="137" spans="1:11" x14ac:dyDescent="0.25">
      <c r="A137" s="50">
        <f>'A) Base RI'!A139</f>
        <v>5628</v>
      </c>
      <c r="B137" s="308" t="str">
        <f>'A) Base RI'!B139</f>
        <v>Chigny</v>
      </c>
      <c r="C137" s="99">
        <f>'B) D RI'!U139</f>
        <v>19513.351129032257</v>
      </c>
      <c r="D137" s="115">
        <f>'E) Fact soc'!G143/C137</f>
        <v>21.742149760492417</v>
      </c>
      <c r="E137" s="142">
        <f>'H) Péréquation directe'!I148/C137</f>
        <v>17.873213420156222</v>
      </c>
      <c r="F137" s="115">
        <f>+'I) Dépenses thématiques'!O137/'K) Plafonnement aide'!C137</f>
        <v>0</v>
      </c>
      <c r="G137" s="142">
        <f t="shared" si="9"/>
        <v>39.615363180648643</v>
      </c>
      <c r="H137" s="115">
        <f t="shared" si="10"/>
        <v>39.615363180648643</v>
      </c>
      <c r="I137" s="142">
        <f t="shared" si="11"/>
        <v>0</v>
      </c>
      <c r="J137" s="58">
        <f t="shared" si="12"/>
        <v>0</v>
      </c>
      <c r="K137" s="37"/>
    </row>
    <row r="138" spans="1:11" x14ac:dyDescent="0.25">
      <c r="A138" s="50">
        <f>'A) Base RI'!A140</f>
        <v>5629</v>
      </c>
      <c r="B138" s="308" t="str">
        <f>'A) Base RI'!B140</f>
        <v>Clarmont</v>
      </c>
      <c r="C138" s="99">
        <f>'B) D RI'!U140</f>
        <v>7442.8926666666675</v>
      </c>
      <c r="D138" s="115">
        <f>'E) Fact soc'!G144/C138</f>
        <v>17.39748708159782</v>
      </c>
      <c r="E138" s="142">
        <f>'H) Péréquation directe'!I149/C138</f>
        <v>13.555781064679387</v>
      </c>
      <c r="F138" s="115">
        <f>+'I) Dépenses thématiques'!O138/'K) Plafonnement aide'!C138</f>
        <v>-5.5306983243701202</v>
      </c>
      <c r="G138" s="142">
        <f t="shared" si="9"/>
        <v>25.422569821907086</v>
      </c>
      <c r="H138" s="115">
        <f t="shared" si="10"/>
        <v>30.953268146277207</v>
      </c>
      <c r="I138" s="142">
        <f t="shared" si="11"/>
        <v>0</v>
      </c>
      <c r="J138" s="58">
        <f t="shared" si="12"/>
        <v>0</v>
      </c>
      <c r="K138" s="37"/>
    </row>
    <row r="139" spans="1:11" x14ac:dyDescent="0.25">
      <c r="A139" s="50">
        <f>'A) Base RI'!A141</f>
        <v>5631</v>
      </c>
      <c r="B139" s="308" t="str">
        <f>'A) Base RI'!B141</f>
        <v>Denens</v>
      </c>
      <c r="C139" s="99">
        <f>'B) D RI'!U141</f>
        <v>45367.235142857142</v>
      </c>
      <c r="D139" s="115">
        <f>'E) Fact soc'!G145/C139</f>
        <v>21.829271687327701</v>
      </c>
      <c r="E139" s="142">
        <f>'H) Péréquation directe'!I150/C139</f>
        <v>17.905407879705539</v>
      </c>
      <c r="F139" s="115">
        <f>+'I) Dépenses thématiques'!O139/'K) Plafonnement aide'!C139</f>
        <v>-0.82910252353739278</v>
      </c>
      <c r="G139" s="142">
        <f t="shared" si="9"/>
        <v>38.905577043495846</v>
      </c>
      <c r="H139" s="115">
        <f t="shared" si="10"/>
        <v>39.73467956703324</v>
      </c>
      <c r="I139" s="142">
        <f t="shared" si="11"/>
        <v>0</v>
      </c>
      <c r="J139" s="58">
        <f t="shared" si="12"/>
        <v>0</v>
      </c>
      <c r="K139" s="37"/>
    </row>
    <row r="140" spans="1:11" x14ac:dyDescent="0.25">
      <c r="A140" s="50">
        <f>'A) Base RI'!A142</f>
        <v>5632</v>
      </c>
      <c r="B140" s="308" t="str">
        <f>'A) Base RI'!B142</f>
        <v>Denges</v>
      </c>
      <c r="C140" s="99">
        <f>'B) D RI'!U142</f>
        <v>67164.535483870975</v>
      </c>
      <c r="D140" s="115">
        <f>'E) Fact soc'!G146/C140</f>
        <v>17.941022772996625</v>
      </c>
      <c r="E140" s="142">
        <f>'H) Péréquation directe'!I151/C140</f>
        <v>13.68634903784042</v>
      </c>
      <c r="F140" s="115">
        <f>+'I) Dépenses thématiques'!O140/'K) Plafonnement aide'!C140</f>
        <v>-0.34120368631563647</v>
      </c>
      <c r="G140" s="142">
        <f t="shared" si="9"/>
        <v>31.28616812452141</v>
      </c>
      <c r="H140" s="115">
        <f t="shared" si="10"/>
        <v>31.627371810837047</v>
      </c>
      <c r="I140" s="142">
        <f t="shared" si="11"/>
        <v>0</v>
      </c>
      <c r="J140" s="58">
        <f t="shared" si="12"/>
        <v>0</v>
      </c>
      <c r="K140" s="37"/>
    </row>
    <row r="141" spans="1:11" x14ac:dyDescent="0.25">
      <c r="A141" s="50">
        <f>'A) Base RI'!A143</f>
        <v>5633</v>
      </c>
      <c r="B141" s="308" t="str">
        <f>'A) Base RI'!B143</f>
        <v>Echandens</v>
      </c>
      <c r="C141" s="99">
        <f>'B) D RI'!U143</f>
        <v>132114.82112903227</v>
      </c>
      <c r="D141" s="115">
        <f>'E) Fact soc'!G147/C141</f>
        <v>19.130878891577034</v>
      </c>
      <c r="E141" s="142">
        <f>'H) Péréquation directe'!I152/C141</f>
        <v>14.479064095268056</v>
      </c>
      <c r="F141" s="115">
        <f>+'I) Dépenses thématiques'!O141/'K) Plafonnement aide'!C141</f>
        <v>-3.0260066191616302</v>
      </c>
      <c r="G141" s="142">
        <f t="shared" si="9"/>
        <v>30.58393636768346</v>
      </c>
      <c r="H141" s="115">
        <f t="shared" si="10"/>
        <v>33.609942986845091</v>
      </c>
      <c r="I141" s="142">
        <f t="shared" si="11"/>
        <v>0</v>
      </c>
      <c r="J141" s="58">
        <f t="shared" si="12"/>
        <v>0</v>
      </c>
      <c r="K141" s="37"/>
    </row>
    <row r="142" spans="1:11" x14ac:dyDescent="0.25">
      <c r="A142" s="50">
        <f>'A) Base RI'!A144</f>
        <v>5634</v>
      </c>
      <c r="B142" s="308" t="str">
        <f>'A) Base RI'!B144</f>
        <v>Echichens</v>
      </c>
      <c r="C142" s="99">
        <f>'B) D RI'!U144</f>
        <v>126696.63529411763</v>
      </c>
      <c r="D142" s="115">
        <f>'E) Fact soc'!G148/C142</f>
        <v>20.366724292301111</v>
      </c>
      <c r="E142" s="142">
        <f>'H) Péréquation directe'!I153/C142</f>
        <v>14.365248784477863</v>
      </c>
      <c r="F142" s="115">
        <f>+'I) Dépenses thématiques'!O142/'K) Plafonnement aide'!C142</f>
        <v>0</v>
      </c>
      <c r="G142" s="142">
        <f t="shared" si="9"/>
        <v>34.731973076778971</v>
      </c>
      <c r="H142" s="115">
        <f t="shared" si="10"/>
        <v>34.731973076778971</v>
      </c>
      <c r="I142" s="142">
        <f t="shared" si="11"/>
        <v>0</v>
      </c>
      <c r="J142" s="58">
        <f t="shared" si="12"/>
        <v>0</v>
      </c>
      <c r="K142" s="37"/>
    </row>
    <row r="143" spans="1:11" x14ac:dyDescent="0.25">
      <c r="A143" s="50">
        <f>'A) Base RI'!A145</f>
        <v>5635</v>
      </c>
      <c r="B143" s="308" t="str">
        <f>'A) Base RI'!B145</f>
        <v>Ecublens</v>
      </c>
      <c r="C143" s="99">
        <f>'B) D RI'!U145</f>
        <v>448558.27357385395</v>
      </c>
      <c r="D143" s="115">
        <f>'E) Fact soc'!G149/C143</f>
        <v>18.865745679983636</v>
      </c>
      <c r="E143" s="142">
        <f>'H) Péréquation directe'!I154/C143</f>
        <v>-0.21609766542568257</v>
      </c>
      <c r="F143" s="115">
        <f>+'I) Dépenses thématiques'!O143/'K) Plafonnement aide'!C143</f>
        <v>-6.1237475048035499</v>
      </c>
      <c r="G143" s="142">
        <f t="shared" si="9"/>
        <v>12.525900509754404</v>
      </c>
      <c r="H143" s="115">
        <f t="shared" si="10"/>
        <v>18.649648014557954</v>
      </c>
      <c r="I143" s="142">
        <f t="shared" si="11"/>
        <v>0</v>
      </c>
      <c r="J143" s="58">
        <f t="shared" si="12"/>
        <v>0</v>
      </c>
      <c r="K143" s="37"/>
    </row>
    <row r="144" spans="1:11" x14ac:dyDescent="0.25">
      <c r="A144" s="50">
        <f>'A) Base RI'!A146</f>
        <v>5636</v>
      </c>
      <c r="B144" s="308" t="str">
        <f>'A) Base RI'!B146</f>
        <v>Etoy</v>
      </c>
      <c r="C144" s="99">
        <f>'B) D RI'!U146</f>
        <v>151105.62688524593</v>
      </c>
      <c r="D144" s="115">
        <f>'E) Fact soc'!G150/C144</f>
        <v>22.104152385724081</v>
      </c>
      <c r="E144" s="142">
        <f>'H) Péréquation directe'!I155/C144</f>
        <v>14.828937566383379</v>
      </c>
      <c r="F144" s="115">
        <f>+'I) Dépenses thématiques'!O144/'K) Plafonnement aide'!C144</f>
        <v>0</v>
      </c>
      <c r="G144" s="142">
        <f t="shared" si="9"/>
        <v>36.933089952107458</v>
      </c>
      <c r="H144" s="115">
        <f t="shared" si="10"/>
        <v>36.933089952107458</v>
      </c>
      <c r="I144" s="142">
        <f t="shared" si="11"/>
        <v>0</v>
      </c>
      <c r="J144" s="58">
        <f t="shared" si="12"/>
        <v>0</v>
      </c>
      <c r="K144" s="37"/>
    </row>
    <row r="145" spans="1:11" x14ac:dyDescent="0.25">
      <c r="A145" s="50">
        <f>'A) Base RI'!A147</f>
        <v>5637</v>
      </c>
      <c r="B145" s="308" t="str">
        <f>'A) Base RI'!B147</f>
        <v>Lavigny</v>
      </c>
      <c r="C145" s="99">
        <f>'B) D RI'!U147</f>
        <v>36088.085548098432</v>
      </c>
      <c r="D145" s="115">
        <f>'E) Fact soc'!G151/C145</f>
        <v>19.043487175631416</v>
      </c>
      <c r="E145" s="142">
        <f>'H) Péréquation directe'!I156/C145</f>
        <v>10.738594308679581</v>
      </c>
      <c r="F145" s="115">
        <f>+'I) Dépenses thématiques'!O145/'K) Plafonnement aide'!C145</f>
        <v>-2.5464633359098121</v>
      </c>
      <c r="G145" s="142">
        <f t="shared" si="9"/>
        <v>27.235618148401183</v>
      </c>
      <c r="H145" s="115">
        <f t="shared" si="10"/>
        <v>29.782081484310996</v>
      </c>
      <c r="I145" s="142">
        <f t="shared" si="11"/>
        <v>0</v>
      </c>
      <c r="J145" s="58">
        <f t="shared" si="12"/>
        <v>0</v>
      </c>
      <c r="K145" s="37"/>
    </row>
    <row r="146" spans="1:11" x14ac:dyDescent="0.25">
      <c r="A146" s="50">
        <f>'A) Base RI'!A148</f>
        <v>5638</v>
      </c>
      <c r="B146" s="308" t="str">
        <f>'A) Base RI'!B148</f>
        <v>Lonay</v>
      </c>
      <c r="C146" s="99">
        <f>'B) D RI'!U148</f>
        <v>147307.25563636364</v>
      </c>
      <c r="D146" s="115">
        <f>'E) Fact soc'!G152/C146</f>
        <v>39.278831187885388</v>
      </c>
      <c r="E146" s="142">
        <f>'H) Péréquation directe'!I157/C146</f>
        <v>15.671761468059062</v>
      </c>
      <c r="F146" s="115">
        <f>+'I) Dépenses thématiques'!O146/'K) Plafonnement aide'!C146</f>
        <v>-2.1002883723905588</v>
      </c>
      <c r="G146" s="142">
        <f t="shared" si="9"/>
        <v>52.850304283553889</v>
      </c>
      <c r="H146" s="115">
        <f t="shared" si="10"/>
        <v>54.950592655944448</v>
      </c>
      <c r="I146" s="142">
        <f t="shared" si="11"/>
        <v>0</v>
      </c>
      <c r="J146" s="58">
        <f t="shared" si="12"/>
        <v>0</v>
      </c>
      <c r="K146" s="37"/>
    </row>
    <row r="147" spans="1:11" x14ac:dyDescent="0.25">
      <c r="A147" s="50">
        <f>'A) Base RI'!A149</f>
        <v>5639</v>
      </c>
      <c r="B147" s="308" t="str">
        <f>'A) Base RI'!B149</f>
        <v>Lully</v>
      </c>
      <c r="C147" s="99">
        <f>'B) D RI'!U149</f>
        <v>51219.676393442627</v>
      </c>
      <c r="D147" s="115">
        <f>'E) Fact soc'!G153/C147</f>
        <v>22.200789606209963</v>
      </c>
      <c r="E147" s="142">
        <f>'H) Péréquation directe'!I158/C147</f>
        <v>18.095508850260931</v>
      </c>
      <c r="F147" s="115">
        <f>+'I) Dépenses thématiques'!O147/'K) Plafonnement aide'!C147</f>
        <v>0</v>
      </c>
      <c r="G147" s="142">
        <f t="shared" si="9"/>
        <v>40.296298456470893</v>
      </c>
      <c r="H147" s="115">
        <f t="shared" si="10"/>
        <v>40.296298456470893</v>
      </c>
      <c r="I147" s="142">
        <f t="shared" si="11"/>
        <v>0</v>
      </c>
      <c r="J147" s="58">
        <f t="shared" si="12"/>
        <v>0</v>
      </c>
      <c r="K147" s="37"/>
    </row>
    <row r="148" spans="1:11" x14ac:dyDescent="0.25">
      <c r="A148" s="50">
        <f>'A) Base RI'!A150</f>
        <v>5640</v>
      </c>
      <c r="B148" s="308" t="str">
        <f>'A) Base RI'!B150</f>
        <v>Lussy-sur-Morges</v>
      </c>
      <c r="C148" s="99">
        <f>'B) D RI'!U150</f>
        <v>55173.413636363643</v>
      </c>
      <c r="D148" s="115">
        <f>'E) Fact soc'!G154/C148</f>
        <v>38.427899595684735</v>
      </c>
      <c r="E148" s="142">
        <f>'H) Péréquation directe'!I159/C148</f>
        <v>18.51935730132368</v>
      </c>
      <c r="F148" s="115">
        <f>+'I) Dépenses thématiques'!O148/'K) Plafonnement aide'!C148</f>
        <v>0</v>
      </c>
      <c r="G148" s="142">
        <f t="shared" si="9"/>
        <v>56.947256897008415</v>
      </c>
      <c r="H148" s="115">
        <f t="shared" si="10"/>
        <v>56.947256897008415</v>
      </c>
      <c r="I148" s="142">
        <f t="shared" si="11"/>
        <v>0</v>
      </c>
      <c r="J148" s="58">
        <f t="shared" si="12"/>
        <v>0</v>
      </c>
      <c r="K148" s="37"/>
    </row>
    <row r="149" spans="1:11" x14ac:dyDescent="0.25">
      <c r="A149" s="50">
        <f>'A) Base RI'!A151</f>
        <v>5642</v>
      </c>
      <c r="B149" s="308" t="str">
        <f>'A) Base RI'!B151</f>
        <v>Morges</v>
      </c>
      <c r="C149" s="99">
        <f>'B) D RI'!U151</f>
        <v>737766.82978102157</v>
      </c>
      <c r="D149" s="115">
        <f>'E) Fact soc'!G155/C149</f>
        <v>20.672992023000514</v>
      </c>
      <c r="E149" s="142">
        <f>'H) Péréquation directe'!I160/C149</f>
        <v>5.7431069969405035</v>
      </c>
      <c r="F149" s="115">
        <f>+'I) Dépenses thématiques'!O149/'K) Plafonnement aide'!C149</f>
        <v>-1.12681979963862</v>
      </c>
      <c r="G149" s="142">
        <f t="shared" si="9"/>
        <v>25.289279220302397</v>
      </c>
      <c r="H149" s="115">
        <f t="shared" si="10"/>
        <v>26.416099019941019</v>
      </c>
      <c r="I149" s="142">
        <f t="shared" si="11"/>
        <v>0</v>
      </c>
      <c r="J149" s="58">
        <f t="shared" si="12"/>
        <v>0</v>
      </c>
      <c r="K149" s="37"/>
    </row>
    <row r="150" spans="1:11" x14ac:dyDescent="0.25">
      <c r="A150" s="50">
        <f>'A) Base RI'!A152</f>
        <v>5643</v>
      </c>
      <c r="B150" s="308" t="str">
        <f>'A) Base RI'!B152</f>
        <v>Préverenges</v>
      </c>
      <c r="C150" s="99">
        <f>'B) D RI'!U152</f>
        <v>261619.24140624996</v>
      </c>
      <c r="D150" s="115">
        <f>'E) Fact soc'!G156/C150</f>
        <v>18.206796763725702</v>
      </c>
      <c r="E150" s="142">
        <f>'H) Péréquation directe'!I161/C150</f>
        <v>12.461361541967976</v>
      </c>
      <c r="F150" s="115">
        <f>+'I) Dépenses thématiques'!O150/'K) Plafonnement aide'!C150</f>
        <v>0</v>
      </c>
      <c r="G150" s="142">
        <f t="shared" si="9"/>
        <v>30.66815830569368</v>
      </c>
      <c r="H150" s="115">
        <f t="shared" si="10"/>
        <v>30.66815830569368</v>
      </c>
      <c r="I150" s="142">
        <f t="shared" si="11"/>
        <v>0</v>
      </c>
      <c r="J150" s="58">
        <f t="shared" si="12"/>
        <v>0</v>
      </c>
      <c r="K150" s="37"/>
    </row>
    <row r="151" spans="1:11" x14ac:dyDescent="0.25">
      <c r="A151" s="50">
        <f>'A) Base RI'!A153</f>
        <v>5644</v>
      </c>
      <c r="B151" s="308" t="str">
        <f>'A) Base RI'!B153</f>
        <v>Reverolle</v>
      </c>
      <c r="C151" s="99">
        <f>'B) D RI'!U153</f>
        <v>14956.659078947367</v>
      </c>
      <c r="D151" s="115">
        <f>'E) Fact soc'!G157/C151</f>
        <v>17.485918333124886</v>
      </c>
      <c r="E151" s="142">
        <f>'H) Péréquation directe'!I162/C151</f>
        <v>13.295528301961452</v>
      </c>
      <c r="F151" s="115">
        <f>+'I) Dépenses thématiques'!O151/'K) Plafonnement aide'!C151</f>
        <v>-2.4594928140131644</v>
      </c>
      <c r="G151" s="142">
        <f t="shared" si="9"/>
        <v>28.321953821073176</v>
      </c>
      <c r="H151" s="115">
        <f t="shared" si="10"/>
        <v>30.78144663508634</v>
      </c>
      <c r="I151" s="142">
        <f t="shared" si="11"/>
        <v>0</v>
      </c>
      <c r="J151" s="58">
        <f t="shared" si="12"/>
        <v>0</v>
      </c>
      <c r="K151" s="37"/>
    </row>
    <row r="152" spans="1:11" x14ac:dyDescent="0.25">
      <c r="A152" s="50">
        <f>'A) Base RI'!A154</f>
        <v>5645</v>
      </c>
      <c r="B152" s="308" t="str">
        <f>'A) Base RI'!B154</f>
        <v>Romanel-sur-Morges</v>
      </c>
      <c r="C152" s="99">
        <f>'B) D RI'!U154</f>
        <v>26019.982455357142</v>
      </c>
      <c r="D152" s="115">
        <f>'E) Fact soc'!G158/C152</f>
        <v>19.140136472047462</v>
      </c>
      <c r="E152" s="142">
        <f>'H) Péréquation directe'!I163/C152</f>
        <v>17.781636630282772</v>
      </c>
      <c r="F152" s="115">
        <f>+'I) Dépenses thématiques'!O152/'K) Plafonnement aide'!C152</f>
        <v>0</v>
      </c>
      <c r="G152" s="142">
        <f t="shared" si="9"/>
        <v>36.921773102330235</v>
      </c>
      <c r="H152" s="115">
        <f t="shared" si="10"/>
        <v>36.921773102330235</v>
      </c>
      <c r="I152" s="142">
        <f t="shared" si="11"/>
        <v>0</v>
      </c>
      <c r="J152" s="58">
        <f t="shared" si="12"/>
        <v>0</v>
      </c>
      <c r="K152" s="37"/>
    </row>
    <row r="153" spans="1:11" x14ac:dyDescent="0.25">
      <c r="A153" s="50">
        <f>'A) Base RI'!A155</f>
        <v>5646</v>
      </c>
      <c r="B153" s="308" t="str">
        <f>'A) Base RI'!B155</f>
        <v>Saint-Prex</v>
      </c>
      <c r="C153" s="99">
        <f>'B) D RI'!U155</f>
        <v>564783.52799999982</v>
      </c>
      <c r="D153" s="115">
        <f>'E) Fact soc'!G159/C153</f>
        <v>28.37359613873544</v>
      </c>
      <c r="E153" s="142">
        <f>'H) Péréquation directe'!I164/C153</f>
        <v>16.090519574547976</v>
      </c>
      <c r="F153" s="115">
        <f>+'I) Dépenses thématiques'!O153/'K) Plafonnement aide'!C153</f>
        <v>0</v>
      </c>
      <c r="G153" s="142">
        <f t="shared" si="9"/>
        <v>44.464115713283419</v>
      </c>
      <c r="H153" s="115">
        <f t="shared" si="10"/>
        <v>44.464115713283419</v>
      </c>
      <c r="I153" s="142">
        <f t="shared" si="11"/>
        <v>0</v>
      </c>
      <c r="J153" s="58">
        <f t="shared" si="12"/>
        <v>0</v>
      </c>
      <c r="K153" s="37"/>
    </row>
    <row r="154" spans="1:11" x14ac:dyDescent="0.25">
      <c r="A154" s="50">
        <f>'A) Base RI'!A156</f>
        <v>5648</v>
      </c>
      <c r="B154" s="308" t="str">
        <f>'A) Base RI'!B156</f>
        <v>Saint-Sulpice</v>
      </c>
      <c r="C154" s="99">
        <f>'B) D RI'!U156</f>
        <v>360934.92836363643</v>
      </c>
      <c r="D154" s="115">
        <f>'E) Fact soc'!G160/C154</f>
        <v>26.484881785170892</v>
      </c>
      <c r="E154" s="142">
        <f>'H) Péréquation directe'!I165/C154</f>
        <v>15.66842561582134</v>
      </c>
      <c r="F154" s="115">
        <f>+'I) Dépenses thématiques'!O154/'K) Plafonnement aide'!C154</f>
        <v>0</v>
      </c>
      <c r="G154" s="142">
        <f t="shared" si="9"/>
        <v>42.153307400992233</v>
      </c>
      <c r="H154" s="115">
        <f t="shared" si="10"/>
        <v>42.153307400992233</v>
      </c>
      <c r="I154" s="142">
        <f t="shared" si="11"/>
        <v>0</v>
      </c>
      <c r="J154" s="58">
        <f t="shared" si="12"/>
        <v>0</v>
      </c>
      <c r="K154" s="37"/>
    </row>
    <row r="155" spans="1:11" x14ac:dyDescent="0.25">
      <c r="A155" s="50">
        <f>'A) Base RI'!A157</f>
        <v>5649</v>
      </c>
      <c r="B155" s="308" t="str">
        <f>'A) Base RI'!B157</f>
        <v>Tolochenaz</v>
      </c>
      <c r="C155" s="99">
        <f>'B) D RI'!U157</f>
        <v>176105.76399999997</v>
      </c>
      <c r="D155" s="115">
        <f>'E) Fact soc'!G161/C155</f>
        <v>29.367905064457659</v>
      </c>
      <c r="E155" s="142">
        <f>'H) Péréquation directe'!I166/C155</f>
        <v>17.577301615313015</v>
      </c>
      <c r="F155" s="115">
        <f>+'I) Dépenses thématiques'!O155/'K) Plafonnement aide'!C155</f>
        <v>0</v>
      </c>
      <c r="G155" s="142">
        <f t="shared" si="9"/>
        <v>46.945206679770678</v>
      </c>
      <c r="H155" s="115">
        <f t="shared" si="10"/>
        <v>46.945206679770678</v>
      </c>
      <c r="I155" s="142">
        <f t="shared" si="11"/>
        <v>0</v>
      </c>
      <c r="J155" s="58">
        <f t="shared" si="12"/>
        <v>0</v>
      </c>
      <c r="K155" s="37"/>
    </row>
    <row r="156" spans="1:11" x14ac:dyDescent="0.25">
      <c r="A156" s="50">
        <f>'A) Base RI'!A158</f>
        <v>5650</v>
      </c>
      <c r="B156" s="308" t="str">
        <f>'A) Base RI'!B158</f>
        <v>Vaux-sur-Morges</v>
      </c>
      <c r="C156" s="99">
        <f>'B) D RI'!U158</f>
        <v>169595.47750000004</v>
      </c>
      <c r="D156" s="115">
        <f>'E) Fact soc'!G162/C156</f>
        <v>46.559201564810472</v>
      </c>
      <c r="E156" s="142">
        <f>'H) Péréquation directe'!I167/C156</f>
        <v>19.867356749574377</v>
      </c>
      <c r="F156" s="115">
        <f>+'I) Dépenses thématiques'!O156/'K) Plafonnement aide'!C156</f>
        <v>0</v>
      </c>
      <c r="G156" s="142">
        <f t="shared" si="9"/>
        <v>66.426558314384849</v>
      </c>
      <c r="H156" s="115">
        <f t="shared" si="10"/>
        <v>66.426558314384849</v>
      </c>
      <c r="I156" s="142">
        <f t="shared" si="11"/>
        <v>0</v>
      </c>
      <c r="J156" s="58">
        <f t="shared" si="12"/>
        <v>0</v>
      </c>
      <c r="K156" s="37"/>
    </row>
    <row r="157" spans="1:11" x14ac:dyDescent="0.25">
      <c r="A157" s="50">
        <f>'A) Base RI'!A159</f>
        <v>5651</v>
      </c>
      <c r="B157" s="308" t="str">
        <f>'A) Base RI'!B159</f>
        <v>Villars-Sainte-Croix</v>
      </c>
      <c r="C157" s="99">
        <f>'B) D RI'!U159</f>
        <v>47710.277796610164</v>
      </c>
      <c r="D157" s="115">
        <f>'E) Fact soc'!G163/C157</f>
        <v>21.045003564918385</v>
      </c>
      <c r="E157" s="142">
        <f>'H) Péréquation directe'!I168/C157</f>
        <v>17.592150404681469</v>
      </c>
      <c r="F157" s="115">
        <f>+'I) Dépenses thématiques'!O157/'K) Plafonnement aide'!C157</f>
        <v>0</v>
      </c>
      <c r="G157" s="142">
        <f t="shared" si="9"/>
        <v>38.637153969599851</v>
      </c>
      <c r="H157" s="115">
        <f t="shared" si="10"/>
        <v>38.637153969599851</v>
      </c>
      <c r="I157" s="142">
        <f t="shared" si="11"/>
        <v>0</v>
      </c>
      <c r="J157" s="58">
        <f t="shared" si="12"/>
        <v>0</v>
      </c>
      <c r="K157" s="37"/>
    </row>
    <row r="158" spans="1:11" x14ac:dyDescent="0.25">
      <c r="A158" s="50">
        <f>'A) Base RI'!A160</f>
        <v>5652</v>
      </c>
      <c r="B158" s="308" t="str">
        <f>'A) Base RI'!B160</f>
        <v>Villars-sous-Yens</v>
      </c>
      <c r="C158" s="99">
        <f>'B) D RI'!U160</f>
        <v>25794.085109649121</v>
      </c>
      <c r="D158" s="115">
        <f>'E) Fact soc'!G164/C158</f>
        <v>16.895132615441057</v>
      </c>
      <c r="E158" s="142">
        <f>'H) Péréquation directe'!I169/C158</f>
        <v>15.315416035331282</v>
      </c>
      <c r="F158" s="115">
        <f>+'I) Dépenses thématiques'!O158/'K) Plafonnement aide'!C158</f>
        <v>-0.12096724225113334</v>
      </c>
      <c r="G158" s="142">
        <f t="shared" si="9"/>
        <v>32.089581408521205</v>
      </c>
      <c r="H158" s="115">
        <f t="shared" si="10"/>
        <v>32.210548650772338</v>
      </c>
      <c r="I158" s="142">
        <f t="shared" si="11"/>
        <v>0</v>
      </c>
      <c r="J158" s="58">
        <f t="shared" si="12"/>
        <v>0</v>
      </c>
      <c r="K158" s="37"/>
    </row>
    <row r="159" spans="1:11" x14ac:dyDescent="0.25">
      <c r="A159" s="50">
        <f>'A) Base RI'!A161</f>
        <v>5653</v>
      </c>
      <c r="B159" s="308" t="str">
        <f>'A) Base RI'!B161</f>
        <v>Vufflens-le-Château</v>
      </c>
      <c r="C159" s="99">
        <f>'B) D RI'!U161</f>
        <v>58104.710727272715</v>
      </c>
      <c r="D159" s="115">
        <f>'E) Fact soc'!G165/C159</f>
        <v>20.824571273606146</v>
      </c>
      <c r="E159" s="142">
        <f>'H) Péréquation directe'!I170/C159</f>
        <v>18.133478123845446</v>
      </c>
      <c r="F159" s="115">
        <f>+'I) Dépenses thématiques'!O159/'K) Plafonnement aide'!C159</f>
        <v>0</v>
      </c>
      <c r="G159" s="142">
        <f t="shared" si="9"/>
        <v>38.958049397451589</v>
      </c>
      <c r="H159" s="115">
        <f t="shared" si="10"/>
        <v>38.958049397451589</v>
      </c>
      <c r="I159" s="142">
        <f t="shared" si="11"/>
        <v>0</v>
      </c>
      <c r="J159" s="58">
        <f t="shared" si="12"/>
        <v>0</v>
      </c>
      <c r="K159" s="37"/>
    </row>
    <row r="160" spans="1:11" x14ac:dyDescent="0.25">
      <c r="A160" s="50">
        <f>'A) Base RI'!A162</f>
        <v>5654</v>
      </c>
      <c r="B160" s="308" t="str">
        <f>'A) Base RI'!B162</f>
        <v>Vullierens</v>
      </c>
      <c r="C160" s="99">
        <f>'B) D RI'!U162</f>
        <v>18548.379210526316</v>
      </c>
      <c r="D160" s="115">
        <f>'E) Fact soc'!G166/C160</f>
        <v>16.778473350511028</v>
      </c>
      <c r="E160" s="142">
        <f>'H) Péréquation directe'!I171/C160</f>
        <v>11.71112574463252</v>
      </c>
      <c r="F160" s="115">
        <f>+'I) Dépenses thématiques'!O160/'K) Plafonnement aide'!C160</f>
        <v>-0.32299181879148703</v>
      </c>
      <c r="G160" s="142">
        <f t="shared" si="9"/>
        <v>28.16660727635206</v>
      </c>
      <c r="H160" s="115">
        <f t="shared" si="10"/>
        <v>28.489599095143546</v>
      </c>
      <c r="I160" s="142">
        <f t="shared" si="11"/>
        <v>0</v>
      </c>
      <c r="J160" s="58">
        <f t="shared" si="12"/>
        <v>0</v>
      </c>
      <c r="K160" s="37"/>
    </row>
    <row r="161" spans="1:11" x14ac:dyDescent="0.25">
      <c r="A161" s="50">
        <f>'A) Base RI'!A163</f>
        <v>5655</v>
      </c>
      <c r="B161" s="308" t="str">
        <f>'A) Base RI'!B163</f>
        <v>Yens</v>
      </c>
      <c r="C161" s="99">
        <f>'B) D RI'!U163</f>
        <v>71567.801506849311</v>
      </c>
      <c r="D161" s="115">
        <f>'E) Fact soc'!G167/C161</f>
        <v>23.188607842432123</v>
      </c>
      <c r="E161" s="142">
        <f>'H) Péréquation directe'!I172/C161</f>
        <v>16.378334876612254</v>
      </c>
      <c r="F161" s="115">
        <f>+'I) Dépenses thématiques'!O161/'K) Plafonnement aide'!C161</f>
        <v>-3.8570990037187981E-2</v>
      </c>
      <c r="G161" s="142">
        <f t="shared" si="9"/>
        <v>39.528371729007191</v>
      </c>
      <c r="H161" s="115">
        <f t="shared" si="10"/>
        <v>39.566942719044377</v>
      </c>
      <c r="I161" s="142">
        <f t="shared" si="11"/>
        <v>0</v>
      </c>
      <c r="J161" s="58">
        <f t="shared" si="12"/>
        <v>0</v>
      </c>
      <c r="K161" s="37"/>
    </row>
    <row r="162" spans="1:11" x14ac:dyDescent="0.25">
      <c r="A162" s="50">
        <f>'A) Base RI'!A164</f>
        <v>5661</v>
      </c>
      <c r="B162" s="308" t="str">
        <f>'A) Base RI'!B164</f>
        <v>Boulens</v>
      </c>
      <c r="C162" s="99">
        <f>'B) D RI'!U164</f>
        <v>9056.8577215189871</v>
      </c>
      <c r="D162" s="115">
        <f>'E) Fact soc'!G168/C162</f>
        <v>17.088630347819169</v>
      </c>
      <c r="E162" s="142">
        <f>'H) Péréquation directe'!I173/C162</f>
        <v>-7.0475331046427376</v>
      </c>
      <c r="F162" s="115">
        <f>+'I) Dépenses thématiques'!O162/'K) Plafonnement aide'!C162</f>
        <v>-1.8076751575727441</v>
      </c>
      <c r="G162" s="142">
        <f t="shared" si="9"/>
        <v>8.2334220856036868</v>
      </c>
      <c r="H162" s="115">
        <f t="shared" si="10"/>
        <v>10.041097243176431</v>
      </c>
      <c r="I162" s="142">
        <f t="shared" si="11"/>
        <v>0</v>
      </c>
      <c r="J162" s="58">
        <f t="shared" si="12"/>
        <v>0</v>
      </c>
      <c r="K162" s="37"/>
    </row>
    <row r="163" spans="1:11" x14ac:dyDescent="0.25">
      <c r="A163" s="50">
        <f>'A) Base RI'!A165</f>
        <v>5663</v>
      </c>
      <c r="B163" s="308" t="str">
        <f>'A) Base RI'!B165</f>
        <v>Bussy-sur-Moudon</v>
      </c>
      <c r="C163" s="99">
        <f>'B) D RI'!U165</f>
        <v>5655.1166249999997</v>
      </c>
      <c r="D163" s="115">
        <f>'E) Fact soc'!G169/C163</f>
        <v>18.295426913659252</v>
      </c>
      <c r="E163" s="142">
        <f>'H) Péréquation directe'!I174/C163</f>
        <v>-1.6517468338892145</v>
      </c>
      <c r="F163" s="115">
        <f>+'I) Dépenses thématiques'!O163/'K) Plafonnement aide'!C163</f>
        <v>-12.792169919439994</v>
      </c>
      <c r="G163" s="142">
        <f t="shared" si="9"/>
        <v>3.8515101603300455</v>
      </c>
      <c r="H163" s="115">
        <f t="shared" si="10"/>
        <v>16.643680079770039</v>
      </c>
      <c r="I163" s="142">
        <f t="shared" si="11"/>
        <v>0</v>
      </c>
      <c r="J163" s="58">
        <f t="shared" si="12"/>
        <v>0</v>
      </c>
      <c r="K163" s="37"/>
    </row>
    <row r="164" spans="1:11" x14ac:dyDescent="0.25">
      <c r="A164" s="50">
        <f>'A) Base RI'!A166</f>
        <v>5665</v>
      </c>
      <c r="B164" s="308" t="str">
        <f>'A) Base RI'!B166</f>
        <v>Chavannes-sur-Moudon</v>
      </c>
      <c r="C164" s="99">
        <f>'B) D RI'!U166</f>
        <v>5028.5345205479452</v>
      </c>
      <c r="D164" s="115">
        <f>'E) Fact soc'!G170/C164</f>
        <v>16.083549331567593</v>
      </c>
      <c r="E164" s="142">
        <f>'H) Péréquation directe'!I175/C164</f>
        <v>-6.1445358483926436</v>
      </c>
      <c r="F164" s="115">
        <f>+'I) Dépenses thématiques'!O164/'K) Plafonnement aide'!C164</f>
        <v>-1.1030634977341092</v>
      </c>
      <c r="G164" s="142">
        <f t="shared" si="9"/>
        <v>8.8359499854408412</v>
      </c>
      <c r="H164" s="115">
        <f t="shared" si="10"/>
        <v>9.9390134831749499</v>
      </c>
      <c r="I164" s="142">
        <f t="shared" si="11"/>
        <v>0</v>
      </c>
      <c r="J164" s="58">
        <f t="shared" si="12"/>
        <v>0</v>
      </c>
      <c r="K164" s="37"/>
    </row>
    <row r="165" spans="1:11" x14ac:dyDescent="0.25">
      <c r="A165" s="50">
        <f>'A) Base RI'!A167</f>
        <v>5669</v>
      </c>
      <c r="B165" s="308" t="str">
        <f>'A) Base RI'!B167</f>
        <v>Curtilles</v>
      </c>
      <c r="C165" s="99">
        <f>'B) D RI'!U167</f>
        <v>9029.3026666666665</v>
      </c>
      <c r="D165" s="115">
        <f>'E) Fact soc'!G171/C165</f>
        <v>19.4127837993375</v>
      </c>
      <c r="E165" s="142">
        <f>'H) Péréquation directe'!I176/C165</f>
        <v>2.3944462612057591</v>
      </c>
      <c r="F165" s="115">
        <f>+'I) Dépenses thématiques'!O165/'K) Plafonnement aide'!C165</f>
        <v>-0.74869391907267269</v>
      </c>
      <c r="G165" s="142">
        <f t="shared" si="9"/>
        <v>21.058536141470587</v>
      </c>
      <c r="H165" s="115">
        <f t="shared" si="10"/>
        <v>21.807230060543258</v>
      </c>
      <c r="I165" s="142">
        <f t="shared" si="11"/>
        <v>0</v>
      </c>
      <c r="J165" s="58">
        <f t="shared" si="12"/>
        <v>0</v>
      </c>
      <c r="K165" s="37"/>
    </row>
    <row r="166" spans="1:11" x14ac:dyDescent="0.25">
      <c r="A166" s="50">
        <f>'A) Base RI'!A168</f>
        <v>5671</v>
      </c>
      <c r="B166" s="308" t="str">
        <f>'A) Base RI'!B168</f>
        <v>Dompierre</v>
      </c>
      <c r="C166" s="99">
        <f>'B) D RI'!U168</f>
        <v>6333.6785</v>
      </c>
      <c r="D166" s="115">
        <f>'E) Fact soc'!G172/C166</f>
        <v>15.780510392990774</v>
      </c>
      <c r="E166" s="142">
        <f>'H) Péréquation directe'!I177/C166</f>
        <v>-6.6705220432444809</v>
      </c>
      <c r="F166" s="115">
        <f>+'I) Dépenses thématiques'!O166/'K) Plafonnement aide'!C166</f>
        <v>-9.3264396235142026</v>
      </c>
      <c r="G166" s="142">
        <f t="shared" si="9"/>
        <v>-0.21645127376791073</v>
      </c>
      <c r="H166" s="115">
        <f t="shared" si="10"/>
        <v>9.1099883497462919</v>
      </c>
      <c r="I166" s="142">
        <f t="shared" si="11"/>
        <v>0</v>
      </c>
      <c r="J166" s="58">
        <f t="shared" si="12"/>
        <v>0</v>
      </c>
      <c r="K166" s="37"/>
    </row>
    <row r="167" spans="1:11" x14ac:dyDescent="0.25">
      <c r="A167" s="50">
        <f>'A) Base RI'!A169</f>
        <v>5673</v>
      </c>
      <c r="B167" s="308" t="str">
        <f>'A) Base RI'!B169</f>
        <v>Hermenches</v>
      </c>
      <c r="C167" s="99">
        <f>'B) D RI'!U169</f>
        <v>8912.655777777778</v>
      </c>
      <c r="D167" s="115">
        <f>'E) Fact soc'!G173/C167</f>
        <v>16.376011616396049</v>
      </c>
      <c r="E167" s="142">
        <f>'H) Péréquation directe'!I178/C167</f>
        <v>-5.9040216462173554</v>
      </c>
      <c r="F167" s="115">
        <f>+'I) Dépenses thématiques'!O167/'K) Plafonnement aide'!C167</f>
        <v>-6.2587487827234733</v>
      </c>
      <c r="G167" s="142">
        <f t="shared" si="9"/>
        <v>4.2132411874552202</v>
      </c>
      <c r="H167" s="115">
        <f t="shared" si="10"/>
        <v>10.471989970178694</v>
      </c>
      <c r="I167" s="142">
        <f t="shared" si="11"/>
        <v>0</v>
      </c>
      <c r="J167" s="58">
        <f t="shared" si="12"/>
        <v>0</v>
      </c>
      <c r="K167" s="37"/>
    </row>
    <row r="168" spans="1:11" x14ac:dyDescent="0.25">
      <c r="A168" s="50">
        <f>'A) Base RI'!A170</f>
        <v>5674</v>
      </c>
      <c r="B168" s="308" t="str">
        <f>'A) Base RI'!B170</f>
        <v>Lovatens</v>
      </c>
      <c r="C168" s="99">
        <f>'B) D RI'!U170</f>
        <v>3614.9058666666665</v>
      </c>
      <c r="D168" s="115">
        <f>'E) Fact soc'!G174/C168</f>
        <v>16.465778459430517</v>
      </c>
      <c r="E168" s="142">
        <f>'H) Péréquation directe'!I179/C168</f>
        <v>-1.9069306408485245</v>
      </c>
      <c r="F168" s="115">
        <f>+'I) Dépenses thématiques'!O168/'K) Plafonnement aide'!C168</f>
        <v>-4.9239359077455367</v>
      </c>
      <c r="G168" s="142">
        <f t="shared" si="9"/>
        <v>9.634911910836454</v>
      </c>
      <c r="H168" s="115">
        <f t="shared" si="10"/>
        <v>14.558847818581992</v>
      </c>
      <c r="I168" s="142">
        <f t="shared" si="11"/>
        <v>0</v>
      </c>
      <c r="J168" s="58">
        <f t="shared" si="12"/>
        <v>0</v>
      </c>
      <c r="K168" s="37"/>
    </row>
    <row r="169" spans="1:11" x14ac:dyDescent="0.25">
      <c r="A169" s="50">
        <f>'A) Base RI'!A171</f>
        <v>5675</v>
      </c>
      <c r="B169" s="308" t="str">
        <f>'A) Base RI'!B171</f>
        <v>Lucens</v>
      </c>
      <c r="C169" s="99">
        <f>'B) D RI'!U171</f>
        <v>84285.039641873256</v>
      </c>
      <c r="D169" s="115">
        <f>'E) Fact soc'!G175/C169</f>
        <v>19.605007205235797</v>
      </c>
      <c r="E169" s="142">
        <f>'H) Péréquation directe'!I180/C169</f>
        <v>-17.770766869498157</v>
      </c>
      <c r="F169" s="115">
        <f>+'I) Dépenses thématiques'!O169/'K) Plafonnement aide'!C169</f>
        <v>-5.4970136351289396</v>
      </c>
      <c r="G169" s="142">
        <f t="shared" si="9"/>
        <v>-3.6627732993912998</v>
      </c>
      <c r="H169" s="115">
        <f t="shared" si="10"/>
        <v>1.8342403357376398</v>
      </c>
      <c r="I169" s="142">
        <f t="shared" si="11"/>
        <v>0</v>
      </c>
      <c r="J169" s="58">
        <f t="shared" si="12"/>
        <v>0</v>
      </c>
      <c r="K169" s="37"/>
    </row>
    <row r="170" spans="1:11" x14ac:dyDescent="0.25">
      <c r="A170" s="50">
        <f>'A) Base RI'!A172</f>
        <v>5678</v>
      </c>
      <c r="B170" s="308" t="str">
        <f>'A) Base RI'!B172</f>
        <v>Moudon</v>
      </c>
      <c r="C170" s="99">
        <f>'B) D RI'!U172</f>
        <v>115802.40466666668</v>
      </c>
      <c r="D170" s="115">
        <f>'E) Fact soc'!G176/C170</f>
        <v>21.916952664783206</v>
      </c>
      <c r="E170" s="142">
        <f>'H) Péréquation directe'!I181/C170</f>
        <v>-33.309784468800935</v>
      </c>
      <c r="F170" s="115">
        <f>+'I) Dépenses thématiques'!O170/'K) Plafonnement aide'!C170</f>
        <v>-10.608551454835359</v>
      </c>
      <c r="G170" s="142">
        <f t="shared" si="9"/>
        <v>-22.001383258853089</v>
      </c>
      <c r="H170" s="115">
        <f t="shared" si="10"/>
        <v>-11.39283180401773</v>
      </c>
      <c r="I170" s="142">
        <f t="shared" si="11"/>
        <v>-3.3928318040177299</v>
      </c>
      <c r="J170" s="58">
        <f t="shared" si="12"/>
        <v>392898.08153479791</v>
      </c>
      <c r="K170" s="37"/>
    </row>
    <row r="171" spans="1:11" x14ac:dyDescent="0.25">
      <c r="A171" s="50">
        <f>'A) Base RI'!A173</f>
        <v>5680</v>
      </c>
      <c r="B171" s="308" t="str">
        <f>'A) Base RI'!B173</f>
        <v>Ogens</v>
      </c>
      <c r="C171" s="99">
        <f>'B) D RI'!U173</f>
        <v>7404.4946581196582</v>
      </c>
      <c r="D171" s="115">
        <f>'E) Fact soc'!G177/C171</f>
        <v>18.212239564024525</v>
      </c>
      <c r="E171" s="142">
        <f>'H) Péréquation directe'!I182/C171</f>
        <v>-5.8018024796407941</v>
      </c>
      <c r="F171" s="115">
        <f>+'I) Dépenses thématiques'!O171/'K) Plafonnement aide'!C171</f>
        <v>-2.3363054275044015</v>
      </c>
      <c r="G171" s="142">
        <f t="shared" si="9"/>
        <v>10.074131656879329</v>
      </c>
      <c r="H171" s="115">
        <f t="shared" si="10"/>
        <v>12.41043708438373</v>
      </c>
      <c r="I171" s="142">
        <f t="shared" si="11"/>
        <v>0</v>
      </c>
      <c r="J171" s="58">
        <f t="shared" si="12"/>
        <v>0</v>
      </c>
      <c r="K171" s="37"/>
    </row>
    <row r="172" spans="1:11" x14ac:dyDescent="0.25">
      <c r="A172" s="50">
        <f>'A) Base RI'!A174</f>
        <v>5683</v>
      </c>
      <c r="B172" s="308" t="str">
        <f>'A) Base RI'!B174</f>
        <v>Prévonloup</v>
      </c>
      <c r="C172" s="99">
        <f>'B) D RI'!U174</f>
        <v>3876.1695945945944</v>
      </c>
      <c r="D172" s="115">
        <f>'E) Fact soc'!G178/C172</f>
        <v>18.988876249368698</v>
      </c>
      <c r="E172" s="142">
        <f>'H) Péréquation directe'!I183/C172</f>
        <v>-3.9746883363204226</v>
      </c>
      <c r="F172" s="115">
        <f>+'I) Dépenses thématiques'!O172/'K) Plafonnement aide'!C172</f>
        <v>-25.884053827868176</v>
      </c>
      <c r="G172" s="142">
        <f t="shared" si="9"/>
        <v>-10.869865914819901</v>
      </c>
      <c r="H172" s="115">
        <f t="shared" si="10"/>
        <v>15.014187913048275</v>
      </c>
      <c r="I172" s="142">
        <f t="shared" si="11"/>
        <v>0</v>
      </c>
      <c r="J172" s="58">
        <f t="shared" si="12"/>
        <v>0</v>
      </c>
      <c r="K172" s="37"/>
    </row>
    <row r="173" spans="1:11" x14ac:dyDescent="0.25">
      <c r="A173" s="50">
        <f>'A) Base RI'!A175</f>
        <v>5684</v>
      </c>
      <c r="B173" s="308" t="str">
        <f>'A) Base RI'!B175</f>
        <v>Rossenges</v>
      </c>
      <c r="C173" s="99">
        <f>'B) D RI'!U175</f>
        <v>2934.7781666666665</v>
      </c>
      <c r="D173" s="115">
        <f>'E) Fact soc'!G179/C173</f>
        <v>16.127251025463817</v>
      </c>
      <c r="E173" s="142">
        <f>'H) Péréquation directe'!I184/C173</f>
        <v>17.361315618535944</v>
      </c>
      <c r="F173" s="115">
        <f>+'I) Dépenses thématiques'!O173/'K) Plafonnement aide'!C173</f>
        <v>0</v>
      </c>
      <c r="G173" s="142">
        <f t="shared" si="9"/>
        <v>33.488566643999761</v>
      </c>
      <c r="H173" s="115">
        <f t="shared" si="10"/>
        <v>33.488566643999761</v>
      </c>
      <c r="I173" s="142">
        <f t="shared" si="11"/>
        <v>0</v>
      </c>
      <c r="J173" s="58">
        <f t="shared" si="12"/>
        <v>0</v>
      </c>
      <c r="K173" s="37"/>
    </row>
    <row r="174" spans="1:11" x14ac:dyDescent="0.25">
      <c r="A174" s="50">
        <f>'A) Base RI'!A176</f>
        <v>5688</v>
      </c>
      <c r="B174" s="308" t="str">
        <f>'A) Base RI'!B176</f>
        <v>Syens</v>
      </c>
      <c r="C174" s="99">
        <f>'B) D RI'!U176</f>
        <v>6079.6888888888907</v>
      </c>
      <c r="D174" s="115">
        <f>'E) Fact soc'!G180/C174</f>
        <v>18.316002433989333</v>
      </c>
      <c r="E174" s="142">
        <f>'H) Péréquation directe'!I185/C174</f>
        <v>14.333248535648606</v>
      </c>
      <c r="F174" s="115">
        <f>+'I) Dépenses thématiques'!O174/'K) Plafonnement aide'!C174</f>
        <v>-2.9048553288545436</v>
      </c>
      <c r="G174" s="142">
        <f t="shared" si="9"/>
        <v>29.744395640783395</v>
      </c>
      <c r="H174" s="115">
        <f t="shared" si="10"/>
        <v>32.64925096963794</v>
      </c>
      <c r="I174" s="142">
        <f t="shared" si="11"/>
        <v>0</v>
      </c>
      <c r="J174" s="58">
        <f t="shared" si="12"/>
        <v>0</v>
      </c>
      <c r="K174" s="37"/>
    </row>
    <row r="175" spans="1:11" x14ac:dyDescent="0.25">
      <c r="A175" s="50">
        <f>'A) Base RI'!A177</f>
        <v>5690</v>
      </c>
      <c r="B175" s="308" t="str">
        <f>'A) Base RI'!B177</f>
        <v>Villars-le-Comte</v>
      </c>
      <c r="C175" s="99">
        <f>'B) D RI'!U177</f>
        <v>3585.4957380952383</v>
      </c>
      <c r="D175" s="115">
        <f>'E) Fact soc'!G181/C175</f>
        <v>19.077190437242177</v>
      </c>
      <c r="E175" s="142">
        <f>'H) Péréquation directe'!I186/C175</f>
        <v>-0.30474430997690138</v>
      </c>
      <c r="F175" s="115">
        <f>+'I) Dépenses thématiques'!O175/'K) Plafonnement aide'!C175</f>
        <v>-0.92718106802804368</v>
      </c>
      <c r="G175" s="142">
        <f t="shared" si="9"/>
        <v>17.845265059237231</v>
      </c>
      <c r="H175" s="115">
        <f t="shared" si="10"/>
        <v>18.772446127265276</v>
      </c>
      <c r="I175" s="142">
        <f t="shared" si="11"/>
        <v>0</v>
      </c>
      <c r="J175" s="58">
        <f t="shared" si="12"/>
        <v>0</v>
      </c>
      <c r="K175" s="37"/>
    </row>
    <row r="176" spans="1:11" x14ac:dyDescent="0.25">
      <c r="A176" s="50">
        <f>'A) Base RI'!A178</f>
        <v>5692</v>
      </c>
      <c r="B176" s="308" t="str">
        <f>'A) Base RI'!B178</f>
        <v>Vucherens</v>
      </c>
      <c r="C176" s="99">
        <f>'B) D RI'!U178</f>
        <v>17261.954936708858</v>
      </c>
      <c r="D176" s="115">
        <f>'E) Fact soc'!G182/C176</f>
        <v>18.310921984232767</v>
      </c>
      <c r="E176" s="142">
        <f>'H) Péréquation directe'!I187/C176</f>
        <v>2.7430558163847873</v>
      </c>
      <c r="F176" s="115">
        <f>+'I) Dépenses thématiques'!O176/'K) Plafonnement aide'!C176</f>
        <v>-2.882583146705505</v>
      </c>
      <c r="G176" s="142">
        <f t="shared" si="9"/>
        <v>18.171394653912046</v>
      </c>
      <c r="H176" s="115">
        <f t="shared" si="10"/>
        <v>21.053977800617552</v>
      </c>
      <c r="I176" s="142">
        <f t="shared" si="11"/>
        <v>0</v>
      </c>
      <c r="J176" s="58">
        <f t="shared" si="12"/>
        <v>0</v>
      </c>
      <c r="K176" s="37"/>
    </row>
    <row r="177" spans="1:11" x14ac:dyDescent="0.25">
      <c r="A177" s="50">
        <f>'A) Base RI'!A179</f>
        <v>5693</v>
      </c>
      <c r="B177" s="308" t="str">
        <f>'A) Base RI'!B179</f>
        <v>Montanaire</v>
      </c>
      <c r="C177" s="99">
        <f>'B) D RI'!U179</f>
        <v>70163.69902777778</v>
      </c>
      <c r="D177" s="115">
        <f>'E) Fact soc'!G183/C177</f>
        <v>19.032335861112198</v>
      </c>
      <c r="E177" s="142">
        <f>'H) Péréquation directe'!I188/C177</f>
        <v>-3.685106695391271</v>
      </c>
      <c r="F177" s="115">
        <f>+'I) Dépenses thématiques'!O177/'K) Plafonnement aide'!C177</f>
        <v>-6.1726973857384015</v>
      </c>
      <c r="G177" s="142">
        <f t="shared" si="9"/>
        <v>9.1745317799825266</v>
      </c>
      <c r="H177" s="115">
        <f t="shared" si="10"/>
        <v>15.347229165720929</v>
      </c>
      <c r="I177" s="142">
        <f t="shared" si="11"/>
        <v>0</v>
      </c>
      <c r="J177" s="58">
        <f t="shared" si="12"/>
        <v>0</v>
      </c>
      <c r="K177" s="37"/>
    </row>
    <row r="178" spans="1:11" x14ac:dyDescent="0.25">
      <c r="A178" s="50">
        <f>'A) Base RI'!A180</f>
        <v>5701</v>
      </c>
      <c r="B178" s="308" t="str">
        <f>'A) Base RI'!B180</f>
        <v>Arnex-sur-Nyon</v>
      </c>
      <c r="C178" s="99">
        <f>'B) D RI'!U180</f>
        <v>14485.916142857144</v>
      </c>
      <c r="D178" s="115">
        <f>'E) Fact soc'!G184/C178</f>
        <v>22.229764735939931</v>
      </c>
      <c r="E178" s="142">
        <f>'H) Péréquation directe'!I189/C178</f>
        <v>18.102681629796635</v>
      </c>
      <c r="F178" s="115">
        <f>+'I) Dépenses thématiques'!O178/'K) Plafonnement aide'!C178</f>
        <v>0</v>
      </c>
      <c r="G178" s="142">
        <f t="shared" si="9"/>
        <v>40.332446365736565</v>
      </c>
      <c r="H178" s="115">
        <f t="shared" si="10"/>
        <v>40.332446365736565</v>
      </c>
      <c r="I178" s="142">
        <f t="shared" si="11"/>
        <v>0</v>
      </c>
      <c r="J178" s="58">
        <f t="shared" si="12"/>
        <v>0</v>
      </c>
      <c r="K178" s="37"/>
    </row>
    <row r="179" spans="1:11" x14ac:dyDescent="0.25">
      <c r="A179" s="50">
        <f>'A) Base RI'!A181</f>
        <v>5702</v>
      </c>
      <c r="B179" s="308" t="str">
        <f>'A) Base RI'!B181</f>
        <v>Arzier-Le Muids</v>
      </c>
      <c r="C179" s="99">
        <f>'B) D RI'!U181</f>
        <v>155554.60781250003</v>
      </c>
      <c r="D179" s="115">
        <f>'E) Fact soc'!G185/C179</f>
        <v>22.947257325356372</v>
      </c>
      <c r="E179" s="142">
        <f>'H) Péréquation directe'!I190/C179</f>
        <v>15.544011412059678</v>
      </c>
      <c r="F179" s="115">
        <f>+'I) Dépenses thématiques'!O179/'K) Plafonnement aide'!C179</f>
        <v>-1.9381556636626869</v>
      </c>
      <c r="G179" s="142">
        <f t="shared" si="9"/>
        <v>36.553113073753366</v>
      </c>
      <c r="H179" s="115">
        <f t="shared" si="10"/>
        <v>38.49126873741605</v>
      </c>
      <c r="I179" s="142">
        <f t="shared" si="11"/>
        <v>0</v>
      </c>
      <c r="J179" s="58">
        <f t="shared" si="12"/>
        <v>0</v>
      </c>
      <c r="K179" s="37"/>
    </row>
    <row r="180" spans="1:11" x14ac:dyDescent="0.25">
      <c r="A180" s="50">
        <f>'A) Base RI'!A182</f>
        <v>5703</v>
      </c>
      <c r="B180" s="308" t="str">
        <f>'A) Base RI'!B182</f>
        <v>Bassins</v>
      </c>
      <c r="C180" s="99">
        <f>'B) D RI'!U182</f>
        <v>56619.784440154435</v>
      </c>
      <c r="D180" s="115">
        <f>'E) Fact soc'!G186/C180</f>
        <v>19.541083952910999</v>
      </c>
      <c r="E180" s="142">
        <f>'H) Péréquation directe'!I191/C180</f>
        <v>13.847884735559392</v>
      </c>
      <c r="F180" s="115">
        <f>+'I) Dépenses thématiques'!O180/'K) Plafonnement aide'!C180</f>
        <v>-4.0584127492013957</v>
      </c>
      <c r="G180" s="142">
        <f t="shared" si="9"/>
        <v>29.330555939268997</v>
      </c>
      <c r="H180" s="115">
        <f t="shared" si="10"/>
        <v>33.388968688470392</v>
      </c>
      <c r="I180" s="142">
        <f t="shared" si="11"/>
        <v>0</v>
      </c>
      <c r="J180" s="58">
        <f t="shared" si="12"/>
        <v>0</v>
      </c>
      <c r="K180" s="37"/>
    </row>
    <row r="181" spans="1:11" x14ac:dyDescent="0.25">
      <c r="A181" s="50">
        <f>'A) Base RI'!A183</f>
        <v>5704</v>
      </c>
      <c r="B181" s="308" t="str">
        <f>'A) Base RI'!B183</f>
        <v>Begnins</v>
      </c>
      <c r="C181" s="99">
        <f>'B) D RI'!U183</f>
        <v>127181.77029850746</v>
      </c>
      <c r="D181" s="115">
        <f>'E) Fact soc'!G187/C181</f>
        <v>24.898868329912411</v>
      </c>
      <c r="E181" s="142">
        <f>'H) Péréquation directe'!I192/C181</f>
        <v>16.567221827305016</v>
      </c>
      <c r="F181" s="115">
        <f>+'I) Dépenses thématiques'!O181/'K) Plafonnement aide'!C181</f>
        <v>0</v>
      </c>
      <c r="G181" s="142">
        <f t="shared" si="9"/>
        <v>41.466090157217423</v>
      </c>
      <c r="H181" s="115">
        <f t="shared" si="10"/>
        <v>41.466090157217423</v>
      </c>
      <c r="I181" s="142">
        <f t="shared" si="11"/>
        <v>0</v>
      </c>
      <c r="J181" s="58">
        <f t="shared" si="12"/>
        <v>0</v>
      </c>
      <c r="K181" s="37"/>
    </row>
    <row r="182" spans="1:11" x14ac:dyDescent="0.25">
      <c r="A182" s="50">
        <f>'A) Base RI'!A184</f>
        <v>5705</v>
      </c>
      <c r="B182" s="308" t="str">
        <f>'A) Base RI'!B184</f>
        <v>Bogis-Bossey</v>
      </c>
      <c r="C182" s="99">
        <f>'B) D RI'!U184</f>
        <v>54965.953000000009</v>
      </c>
      <c r="D182" s="115">
        <f>'E) Fact soc'!G188/C182</f>
        <v>22.16370499820011</v>
      </c>
      <c r="E182" s="142">
        <f>'H) Péréquation directe'!I193/C182</f>
        <v>18.005972734419355</v>
      </c>
      <c r="F182" s="115">
        <f>+'I) Dépenses thématiques'!O182/'K) Plafonnement aide'!C182</f>
        <v>0</v>
      </c>
      <c r="G182" s="142">
        <f t="shared" si="9"/>
        <v>40.169677732619462</v>
      </c>
      <c r="H182" s="115">
        <f t="shared" si="10"/>
        <v>40.169677732619462</v>
      </c>
      <c r="I182" s="142">
        <f t="shared" si="11"/>
        <v>0</v>
      </c>
      <c r="J182" s="58">
        <f t="shared" si="12"/>
        <v>0</v>
      </c>
      <c r="K182" s="37"/>
    </row>
    <row r="183" spans="1:11" x14ac:dyDescent="0.25">
      <c r="A183" s="50">
        <f>'A) Base RI'!A185</f>
        <v>5706</v>
      </c>
      <c r="B183" s="308" t="str">
        <f>'A) Base RI'!B185</f>
        <v>Borex</v>
      </c>
      <c r="C183" s="99">
        <f>'B) D RI'!U185</f>
        <v>71857.063735632182</v>
      </c>
      <c r="D183" s="115">
        <f>'E) Fact soc'!G189/C183</f>
        <v>22.531979145526257</v>
      </c>
      <c r="E183" s="142">
        <f>'H) Péréquation directe'!I194/C183</f>
        <v>17.687385542844066</v>
      </c>
      <c r="F183" s="115">
        <f>+'I) Dépenses thématiques'!O183/'K) Plafonnement aide'!C183</f>
        <v>0</v>
      </c>
      <c r="G183" s="142">
        <f t="shared" si="9"/>
        <v>40.21936468837032</v>
      </c>
      <c r="H183" s="115">
        <f t="shared" si="10"/>
        <v>40.21936468837032</v>
      </c>
      <c r="I183" s="142">
        <f t="shared" si="11"/>
        <v>0</v>
      </c>
      <c r="J183" s="58">
        <f t="shared" si="12"/>
        <v>0</v>
      </c>
      <c r="K183" s="37"/>
    </row>
    <row r="184" spans="1:11" x14ac:dyDescent="0.25">
      <c r="A184" s="50">
        <f>'A) Base RI'!A186</f>
        <v>5707</v>
      </c>
      <c r="B184" s="308" t="str">
        <f>'A) Base RI'!B186</f>
        <v>Chavannes-de-Bogis</v>
      </c>
      <c r="C184" s="99">
        <f>'B) D RI'!U186</f>
        <v>84087.690451977411</v>
      </c>
      <c r="D184" s="115">
        <f>'E) Fact soc'!G190/C184</f>
        <v>23.989146062579902</v>
      </c>
      <c r="E184" s="142">
        <f>'H) Péréquation directe'!I195/C184</f>
        <v>17.351160494921007</v>
      </c>
      <c r="F184" s="115">
        <f>+'I) Dépenses thématiques'!O184/'K) Plafonnement aide'!C184</f>
        <v>0</v>
      </c>
      <c r="G184" s="142">
        <f t="shared" si="9"/>
        <v>41.340306557500909</v>
      </c>
      <c r="H184" s="115">
        <f t="shared" si="10"/>
        <v>41.340306557500909</v>
      </c>
      <c r="I184" s="142">
        <f t="shared" si="11"/>
        <v>0</v>
      </c>
      <c r="J184" s="58">
        <f t="shared" si="12"/>
        <v>0</v>
      </c>
      <c r="K184" s="37"/>
    </row>
    <row r="185" spans="1:11" x14ac:dyDescent="0.25">
      <c r="A185" s="50">
        <f>'A) Base RI'!A187</f>
        <v>5708</v>
      </c>
      <c r="B185" s="308" t="str">
        <f>'A) Base RI'!B187</f>
        <v>Chavannes-des-Bois</v>
      </c>
      <c r="C185" s="99">
        <f>'B) D RI'!U187</f>
        <v>57555.435593220333</v>
      </c>
      <c r="D185" s="115">
        <f>'E) Fact soc'!G191/C185</f>
        <v>20.336042824822545</v>
      </c>
      <c r="E185" s="142">
        <f>'H) Péréquation directe'!I196/C185</f>
        <v>17.991103347918916</v>
      </c>
      <c r="F185" s="115">
        <f>+'I) Dépenses thématiques'!O185/'K) Plafonnement aide'!C185</f>
        <v>0</v>
      </c>
      <c r="G185" s="142">
        <f t="shared" si="9"/>
        <v>38.327146172741465</v>
      </c>
      <c r="H185" s="115">
        <f t="shared" si="10"/>
        <v>38.327146172741465</v>
      </c>
      <c r="I185" s="142">
        <f t="shared" si="11"/>
        <v>0</v>
      </c>
      <c r="J185" s="58">
        <f t="shared" si="12"/>
        <v>0</v>
      </c>
      <c r="K185" s="37"/>
    </row>
    <row r="186" spans="1:11" x14ac:dyDescent="0.25">
      <c r="A186" s="50">
        <f>'A) Base RI'!A188</f>
        <v>5709</v>
      </c>
      <c r="B186" s="308" t="str">
        <f>'A) Base RI'!B188</f>
        <v>Chéserex</v>
      </c>
      <c r="C186" s="99">
        <f>'B) D RI'!U188</f>
        <v>76627.19473684211</v>
      </c>
      <c r="D186" s="115">
        <f>'E) Fact soc'!G192/C186</f>
        <v>30.730706629663683</v>
      </c>
      <c r="E186" s="142">
        <f>'H) Péréquation directe'!I197/C186</f>
        <v>17.412455822512026</v>
      </c>
      <c r="F186" s="115">
        <f>+'I) Dépenses thématiques'!O186/'K) Plafonnement aide'!C186</f>
        <v>0</v>
      </c>
      <c r="G186" s="142">
        <f t="shared" si="9"/>
        <v>48.143162452175709</v>
      </c>
      <c r="H186" s="115">
        <f t="shared" si="10"/>
        <v>48.143162452175709</v>
      </c>
      <c r="I186" s="142">
        <f t="shared" si="11"/>
        <v>0</v>
      </c>
      <c r="J186" s="58">
        <f t="shared" si="12"/>
        <v>0</v>
      </c>
      <c r="K186" s="37"/>
    </row>
    <row r="187" spans="1:11" x14ac:dyDescent="0.25">
      <c r="A187" s="50">
        <f>'A) Base RI'!A189</f>
        <v>5710</v>
      </c>
      <c r="B187" s="308" t="str">
        <f>'A) Base RI'!B189</f>
        <v>Coinsins</v>
      </c>
      <c r="C187" s="99">
        <f>'B) D RI'!U189</f>
        <v>93255.286470588253</v>
      </c>
      <c r="D187" s="115">
        <f>'E) Fact soc'!G193/C187</f>
        <v>35.699287586434323</v>
      </c>
      <c r="E187" s="142">
        <f>'H) Péréquation directe'!I198/C187</f>
        <v>19.371333885201302</v>
      </c>
      <c r="F187" s="115">
        <f>+'I) Dépenses thématiques'!O187/'K) Plafonnement aide'!C187</f>
        <v>0</v>
      </c>
      <c r="G187" s="142">
        <f t="shared" si="9"/>
        <v>55.070621471635626</v>
      </c>
      <c r="H187" s="115">
        <f t="shared" si="10"/>
        <v>55.070621471635626</v>
      </c>
      <c r="I187" s="142">
        <f t="shared" si="11"/>
        <v>0</v>
      </c>
      <c r="J187" s="58">
        <f t="shared" si="12"/>
        <v>0</v>
      </c>
      <c r="K187" s="37"/>
    </row>
    <row r="188" spans="1:11" x14ac:dyDescent="0.25">
      <c r="A188" s="50">
        <f>'A) Base RI'!A190</f>
        <v>5711</v>
      </c>
      <c r="B188" s="308" t="str">
        <f>'A) Base RI'!B190</f>
        <v>Commugny</v>
      </c>
      <c r="C188" s="99">
        <f>'B) D RI'!U190</f>
        <v>252725.09392712548</v>
      </c>
      <c r="D188" s="115">
        <f>'E) Fact soc'!G194/C188</f>
        <v>27.019667294246407</v>
      </c>
      <c r="E188" s="142">
        <f>'H) Péréquation directe'!I199/C188</f>
        <v>16.981533672648652</v>
      </c>
      <c r="F188" s="115">
        <f>+'I) Dépenses thématiques'!O188/'K) Plafonnement aide'!C188</f>
        <v>0</v>
      </c>
      <c r="G188" s="142">
        <f t="shared" si="9"/>
        <v>44.001200966895055</v>
      </c>
      <c r="H188" s="115">
        <f t="shared" si="10"/>
        <v>44.001200966895055</v>
      </c>
      <c r="I188" s="142">
        <f t="shared" si="11"/>
        <v>0</v>
      </c>
      <c r="J188" s="58">
        <f t="shared" si="12"/>
        <v>0</v>
      </c>
      <c r="K188" s="37"/>
    </row>
    <row r="189" spans="1:11" x14ac:dyDescent="0.25">
      <c r="A189" s="50">
        <f>'A) Base RI'!A191</f>
        <v>5712</v>
      </c>
      <c r="B189" s="308" t="str">
        <f>'A) Base RI'!B191</f>
        <v>Coppet</v>
      </c>
      <c r="C189" s="99">
        <f>'B) D RI'!U191</f>
        <v>325058.64591194969</v>
      </c>
      <c r="D189" s="115">
        <f>'E) Fact soc'!G195/C189</f>
        <v>30.314238324357998</v>
      </c>
      <c r="E189" s="142">
        <f>'H) Péréquation directe'!I200/C189</f>
        <v>17.317982356754396</v>
      </c>
      <c r="F189" s="115">
        <f>+'I) Dépenses thématiques'!O189/'K) Plafonnement aide'!C189</f>
        <v>0</v>
      </c>
      <c r="G189" s="142">
        <f t="shared" si="9"/>
        <v>47.632220681112393</v>
      </c>
      <c r="H189" s="115">
        <f t="shared" si="10"/>
        <v>47.632220681112393</v>
      </c>
      <c r="I189" s="142">
        <f t="shared" si="11"/>
        <v>0</v>
      </c>
      <c r="J189" s="58">
        <f t="shared" si="12"/>
        <v>0</v>
      </c>
      <c r="K189" s="37"/>
    </row>
    <row r="190" spans="1:11" x14ac:dyDescent="0.25">
      <c r="A190" s="50">
        <f>'A) Base RI'!A192</f>
        <v>5713</v>
      </c>
      <c r="B190" s="308" t="str">
        <f>'A) Base RI'!B192</f>
        <v>Crans-près-Céligny</v>
      </c>
      <c r="C190" s="99">
        <f>'B) D RI'!U192</f>
        <v>238982.42094339622</v>
      </c>
      <c r="D190" s="115">
        <f>'E) Fact soc'!G196/C190</f>
        <v>29.728454846871845</v>
      </c>
      <c r="E190" s="142">
        <f>'H) Péréquation directe'!I201/C190</f>
        <v>17.792565182381491</v>
      </c>
      <c r="F190" s="115">
        <f>+'I) Dépenses thématiques'!O190/'K) Plafonnement aide'!C190</f>
        <v>0</v>
      </c>
      <c r="G190" s="142">
        <f t="shared" si="9"/>
        <v>47.521020029253336</v>
      </c>
      <c r="H190" s="115">
        <f t="shared" si="10"/>
        <v>47.521020029253336</v>
      </c>
      <c r="I190" s="142">
        <f t="shared" si="11"/>
        <v>0</v>
      </c>
      <c r="J190" s="58">
        <f t="shared" si="12"/>
        <v>0</v>
      </c>
      <c r="K190" s="37"/>
    </row>
    <row r="191" spans="1:11" x14ac:dyDescent="0.25">
      <c r="A191" s="50">
        <f>'A) Base RI'!A193</f>
        <v>5714</v>
      </c>
      <c r="B191" s="308" t="str">
        <f>'A) Base RI'!B193</f>
        <v>Crassier</v>
      </c>
      <c r="C191" s="99">
        <f>'B) D RI'!U193</f>
        <v>81379.304374999992</v>
      </c>
      <c r="D191" s="115">
        <f>'E) Fact soc'!G197/C191</f>
        <v>24.974229593241581</v>
      </c>
      <c r="E191" s="142">
        <f>'H) Péréquation directe'!I202/C191</f>
        <v>17.81070790457996</v>
      </c>
      <c r="F191" s="115">
        <f>+'I) Dépenses thématiques'!O191/'K) Plafonnement aide'!C191</f>
        <v>0</v>
      </c>
      <c r="G191" s="142">
        <f t="shared" si="9"/>
        <v>42.784937497821545</v>
      </c>
      <c r="H191" s="115">
        <f t="shared" si="10"/>
        <v>42.784937497821545</v>
      </c>
      <c r="I191" s="142">
        <f t="shared" si="11"/>
        <v>0</v>
      </c>
      <c r="J191" s="58">
        <f t="shared" si="12"/>
        <v>0</v>
      </c>
      <c r="K191" s="37"/>
    </row>
    <row r="192" spans="1:11" x14ac:dyDescent="0.25">
      <c r="A192" s="50">
        <f>'A) Base RI'!A194</f>
        <v>5715</v>
      </c>
      <c r="B192" s="308" t="str">
        <f>'A) Base RI'!B194</f>
        <v>Duillier</v>
      </c>
      <c r="C192" s="99">
        <f>'B) D RI'!U194</f>
        <v>59220.850303030304</v>
      </c>
      <c r="D192" s="115">
        <f>'E) Fact soc'!G198/C192</f>
        <v>19.434426826678422</v>
      </c>
      <c r="E192" s="142">
        <f>'H) Péréquation directe'!I203/C192</f>
        <v>17.471576263413478</v>
      </c>
      <c r="F192" s="115">
        <f>+'I) Dépenses thématiques'!O192/'K) Plafonnement aide'!C192</f>
        <v>0</v>
      </c>
      <c r="G192" s="142">
        <f t="shared" si="9"/>
        <v>36.9060030900919</v>
      </c>
      <c r="H192" s="115">
        <f t="shared" si="10"/>
        <v>36.9060030900919</v>
      </c>
      <c r="I192" s="142">
        <f t="shared" si="11"/>
        <v>0</v>
      </c>
      <c r="J192" s="58">
        <f t="shared" si="12"/>
        <v>0</v>
      </c>
      <c r="K192" s="37"/>
    </row>
    <row r="193" spans="1:11" x14ac:dyDescent="0.25">
      <c r="A193" s="50">
        <f>'A) Base RI'!A195</f>
        <v>5716</v>
      </c>
      <c r="B193" s="308" t="str">
        <f>'A) Base RI'!B195</f>
        <v>Eysins</v>
      </c>
      <c r="C193" s="99">
        <f>'B) D RI'!U195</f>
        <v>124151.91836065573</v>
      </c>
      <c r="D193" s="115">
        <f>'E) Fact soc'!G199/C193</f>
        <v>27.315920879920711</v>
      </c>
      <c r="E193" s="142">
        <f>'H) Péréquation directe'!I204/C193</f>
        <v>17.338171377093175</v>
      </c>
      <c r="F193" s="115">
        <f>+'I) Dépenses thématiques'!O193/'K) Plafonnement aide'!C193</f>
        <v>0</v>
      </c>
      <c r="G193" s="142">
        <f t="shared" si="9"/>
        <v>44.654092257013886</v>
      </c>
      <c r="H193" s="115">
        <f t="shared" si="10"/>
        <v>44.654092257013886</v>
      </c>
      <c r="I193" s="142">
        <f t="shared" si="11"/>
        <v>0</v>
      </c>
      <c r="J193" s="58">
        <f t="shared" si="12"/>
        <v>0</v>
      </c>
      <c r="K193" s="37"/>
    </row>
    <row r="194" spans="1:11" x14ac:dyDescent="0.25">
      <c r="A194" s="50">
        <f>'A) Base RI'!A196</f>
        <v>5717</v>
      </c>
      <c r="B194" s="308" t="str">
        <f>'A) Base RI'!B196</f>
        <v>Founex</v>
      </c>
      <c r="C194" s="99">
        <f>'B) D RI'!U196</f>
        <v>339342.81578947371</v>
      </c>
      <c r="D194" s="115">
        <f>'E) Fact soc'!G200/C194</f>
        <v>28.381917369226837</v>
      </c>
      <c r="E194" s="142">
        <f>'H) Péréquation directe'!I205/C194</f>
        <v>16.463388116148163</v>
      </c>
      <c r="F194" s="115">
        <f>+'I) Dépenses thématiques'!O194/'K) Plafonnement aide'!C194</f>
        <v>0</v>
      </c>
      <c r="G194" s="142">
        <f t="shared" si="9"/>
        <v>44.845305485375</v>
      </c>
      <c r="H194" s="115">
        <f t="shared" si="10"/>
        <v>44.845305485375</v>
      </c>
      <c r="I194" s="142">
        <f t="shared" si="11"/>
        <v>0</v>
      </c>
      <c r="J194" s="58">
        <f t="shared" si="12"/>
        <v>0</v>
      </c>
      <c r="K194" s="37"/>
    </row>
    <row r="195" spans="1:11" x14ac:dyDescent="0.25">
      <c r="A195" s="50">
        <f>'A) Base RI'!A197</f>
        <v>5718</v>
      </c>
      <c r="B195" s="308" t="str">
        <f>'A) Base RI'!B197</f>
        <v>Genolier</v>
      </c>
      <c r="C195" s="99">
        <f>'B) D RI'!U197</f>
        <v>176672.45218181823</v>
      </c>
      <c r="D195" s="115">
        <f>'E) Fact soc'!G201/C195</f>
        <v>27.82035545408673</v>
      </c>
      <c r="E195" s="142">
        <f>'H) Péréquation directe'!I206/C195</f>
        <v>17.463768539975398</v>
      </c>
      <c r="F195" s="115">
        <f>+'I) Dépenses thématiques'!O195/'K) Plafonnement aide'!C195</f>
        <v>0</v>
      </c>
      <c r="G195" s="142">
        <f t="shared" si="9"/>
        <v>45.284123994062128</v>
      </c>
      <c r="H195" s="115">
        <f t="shared" si="10"/>
        <v>45.284123994062128</v>
      </c>
      <c r="I195" s="142">
        <f t="shared" si="11"/>
        <v>0</v>
      </c>
      <c r="J195" s="58">
        <f t="shared" si="12"/>
        <v>0</v>
      </c>
      <c r="K195" s="37"/>
    </row>
    <row r="196" spans="1:11" x14ac:dyDescent="0.25">
      <c r="A196" s="50">
        <f>'A) Base RI'!A198</f>
        <v>5719</v>
      </c>
      <c r="B196" s="308" t="str">
        <f>'A) Base RI'!B198</f>
        <v>Gingins</v>
      </c>
      <c r="C196" s="99">
        <f>'B) D RI'!U198</f>
        <v>130825.37064327484</v>
      </c>
      <c r="D196" s="115">
        <f>'E) Fact soc'!G202/C196</f>
        <v>31.223130783790147</v>
      </c>
      <c r="E196" s="142">
        <f>'H) Péréquation directe'!I207/C196</f>
        <v>18.508000134621525</v>
      </c>
      <c r="F196" s="115">
        <f>+'I) Dépenses thématiques'!O196/'K) Plafonnement aide'!C196</f>
        <v>0</v>
      </c>
      <c r="G196" s="142">
        <f t="shared" si="9"/>
        <v>49.731130918411672</v>
      </c>
      <c r="H196" s="115">
        <f t="shared" si="10"/>
        <v>49.731130918411672</v>
      </c>
      <c r="I196" s="142">
        <f t="shared" si="11"/>
        <v>0</v>
      </c>
      <c r="J196" s="58">
        <f t="shared" si="12"/>
        <v>0</v>
      </c>
      <c r="K196" s="37"/>
    </row>
    <row r="197" spans="1:11" x14ac:dyDescent="0.25">
      <c r="A197" s="50">
        <f>'A) Base RI'!A199</f>
        <v>5720</v>
      </c>
      <c r="B197" s="308" t="str">
        <f>'A) Base RI'!B199</f>
        <v>Givrins</v>
      </c>
      <c r="C197" s="99">
        <f>'B) D RI'!U199</f>
        <v>72642.976593806918</v>
      </c>
      <c r="D197" s="115">
        <f>'E) Fact soc'!G203/C197</f>
        <v>23.493490805536467</v>
      </c>
      <c r="E197" s="142">
        <f>'H) Péréquation directe'!I208/C197</f>
        <v>18.320787561145107</v>
      </c>
      <c r="F197" s="115">
        <f>+'I) Dépenses thématiques'!O197/'K) Plafonnement aide'!C197</f>
        <v>-0.5970435076904923</v>
      </c>
      <c r="G197" s="142">
        <f t="shared" si="9"/>
        <v>41.217234858991084</v>
      </c>
      <c r="H197" s="115">
        <f t="shared" si="10"/>
        <v>41.814278366681577</v>
      </c>
      <c r="I197" s="142">
        <f t="shared" si="11"/>
        <v>0</v>
      </c>
      <c r="J197" s="58">
        <f t="shared" si="12"/>
        <v>0</v>
      </c>
      <c r="K197" s="37"/>
    </row>
    <row r="198" spans="1:11" x14ac:dyDescent="0.25">
      <c r="A198" s="50">
        <f>'A) Base RI'!A200</f>
        <v>5721</v>
      </c>
      <c r="B198" s="308" t="str">
        <f>'A) Base RI'!B200</f>
        <v>Gland</v>
      </c>
      <c r="C198" s="99">
        <f>'B) D RI'!U200</f>
        <v>599217.55248000007</v>
      </c>
      <c r="D198" s="115">
        <f>'E) Fact soc'!G204/C198</f>
        <v>22.456418918982937</v>
      </c>
      <c r="E198" s="142">
        <f>'H) Péréquation directe'!I209/C198</f>
        <v>7.0601030385561208</v>
      </c>
      <c r="F198" s="115">
        <f>+'I) Dépenses thématiques'!O198/'K) Plafonnement aide'!C198</f>
        <v>0</v>
      </c>
      <c r="G198" s="142">
        <f t="shared" ref="G198:G261" si="13">SUM(D198:F198)</f>
        <v>29.516521957539059</v>
      </c>
      <c r="H198" s="115">
        <f t="shared" ref="H198:H261" si="14">G198-F198</f>
        <v>29.516521957539059</v>
      </c>
      <c r="I198" s="142">
        <f t="shared" ref="I198:I261" si="15">IF(H198&lt;I$4,H198-I$4,0)</f>
        <v>0</v>
      </c>
      <c r="J198" s="58">
        <f t="shared" ref="J198:J261" si="16">-I198*C198</f>
        <v>0</v>
      </c>
      <c r="K198" s="37"/>
    </row>
    <row r="199" spans="1:11" x14ac:dyDescent="0.25">
      <c r="A199" s="50">
        <f>'A) Base RI'!A201</f>
        <v>5722</v>
      </c>
      <c r="B199" s="308" t="str">
        <f>'A) Base RI'!B201</f>
        <v>Grens</v>
      </c>
      <c r="C199" s="99">
        <f>'B) D RI'!U201</f>
        <v>25282.227903225812</v>
      </c>
      <c r="D199" s="115">
        <f>'E) Fact soc'!G205/C199</f>
        <v>21.820285438164589</v>
      </c>
      <c r="E199" s="142">
        <f>'H) Péréquation directe'!I210/C199</f>
        <v>18.146381056437857</v>
      </c>
      <c r="F199" s="115">
        <f>+'I) Dépenses thématiques'!O199/'K) Plafonnement aide'!C199</f>
        <v>0</v>
      </c>
      <c r="G199" s="142">
        <f t="shared" si="13"/>
        <v>39.96666649460245</v>
      </c>
      <c r="H199" s="115">
        <f t="shared" si="14"/>
        <v>39.96666649460245</v>
      </c>
      <c r="I199" s="142">
        <f t="shared" si="15"/>
        <v>0</v>
      </c>
      <c r="J199" s="58">
        <f t="shared" si="16"/>
        <v>0</v>
      </c>
      <c r="K199" s="37"/>
    </row>
    <row r="200" spans="1:11" x14ac:dyDescent="0.25">
      <c r="A200" s="50">
        <f>'A) Base RI'!A202</f>
        <v>5723</v>
      </c>
      <c r="B200" s="308" t="str">
        <f>'A) Base RI'!B202</f>
        <v>Mies</v>
      </c>
      <c r="C200" s="99">
        <f>'B) D RI'!U202</f>
        <v>442357.54510204075</v>
      </c>
      <c r="D200" s="115">
        <f>'E) Fact soc'!G206/C200</f>
        <v>37.539011522674535</v>
      </c>
      <c r="E200" s="142">
        <f>'H) Péréquation directe'!I211/C200</f>
        <v>18.922508325099137</v>
      </c>
      <c r="F200" s="115">
        <f>+'I) Dépenses thématiques'!O200/'K) Plafonnement aide'!C200</f>
        <v>0</v>
      </c>
      <c r="G200" s="142">
        <f t="shared" si="13"/>
        <v>56.461519847773673</v>
      </c>
      <c r="H200" s="115">
        <f t="shared" si="14"/>
        <v>56.461519847773673</v>
      </c>
      <c r="I200" s="142">
        <f t="shared" si="15"/>
        <v>0</v>
      </c>
      <c r="J200" s="58">
        <f t="shared" si="16"/>
        <v>0</v>
      </c>
      <c r="K200" s="37"/>
    </row>
    <row r="201" spans="1:11" x14ac:dyDescent="0.25">
      <c r="A201" s="50">
        <f>'A) Base RI'!A203</f>
        <v>5724</v>
      </c>
      <c r="B201" s="308" t="str">
        <f>'A) Base RI'!B203</f>
        <v>Nyon</v>
      </c>
      <c r="C201" s="99">
        <f>'B) D RI'!U203</f>
        <v>1295846.4763430012</v>
      </c>
      <c r="D201" s="115">
        <f>'E) Fact soc'!G207/C201</f>
        <v>24.552425995364192</v>
      </c>
      <c r="E201" s="142">
        <f>'H) Péréquation directe'!I212/C201</f>
        <v>8.1164225986861336</v>
      </c>
      <c r="F201" s="115">
        <f>+'I) Dépenses thématiques'!O201/'K) Plafonnement aide'!C201</f>
        <v>-0.34330003597142184</v>
      </c>
      <c r="G201" s="142">
        <f t="shared" si="13"/>
        <v>32.3255485580789</v>
      </c>
      <c r="H201" s="115">
        <f t="shared" si="14"/>
        <v>32.668848594050324</v>
      </c>
      <c r="I201" s="142">
        <f t="shared" si="15"/>
        <v>0</v>
      </c>
      <c r="J201" s="58">
        <f t="shared" si="16"/>
        <v>0</v>
      </c>
      <c r="K201" s="37"/>
    </row>
    <row r="202" spans="1:11" x14ac:dyDescent="0.25">
      <c r="A202" s="50">
        <f>'A) Base RI'!A204</f>
        <v>5725</v>
      </c>
      <c r="B202" s="308" t="str">
        <f>'A) Base RI'!B204</f>
        <v>Prangins</v>
      </c>
      <c r="C202" s="99">
        <f>'B) D RI'!U204</f>
        <v>297756.63698979589</v>
      </c>
      <c r="D202" s="115">
        <f>'E) Fact soc'!G208/C202</f>
        <v>24.695971313551794</v>
      </c>
      <c r="E202" s="142">
        <f>'H) Péréquation directe'!I213/C202</f>
        <v>15.501569806297194</v>
      </c>
      <c r="F202" s="115">
        <f>+'I) Dépenses thématiques'!O202/'K) Plafonnement aide'!C202</f>
        <v>0</v>
      </c>
      <c r="G202" s="142">
        <f t="shared" si="13"/>
        <v>40.197541119848992</v>
      </c>
      <c r="H202" s="115">
        <f t="shared" si="14"/>
        <v>40.197541119848992</v>
      </c>
      <c r="I202" s="142">
        <f t="shared" si="15"/>
        <v>0</v>
      </c>
      <c r="J202" s="58">
        <f t="shared" si="16"/>
        <v>0</v>
      </c>
      <c r="K202" s="37"/>
    </row>
    <row r="203" spans="1:11" x14ac:dyDescent="0.25">
      <c r="A203" s="50">
        <f>'A) Base RI'!A205</f>
        <v>5726</v>
      </c>
      <c r="B203" s="308" t="str">
        <f>'A) Base RI'!B205</f>
        <v>La Rippe</v>
      </c>
      <c r="C203" s="99">
        <f>'B) D RI'!U205</f>
        <v>56821.794000000002</v>
      </c>
      <c r="D203" s="115">
        <f>'E) Fact soc'!G209/C203</f>
        <v>19.772112256158184</v>
      </c>
      <c r="E203" s="142">
        <f>'H) Péréquation directe'!I214/C203</f>
        <v>16.840975622974248</v>
      </c>
      <c r="F203" s="115">
        <f>+'I) Dépenses thématiques'!O203/'K) Plafonnement aide'!C203</f>
        <v>0</v>
      </c>
      <c r="G203" s="142">
        <f t="shared" si="13"/>
        <v>36.613087879132436</v>
      </c>
      <c r="H203" s="115">
        <f t="shared" si="14"/>
        <v>36.613087879132436</v>
      </c>
      <c r="I203" s="142">
        <f t="shared" si="15"/>
        <v>0</v>
      </c>
      <c r="J203" s="58">
        <f t="shared" si="16"/>
        <v>0</v>
      </c>
      <c r="K203" s="37"/>
    </row>
    <row r="204" spans="1:11" x14ac:dyDescent="0.25">
      <c r="A204" s="50">
        <f>'A) Base RI'!A206</f>
        <v>5727</v>
      </c>
      <c r="B204" s="308" t="str">
        <f>'A) Base RI'!B206</f>
        <v>Saint-Cergue</v>
      </c>
      <c r="C204" s="99">
        <f>'B) D RI'!U206</f>
        <v>100367.45777777779</v>
      </c>
      <c r="D204" s="115">
        <f>'E) Fact soc'!G210/C204</f>
        <v>19.170708124578702</v>
      </c>
      <c r="E204" s="142">
        <f>'H) Péréquation directe'!I215/C204</f>
        <v>10.758757722214874</v>
      </c>
      <c r="F204" s="115">
        <f>+'I) Dépenses thématiques'!O204/'K) Plafonnement aide'!C204</f>
        <v>-2.8006777916241807</v>
      </c>
      <c r="G204" s="142">
        <f t="shared" si="13"/>
        <v>27.128788055169395</v>
      </c>
      <c r="H204" s="115">
        <f t="shared" si="14"/>
        <v>29.929465846793576</v>
      </c>
      <c r="I204" s="142">
        <f t="shared" si="15"/>
        <v>0</v>
      </c>
      <c r="J204" s="58">
        <f t="shared" si="16"/>
        <v>0</v>
      </c>
      <c r="K204" s="37"/>
    </row>
    <row r="205" spans="1:11" x14ac:dyDescent="0.25">
      <c r="A205" s="50">
        <f>'A) Base RI'!A207</f>
        <v>5728</v>
      </c>
      <c r="B205" s="308" t="str">
        <f>'A) Base RI'!B207</f>
        <v>Signy-Avenex</v>
      </c>
      <c r="C205" s="99">
        <f>'B) D RI'!U207</f>
        <v>36550.556034482761</v>
      </c>
      <c r="D205" s="115">
        <f>'E) Fact soc'!G211/C205</f>
        <v>24.126937153884121</v>
      </c>
      <c r="E205" s="142">
        <f>'H) Péréquation directe'!I216/C205</f>
        <v>18.096573207935233</v>
      </c>
      <c r="F205" s="115">
        <f>+'I) Dépenses thématiques'!O205/'K) Plafonnement aide'!C205</f>
        <v>0</v>
      </c>
      <c r="G205" s="142">
        <f t="shared" si="13"/>
        <v>42.223510361819351</v>
      </c>
      <c r="H205" s="115">
        <f t="shared" si="14"/>
        <v>42.223510361819351</v>
      </c>
      <c r="I205" s="142">
        <f t="shared" si="15"/>
        <v>0</v>
      </c>
      <c r="J205" s="58">
        <f t="shared" si="16"/>
        <v>0</v>
      </c>
      <c r="K205" s="37"/>
    </row>
    <row r="206" spans="1:11" x14ac:dyDescent="0.25">
      <c r="A206" s="50">
        <f>'A) Base RI'!A208</f>
        <v>5729</v>
      </c>
      <c r="B206" s="308" t="str">
        <f>'A) Base RI'!B208</f>
        <v>Tannay</v>
      </c>
      <c r="C206" s="99">
        <f>'B) D RI'!U208</f>
        <v>172823.24043715847</v>
      </c>
      <c r="D206" s="115">
        <f>'E) Fact soc'!G212/C206</f>
        <v>32.585198576933344</v>
      </c>
      <c r="E206" s="142">
        <f>'H) Péréquation directe'!I217/C206</f>
        <v>18.127274183582976</v>
      </c>
      <c r="F206" s="115">
        <f>+'I) Dépenses thématiques'!O206/'K) Plafonnement aide'!C206</f>
        <v>0</v>
      </c>
      <c r="G206" s="142">
        <f t="shared" si="13"/>
        <v>50.71247276051632</v>
      </c>
      <c r="H206" s="115">
        <f t="shared" si="14"/>
        <v>50.71247276051632</v>
      </c>
      <c r="I206" s="142">
        <f t="shared" si="15"/>
        <v>0</v>
      </c>
      <c r="J206" s="58">
        <f t="shared" si="16"/>
        <v>0</v>
      </c>
      <c r="K206" s="37"/>
    </row>
    <row r="207" spans="1:11" x14ac:dyDescent="0.25">
      <c r="A207" s="50">
        <f>'A) Base RI'!A209</f>
        <v>5730</v>
      </c>
      <c r="B207" s="308" t="str">
        <f>'A) Base RI'!B209</f>
        <v>Trélex</v>
      </c>
      <c r="C207" s="99">
        <f>'B) D RI'!U209</f>
        <v>103185.50284600389</v>
      </c>
      <c r="D207" s="115">
        <f>'E) Fact soc'!G213/C207</f>
        <v>24.678981904874796</v>
      </c>
      <c r="E207" s="142">
        <f>'H) Péréquation directe'!I218/C207</f>
        <v>17.458317678094538</v>
      </c>
      <c r="F207" s="115">
        <f>+'I) Dépenses thématiques'!O207/'K) Plafonnement aide'!C207</f>
        <v>-0.16132714777133797</v>
      </c>
      <c r="G207" s="142">
        <f t="shared" si="13"/>
        <v>41.975972435197995</v>
      </c>
      <c r="H207" s="115">
        <f t="shared" si="14"/>
        <v>42.137299582969334</v>
      </c>
      <c r="I207" s="142">
        <f t="shared" si="15"/>
        <v>0</v>
      </c>
      <c r="J207" s="58">
        <f t="shared" si="16"/>
        <v>0</v>
      </c>
      <c r="K207" s="37"/>
    </row>
    <row r="208" spans="1:11" x14ac:dyDescent="0.25">
      <c r="A208" s="50">
        <f>'A) Base RI'!A210</f>
        <v>5731</v>
      </c>
      <c r="B208" s="308" t="str">
        <f>'A) Base RI'!B210</f>
        <v>Le Vaud</v>
      </c>
      <c r="C208" s="99">
        <f>'B) D RI'!U210</f>
        <v>50829.361333333334</v>
      </c>
      <c r="D208" s="115">
        <f>'E) Fact soc'!G214/C208</f>
        <v>19.369411095365855</v>
      </c>
      <c r="E208" s="142">
        <f>'H) Péréquation directe'!I219/C208</f>
        <v>12.490893460233263</v>
      </c>
      <c r="F208" s="115">
        <f>+'I) Dépenses thématiques'!O208/'K) Plafonnement aide'!C208</f>
        <v>-2.1505057142694506</v>
      </c>
      <c r="G208" s="142">
        <f t="shared" si="13"/>
        <v>29.709798841329668</v>
      </c>
      <c r="H208" s="115">
        <f t="shared" si="14"/>
        <v>31.860304555599118</v>
      </c>
      <c r="I208" s="142">
        <f t="shared" si="15"/>
        <v>0</v>
      </c>
      <c r="J208" s="58">
        <f t="shared" si="16"/>
        <v>0</v>
      </c>
      <c r="K208" s="37"/>
    </row>
    <row r="209" spans="1:11" x14ac:dyDescent="0.25">
      <c r="A209" s="50">
        <f>'A) Base RI'!A211</f>
        <v>5732</v>
      </c>
      <c r="B209" s="308" t="str">
        <f>'A) Base RI'!B211</f>
        <v>Vich</v>
      </c>
      <c r="C209" s="99">
        <f>'B) D RI'!U211</f>
        <v>61037.471029411761</v>
      </c>
      <c r="D209" s="115">
        <f>'E) Fact soc'!G215/C209</f>
        <v>24.568050770964387</v>
      </c>
      <c r="E209" s="142">
        <f>'H) Péréquation directe'!I220/C209</f>
        <v>17.841770793058586</v>
      </c>
      <c r="F209" s="115">
        <f>+'I) Dépenses thématiques'!O209/'K) Plafonnement aide'!C209</f>
        <v>-12.760115396134809</v>
      </c>
      <c r="G209" s="142">
        <f t="shared" si="13"/>
        <v>29.649706167888169</v>
      </c>
      <c r="H209" s="115">
        <f t="shared" si="14"/>
        <v>42.409821564022977</v>
      </c>
      <c r="I209" s="142">
        <f t="shared" si="15"/>
        <v>0</v>
      </c>
      <c r="J209" s="58">
        <f t="shared" si="16"/>
        <v>0</v>
      </c>
      <c r="K209" s="37"/>
    </row>
    <row r="210" spans="1:11" x14ac:dyDescent="0.25">
      <c r="A210" s="50">
        <f>'A) Base RI'!A212</f>
        <v>5741</v>
      </c>
      <c r="B210" s="308" t="str">
        <f>'A) Base RI'!B212</f>
        <v>L'Abergement</v>
      </c>
      <c r="C210" s="99">
        <f>'B) D RI'!U212</f>
        <v>6619.5511522633742</v>
      </c>
      <c r="D210" s="115">
        <f>'E) Fact soc'!G216/C210</f>
        <v>20.585882849040491</v>
      </c>
      <c r="E210" s="142">
        <f>'H) Péréquation directe'!I221/C210</f>
        <v>-0.57573127145887182</v>
      </c>
      <c r="F210" s="115">
        <f>+'I) Dépenses thématiques'!O210/'K) Plafonnement aide'!C210</f>
        <v>-13.511683445733359</v>
      </c>
      <c r="G210" s="142">
        <f t="shared" si="13"/>
        <v>6.4984681318482611</v>
      </c>
      <c r="H210" s="115">
        <f t="shared" si="14"/>
        <v>20.01015157758162</v>
      </c>
      <c r="I210" s="142">
        <f t="shared" si="15"/>
        <v>0</v>
      </c>
      <c r="J210" s="58">
        <f t="shared" si="16"/>
        <v>0</v>
      </c>
      <c r="K210" s="37"/>
    </row>
    <row r="211" spans="1:11" x14ac:dyDescent="0.25">
      <c r="A211" s="50">
        <f>'A) Base RI'!A213</f>
        <v>5742</v>
      </c>
      <c r="B211" s="308" t="str">
        <f>'A) Base RI'!B213</f>
        <v>Agiez</v>
      </c>
      <c r="C211" s="99">
        <f>'B) D RI'!U213</f>
        <v>9354.2819736842121</v>
      </c>
      <c r="D211" s="115">
        <f>'E) Fact soc'!G217/C211</f>
        <v>19.707998364797152</v>
      </c>
      <c r="E211" s="142">
        <f>'H) Péréquation directe'!I222/C211</f>
        <v>3.9588060863357897</v>
      </c>
      <c r="F211" s="115">
        <f>+'I) Dépenses thématiques'!O211/'K) Plafonnement aide'!C211</f>
        <v>-1.2989074641766565</v>
      </c>
      <c r="G211" s="142">
        <f t="shared" si="13"/>
        <v>22.367896986956286</v>
      </c>
      <c r="H211" s="115">
        <f t="shared" si="14"/>
        <v>23.666804451132943</v>
      </c>
      <c r="I211" s="142">
        <f t="shared" si="15"/>
        <v>0</v>
      </c>
      <c r="J211" s="58">
        <f t="shared" si="16"/>
        <v>0</v>
      </c>
      <c r="K211" s="37"/>
    </row>
    <row r="212" spans="1:11" x14ac:dyDescent="0.25">
      <c r="A212" s="50">
        <f>'A) Base RI'!A214</f>
        <v>5743</v>
      </c>
      <c r="B212" s="308" t="str">
        <f>'A) Base RI'!B214</f>
        <v>Arnex-sur-Orbe</v>
      </c>
      <c r="C212" s="99">
        <f>'B) D RI'!U214</f>
        <v>17594.003904109592</v>
      </c>
      <c r="D212" s="115">
        <f>'E) Fact soc'!G218/C212</f>
        <v>20.570592548574712</v>
      </c>
      <c r="E212" s="142">
        <f>'H) Péréquation directe'!I223/C212</f>
        <v>1.7165206249731459</v>
      </c>
      <c r="F212" s="115">
        <f>+'I) Dépenses thématiques'!O212/'K) Plafonnement aide'!C212</f>
        <v>-6.378450134885421</v>
      </c>
      <c r="G212" s="142">
        <f t="shared" si="13"/>
        <v>15.908663038662437</v>
      </c>
      <c r="H212" s="115">
        <f t="shared" si="14"/>
        <v>22.287113173547858</v>
      </c>
      <c r="I212" s="142">
        <f t="shared" si="15"/>
        <v>0</v>
      </c>
      <c r="J212" s="58">
        <f t="shared" si="16"/>
        <v>0</v>
      </c>
      <c r="K212" s="37"/>
    </row>
    <row r="213" spans="1:11" x14ac:dyDescent="0.25">
      <c r="A213" s="50">
        <f>'A) Base RI'!A215</f>
        <v>5744</v>
      </c>
      <c r="B213" s="308" t="str">
        <f>'A) Base RI'!B215</f>
        <v>Ballaigues</v>
      </c>
      <c r="C213" s="99">
        <f>'B) D RI'!U215</f>
        <v>49791.438333333339</v>
      </c>
      <c r="D213" s="115">
        <f>'E) Fact soc'!G219/C213</f>
        <v>25.072866627533859</v>
      </c>
      <c r="E213" s="142">
        <f>'H) Péréquation directe'!I224/C213</f>
        <v>16.872370648341313</v>
      </c>
      <c r="F213" s="115">
        <f>+'I) Dépenses thématiques'!O213/'K) Plafonnement aide'!C213</f>
        <v>-7.6150515568891466</v>
      </c>
      <c r="G213" s="142">
        <f t="shared" si="13"/>
        <v>34.330185718986023</v>
      </c>
      <c r="H213" s="115">
        <f t="shared" si="14"/>
        <v>41.945237275875172</v>
      </c>
      <c r="I213" s="142">
        <f t="shared" si="15"/>
        <v>0</v>
      </c>
      <c r="J213" s="58">
        <f t="shared" si="16"/>
        <v>0</v>
      </c>
      <c r="K213" s="37"/>
    </row>
    <row r="214" spans="1:11" x14ac:dyDescent="0.25">
      <c r="A214" s="50">
        <f>'A) Base RI'!A216</f>
        <v>5745</v>
      </c>
      <c r="B214" s="308" t="str">
        <f>'A) Base RI'!B216</f>
        <v>Baulmes</v>
      </c>
      <c r="C214" s="99">
        <f>'B) D RI'!U216</f>
        <v>25375.775641025641</v>
      </c>
      <c r="D214" s="115">
        <f>'E) Fact soc'!G220/C214</f>
        <v>19.466581630337522</v>
      </c>
      <c r="E214" s="142">
        <f>'H) Péréquation directe'!I225/C214</f>
        <v>-6.8023995405428046</v>
      </c>
      <c r="F214" s="115">
        <f>+'I) Dépenses thématiques'!O214/'K) Plafonnement aide'!C214</f>
        <v>-7.7722457517403161</v>
      </c>
      <c r="G214" s="142">
        <f t="shared" si="13"/>
        <v>4.8919363380544016</v>
      </c>
      <c r="H214" s="115">
        <f t="shared" si="14"/>
        <v>12.664182089794718</v>
      </c>
      <c r="I214" s="142">
        <f t="shared" si="15"/>
        <v>0</v>
      </c>
      <c r="J214" s="58">
        <f t="shared" si="16"/>
        <v>0</v>
      </c>
      <c r="K214" s="37"/>
    </row>
    <row r="215" spans="1:11" x14ac:dyDescent="0.25">
      <c r="A215" s="50">
        <f>'A) Base RI'!A217</f>
        <v>5746</v>
      </c>
      <c r="B215" s="308" t="str">
        <f>'A) Base RI'!B217</f>
        <v>Bavois</v>
      </c>
      <c r="C215" s="99">
        <f>'B) D RI'!U217</f>
        <v>25508.009041095891</v>
      </c>
      <c r="D215" s="115">
        <f>'E) Fact soc'!G221/C215</f>
        <v>18.997145899254967</v>
      </c>
      <c r="E215" s="142">
        <f>'H) Péréquation directe'!I226/C215</f>
        <v>1.8345064700193776</v>
      </c>
      <c r="F215" s="115">
        <f>+'I) Dépenses thématiques'!O215/'K) Plafonnement aide'!C215</f>
        <v>-7.9346525495784919</v>
      </c>
      <c r="G215" s="142">
        <f t="shared" si="13"/>
        <v>12.896999819695854</v>
      </c>
      <c r="H215" s="115">
        <f t="shared" si="14"/>
        <v>20.831652369274344</v>
      </c>
      <c r="I215" s="142">
        <f t="shared" si="15"/>
        <v>0</v>
      </c>
      <c r="J215" s="58">
        <f t="shared" si="16"/>
        <v>0</v>
      </c>
      <c r="K215" s="37"/>
    </row>
    <row r="216" spans="1:11" x14ac:dyDescent="0.25">
      <c r="A216" s="50">
        <f>'A) Base RI'!A218</f>
        <v>5747</v>
      </c>
      <c r="B216" s="308" t="str">
        <f>'A) Base RI'!B218</f>
        <v>Bofflens</v>
      </c>
      <c r="C216" s="99">
        <f>'B) D RI'!U218</f>
        <v>5402.2208695652162</v>
      </c>
      <c r="D216" s="115">
        <f>'E) Fact soc'!G222/C216</f>
        <v>15.869759662561233</v>
      </c>
      <c r="E216" s="142">
        <f>'H) Péréquation directe'!I227/C216</f>
        <v>4.2980244976612259</v>
      </c>
      <c r="F216" s="115">
        <f>+'I) Dépenses thématiques'!O216/'K) Plafonnement aide'!C216</f>
        <v>-1.145394631579864</v>
      </c>
      <c r="G216" s="142">
        <f t="shared" si="13"/>
        <v>19.022389528642595</v>
      </c>
      <c r="H216" s="115">
        <f t="shared" si="14"/>
        <v>20.16778416022246</v>
      </c>
      <c r="I216" s="142">
        <f t="shared" si="15"/>
        <v>0</v>
      </c>
      <c r="J216" s="58">
        <f t="shared" si="16"/>
        <v>0</v>
      </c>
      <c r="K216" s="37"/>
    </row>
    <row r="217" spans="1:11" x14ac:dyDescent="0.25">
      <c r="A217" s="50">
        <f>'A) Base RI'!A219</f>
        <v>5748</v>
      </c>
      <c r="B217" s="308" t="str">
        <f>'A) Base RI'!B219</f>
        <v>Bretonnières</v>
      </c>
      <c r="C217" s="99">
        <f>'B) D RI'!U219</f>
        <v>7661.0479629629635</v>
      </c>
      <c r="D217" s="115">
        <f>'E) Fact soc'!G223/C217</f>
        <v>29.993205870497597</v>
      </c>
      <c r="E217" s="142">
        <f>'H) Péréquation directe'!I228/C217</f>
        <v>4.5121094393936731</v>
      </c>
      <c r="F217" s="115">
        <f>+'I) Dépenses thématiques'!O217/'K) Plafonnement aide'!C217</f>
        <v>-5.6524854604191912</v>
      </c>
      <c r="G217" s="142">
        <f t="shared" si="13"/>
        <v>28.85282984947208</v>
      </c>
      <c r="H217" s="115">
        <f t="shared" si="14"/>
        <v>34.505315309891273</v>
      </c>
      <c r="I217" s="142">
        <f t="shared" si="15"/>
        <v>0</v>
      </c>
      <c r="J217" s="58">
        <f t="shared" si="16"/>
        <v>0</v>
      </c>
      <c r="K217" s="37"/>
    </row>
    <row r="218" spans="1:11" x14ac:dyDescent="0.25">
      <c r="A218" s="50">
        <f>'A) Base RI'!A220</f>
        <v>5749</v>
      </c>
      <c r="B218" s="308" t="str">
        <f>'A) Base RI'!B220</f>
        <v>Chavornay</v>
      </c>
      <c r="C218" s="99">
        <f>'B) D RI'!U220</f>
        <v>134740.63065656566</v>
      </c>
      <c r="D218" s="115">
        <f>'E) Fact soc'!G224/C218</f>
        <v>19.001535422839407</v>
      </c>
      <c r="E218" s="142">
        <f>'H) Péréquation directe'!I229/C218</f>
        <v>-6.3859984282523641</v>
      </c>
      <c r="F218" s="115">
        <f>+'I) Dépenses thématiques'!O218/'K) Plafonnement aide'!C218</f>
        <v>-4.2990780898497709</v>
      </c>
      <c r="G218" s="142">
        <f t="shared" si="13"/>
        <v>8.3164589047372708</v>
      </c>
      <c r="H218" s="115">
        <f t="shared" si="14"/>
        <v>12.615536994587043</v>
      </c>
      <c r="I218" s="142">
        <f t="shared" si="15"/>
        <v>0</v>
      </c>
      <c r="J218" s="58">
        <f t="shared" si="16"/>
        <v>0</v>
      </c>
      <c r="K218" s="37"/>
    </row>
    <row r="219" spans="1:11" x14ac:dyDescent="0.25">
      <c r="A219" s="50">
        <f>'A) Base RI'!A221</f>
        <v>5750</v>
      </c>
      <c r="B219" s="308" t="str">
        <f>'A) Base RI'!B221</f>
        <v>Les Clées</v>
      </c>
      <c r="C219" s="99">
        <f>'B) D RI'!U221</f>
        <v>5020.8349583333338</v>
      </c>
      <c r="D219" s="115">
        <f>'E) Fact soc'!G225/C219</f>
        <v>17.841716403559726</v>
      </c>
      <c r="E219" s="142">
        <f>'H) Péréquation directe'!I230/C219</f>
        <v>-0.49374152205218441</v>
      </c>
      <c r="F219" s="115">
        <f>+'I) Dépenses thématiques'!O219/'K) Plafonnement aide'!C219</f>
        <v>-1.7111676287507251</v>
      </c>
      <c r="G219" s="142">
        <f t="shared" si="13"/>
        <v>15.636807252756817</v>
      </c>
      <c r="H219" s="115">
        <f t="shared" si="14"/>
        <v>17.347974881507543</v>
      </c>
      <c r="I219" s="142">
        <f t="shared" si="15"/>
        <v>0</v>
      </c>
      <c r="J219" s="58">
        <f t="shared" si="16"/>
        <v>0</v>
      </c>
      <c r="K219" s="37"/>
    </row>
    <row r="220" spans="1:11" x14ac:dyDescent="0.25">
      <c r="A220" s="50">
        <f>'A) Base RI'!A222</f>
        <v>5752</v>
      </c>
      <c r="B220" s="308" t="str">
        <f>'A) Base RI'!B222</f>
        <v>Croy</v>
      </c>
      <c r="C220" s="99">
        <f>'B) D RI'!U222</f>
        <v>11140.896486486487</v>
      </c>
      <c r="D220" s="115">
        <f>'E) Fact soc'!G226/C220</f>
        <v>17.805317168494238</v>
      </c>
      <c r="E220" s="142">
        <f>'H) Péréquation directe'!I231/C220</f>
        <v>4.0767517682363357</v>
      </c>
      <c r="F220" s="115">
        <f>+'I) Dépenses thématiques'!O220/'K) Plafonnement aide'!C220</f>
        <v>-8.9251454047428904</v>
      </c>
      <c r="G220" s="142">
        <f t="shared" si="13"/>
        <v>12.956923531987682</v>
      </c>
      <c r="H220" s="115">
        <f t="shared" si="14"/>
        <v>21.882068936730573</v>
      </c>
      <c r="I220" s="142">
        <f t="shared" si="15"/>
        <v>0</v>
      </c>
      <c r="J220" s="58">
        <f t="shared" si="16"/>
        <v>0</v>
      </c>
      <c r="K220" s="37"/>
    </row>
    <row r="221" spans="1:11" x14ac:dyDescent="0.25">
      <c r="A221" s="50">
        <f>'A) Base RI'!A223</f>
        <v>5754</v>
      </c>
      <c r="B221" s="308" t="str">
        <f>'A) Base RI'!B223</f>
        <v>Juriens</v>
      </c>
      <c r="C221" s="99">
        <f>'B) D RI'!U223</f>
        <v>8138.4883785546344</v>
      </c>
      <c r="D221" s="115">
        <f>'E) Fact soc'!G227/C221</f>
        <v>16.335712851042974</v>
      </c>
      <c r="E221" s="142">
        <f>'H) Péréquation directe'!I232/C221</f>
        <v>-2.4863126835230687</v>
      </c>
      <c r="F221" s="115">
        <f>+'I) Dépenses thématiques'!O221/'K) Plafonnement aide'!C221</f>
        <v>-7.1572509212209576</v>
      </c>
      <c r="G221" s="142">
        <f t="shared" si="13"/>
        <v>6.6921492462989471</v>
      </c>
      <c r="H221" s="115">
        <f t="shared" si="14"/>
        <v>13.849400167519905</v>
      </c>
      <c r="I221" s="142">
        <f t="shared" si="15"/>
        <v>0</v>
      </c>
      <c r="J221" s="58">
        <f t="shared" si="16"/>
        <v>0</v>
      </c>
      <c r="K221" s="37"/>
    </row>
    <row r="222" spans="1:11" x14ac:dyDescent="0.25">
      <c r="A222" s="50">
        <f>'A) Base RI'!A224</f>
        <v>5755</v>
      </c>
      <c r="B222" s="308" t="str">
        <f>'A) Base RI'!B224</f>
        <v>Lignerolle</v>
      </c>
      <c r="C222" s="99">
        <f>'B) D RI'!U224</f>
        <v>9320.3381401087972</v>
      </c>
      <c r="D222" s="115">
        <f>'E) Fact soc'!G228/C222</f>
        <v>18.285083935847631</v>
      </c>
      <c r="E222" s="142">
        <f>'H) Péréquation directe'!I233/C222</f>
        <v>-11.57900851653682</v>
      </c>
      <c r="F222" s="115">
        <f>+'I) Dépenses thématiques'!O222/'K) Plafonnement aide'!C222</f>
        <v>-19.243960343285565</v>
      </c>
      <c r="G222" s="142">
        <f t="shared" si="13"/>
        <v>-12.537884923974755</v>
      </c>
      <c r="H222" s="115">
        <f t="shared" si="14"/>
        <v>6.7060754193108103</v>
      </c>
      <c r="I222" s="142">
        <f t="shared" si="15"/>
        <v>0</v>
      </c>
      <c r="J222" s="58">
        <f t="shared" si="16"/>
        <v>0</v>
      </c>
      <c r="K222" s="37"/>
    </row>
    <row r="223" spans="1:11" x14ac:dyDescent="0.25">
      <c r="A223" s="50">
        <f>'A) Base RI'!A225</f>
        <v>5756</v>
      </c>
      <c r="B223" s="308" t="str">
        <f>'A) Base RI'!B225</f>
        <v>Montcherand</v>
      </c>
      <c r="C223" s="99">
        <f>'B) D RI'!U225</f>
        <v>18436.632028742581</v>
      </c>
      <c r="D223" s="115">
        <f>'E) Fact soc'!G229/C223</f>
        <v>17.077203874124258</v>
      </c>
      <c r="E223" s="142">
        <f>'H) Péréquation directe'!I234/C223</f>
        <v>13.023404515847217</v>
      </c>
      <c r="F223" s="115">
        <f>+'I) Dépenses thématiques'!O223/'K) Plafonnement aide'!C223</f>
        <v>-2.2382454541161079</v>
      </c>
      <c r="G223" s="142">
        <f t="shared" si="13"/>
        <v>27.862362935855369</v>
      </c>
      <c r="H223" s="115">
        <f t="shared" si="14"/>
        <v>30.100608389971477</v>
      </c>
      <c r="I223" s="142">
        <f t="shared" si="15"/>
        <v>0</v>
      </c>
      <c r="J223" s="58">
        <f t="shared" si="16"/>
        <v>0</v>
      </c>
      <c r="K223" s="37"/>
    </row>
    <row r="224" spans="1:11" x14ac:dyDescent="0.25">
      <c r="A224" s="50">
        <f>'A) Base RI'!A226</f>
        <v>5757</v>
      </c>
      <c r="B224" s="308" t="str">
        <f>'A) Base RI'!B226</f>
        <v>Orbe</v>
      </c>
      <c r="C224" s="99">
        <f>'B) D RI'!U226</f>
        <v>195350.61852415255</v>
      </c>
      <c r="D224" s="115">
        <f>'E) Fact soc'!G230/C224</f>
        <v>22.06649864608401</v>
      </c>
      <c r="E224" s="142">
        <f>'H) Péréquation directe'!I235/C224</f>
        <v>-9.7996662575082958</v>
      </c>
      <c r="F224" s="115">
        <f>+'I) Dépenses thématiques'!O224/'K) Plafonnement aide'!C224</f>
        <v>-8.5495623278438249</v>
      </c>
      <c r="G224" s="142">
        <f t="shared" si="13"/>
        <v>3.7172700607318898</v>
      </c>
      <c r="H224" s="115">
        <f t="shared" si="14"/>
        <v>12.266832388575715</v>
      </c>
      <c r="I224" s="142">
        <f t="shared" si="15"/>
        <v>0</v>
      </c>
      <c r="J224" s="58">
        <f t="shared" si="16"/>
        <v>0</v>
      </c>
      <c r="K224" s="37"/>
    </row>
    <row r="225" spans="1:11" x14ac:dyDescent="0.25">
      <c r="A225" s="50">
        <f>'A) Base RI'!A227</f>
        <v>5758</v>
      </c>
      <c r="B225" s="308" t="str">
        <f>'A) Base RI'!B227</f>
        <v>La Praz</v>
      </c>
      <c r="C225" s="99">
        <f>'B) D RI'!U227</f>
        <v>3217.0835405215335</v>
      </c>
      <c r="D225" s="115">
        <f>'E) Fact soc'!G231/C225</f>
        <v>23.97735437100452</v>
      </c>
      <c r="E225" s="142">
        <f>'H) Péréquation directe'!I236/C225</f>
        <v>-20.379401760950874</v>
      </c>
      <c r="F225" s="115">
        <f>+'I) Dépenses thématiques'!O225/'K) Plafonnement aide'!C225</f>
        <v>-6.273616616620064</v>
      </c>
      <c r="G225" s="142">
        <f t="shared" si="13"/>
        <v>-2.6756640065664179</v>
      </c>
      <c r="H225" s="115">
        <f t="shared" si="14"/>
        <v>3.5979526100536461</v>
      </c>
      <c r="I225" s="142">
        <f t="shared" si="15"/>
        <v>0</v>
      </c>
      <c r="J225" s="58">
        <f t="shared" si="16"/>
        <v>0</v>
      </c>
      <c r="K225" s="37"/>
    </row>
    <row r="226" spans="1:11" x14ac:dyDescent="0.25">
      <c r="A226" s="50">
        <f>'A) Base RI'!A228</f>
        <v>5759</v>
      </c>
      <c r="B226" s="308" t="str">
        <f>'A) Base RI'!B228</f>
        <v>Premier</v>
      </c>
      <c r="C226" s="99">
        <f>'B) D RI'!U228</f>
        <v>4730.0976887452725</v>
      </c>
      <c r="D226" s="115">
        <f>'E) Fact soc'!G232/C226</f>
        <v>19.900913145685749</v>
      </c>
      <c r="E226" s="142">
        <f>'H) Péréquation directe'!I237/C226</f>
        <v>-11.785585797336228</v>
      </c>
      <c r="F226" s="115">
        <f>+'I) Dépenses thématiques'!O226/'K) Plafonnement aide'!C226</f>
        <v>-6.5718178875953095</v>
      </c>
      <c r="G226" s="142">
        <f t="shared" si="13"/>
        <v>1.543509460754211</v>
      </c>
      <c r="H226" s="115">
        <f t="shared" si="14"/>
        <v>8.1153273483495205</v>
      </c>
      <c r="I226" s="142">
        <f t="shared" si="15"/>
        <v>0</v>
      </c>
      <c r="J226" s="58">
        <f t="shared" si="16"/>
        <v>0</v>
      </c>
      <c r="K226" s="37"/>
    </row>
    <row r="227" spans="1:11" x14ac:dyDescent="0.25">
      <c r="A227" s="50">
        <f>'A) Base RI'!A229</f>
        <v>5760</v>
      </c>
      <c r="B227" s="308" t="str">
        <f>'A) Base RI'!B229</f>
        <v>Rances</v>
      </c>
      <c r="C227" s="99">
        <f>'B) D RI'!U229</f>
        <v>10427.733324716695</v>
      </c>
      <c r="D227" s="115">
        <f>'E) Fact soc'!G233/C227</f>
        <v>18.005621395473383</v>
      </c>
      <c r="E227" s="142">
        <f>'H) Péréquation directe'!I238/C227</f>
        <v>-12.448566872217784</v>
      </c>
      <c r="F227" s="115">
        <f>+'I) Dépenses thématiques'!O227/'K) Plafonnement aide'!C227</f>
        <v>-24.613719210654583</v>
      </c>
      <c r="G227" s="142">
        <f t="shared" si="13"/>
        <v>-19.056664687398985</v>
      </c>
      <c r="H227" s="115">
        <f t="shared" si="14"/>
        <v>5.5570545232555979</v>
      </c>
      <c r="I227" s="142">
        <f t="shared" si="15"/>
        <v>0</v>
      </c>
      <c r="J227" s="58">
        <f t="shared" si="16"/>
        <v>0</v>
      </c>
      <c r="K227" s="37"/>
    </row>
    <row r="228" spans="1:11" x14ac:dyDescent="0.25">
      <c r="A228" s="50">
        <f>'A) Base RI'!A230</f>
        <v>5761</v>
      </c>
      <c r="B228" s="308" t="str">
        <f>'A) Base RI'!B230</f>
        <v>Romainmôtier-Envy</v>
      </c>
      <c r="C228" s="99">
        <f>'B) D RI'!U230</f>
        <v>12825.466828901401</v>
      </c>
      <c r="D228" s="115">
        <f>'E) Fact soc'!G234/C228</f>
        <v>20.312913718607021</v>
      </c>
      <c r="E228" s="142">
        <f>'H) Péréquation directe'!I239/C228</f>
        <v>-9.9135009408312573</v>
      </c>
      <c r="F228" s="115">
        <f>+'I) Dépenses thématiques'!O228/'K) Plafonnement aide'!C228</f>
        <v>-6.2207559357704616</v>
      </c>
      <c r="G228" s="142">
        <f t="shared" si="13"/>
        <v>4.1786568420053021</v>
      </c>
      <c r="H228" s="115">
        <f t="shared" si="14"/>
        <v>10.399412777775764</v>
      </c>
      <c r="I228" s="142">
        <f t="shared" si="15"/>
        <v>0</v>
      </c>
      <c r="J228" s="58">
        <f t="shared" si="16"/>
        <v>0</v>
      </c>
      <c r="K228" s="37"/>
    </row>
    <row r="229" spans="1:11" x14ac:dyDescent="0.25">
      <c r="A229" s="50">
        <f>'A) Base RI'!A231</f>
        <v>5762</v>
      </c>
      <c r="B229" s="308" t="str">
        <f>'A) Base RI'!B231</f>
        <v>Sergey</v>
      </c>
      <c r="C229" s="99">
        <f>'B) D RI'!U231</f>
        <v>3985.6390801086227</v>
      </c>
      <c r="D229" s="115">
        <f>'E) Fact soc'!G235/C229</f>
        <v>16.578940660945591</v>
      </c>
      <c r="E229" s="142">
        <f>'H) Péréquation directe'!I240/C229</f>
        <v>2.3417548624552</v>
      </c>
      <c r="F229" s="115">
        <f>+'I) Dépenses thématiques'!O229/'K) Plafonnement aide'!C229</f>
        <v>-0.42797921628971097</v>
      </c>
      <c r="G229" s="142">
        <f t="shared" si="13"/>
        <v>18.492716307111081</v>
      </c>
      <c r="H229" s="115">
        <f t="shared" si="14"/>
        <v>18.920695523400791</v>
      </c>
      <c r="I229" s="142">
        <f t="shared" si="15"/>
        <v>0</v>
      </c>
      <c r="J229" s="58">
        <f t="shared" si="16"/>
        <v>0</v>
      </c>
      <c r="K229" s="37"/>
    </row>
    <row r="230" spans="1:11" x14ac:dyDescent="0.25">
      <c r="A230" s="50">
        <f>'A) Base RI'!A232</f>
        <v>5763</v>
      </c>
      <c r="B230" s="308" t="str">
        <f>'A) Base RI'!B232</f>
        <v>Valeyres-sous-Rances</v>
      </c>
      <c r="C230" s="99">
        <f>'B) D RI'!U232</f>
        <v>20114.818063776223</v>
      </c>
      <c r="D230" s="115">
        <f>'E) Fact soc'!G236/C230</f>
        <v>17.684544224218683</v>
      </c>
      <c r="E230" s="142">
        <f>'H) Péréquation directe'!I241/C230</f>
        <v>9.0990881925172253</v>
      </c>
      <c r="F230" s="115">
        <f>+'I) Dépenses thématiques'!O230/'K) Plafonnement aide'!C230</f>
        <v>-6.0086165177484396</v>
      </c>
      <c r="G230" s="142">
        <f t="shared" si="13"/>
        <v>20.775015898987469</v>
      </c>
      <c r="H230" s="115">
        <f t="shared" si="14"/>
        <v>26.783632416735909</v>
      </c>
      <c r="I230" s="142">
        <f t="shared" si="15"/>
        <v>0</v>
      </c>
      <c r="J230" s="58">
        <f t="shared" si="16"/>
        <v>0</v>
      </c>
      <c r="K230" s="37"/>
    </row>
    <row r="231" spans="1:11" x14ac:dyDescent="0.25">
      <c r="A231" s="50">
        <f>'A) Base RI'!A233</f>
        <v>5764</v>
      </c>
      <c r="B231" s="308" t="str">
        <f>'A) Base RI'!B233</f>
        <v>Vallorbe</v>
      </c>
      <c r="C231" s="99">
        <f>'B) D RI'!U233</f>
        <v>81234.457849579077</v>
      </c>
      <c r="D231" s="115">
        <f>'E) Fact soc'!G237/C231</f>
        <v>25.392561009510356</v>
      </c>
      <c r="E231" s="142">
        <f>'H) Péréquation directe'!I242/C231</f>
        <v>-19.456186780248132</v>
      </c>
      <c r="F231" s="115">
        <f>+'I) Dépenses thématiques'!O231/'K) Plafonnement aide'!C231</f>
        <v>-25.967917006616322</v>
      </c>
      <c r="G231" s="142">
        <f t="shared" si="13"/>
        <v>-20.031542777354097</v>
      </c>
      <c r="H231" s="115">
        <f t="shared" si="14"/>
        <v>5.9363742292622241</v>
      </c>
      <c r="I231" s="142">
        <f t="shared" si="15"/>
        <v>0</v>
      </c>
      <c r="J231" s="58">
        <f t="shared" si="16"/>
        <v>0</v>
      </c>
      <c r="K231" s="37"/>
    </row>
    <row r="232" spans="1:11" x14ac:dyDescent="0.25">
      <c r="A232" s="50">
        <f>'A) Base RI'!A234</f>
        <v>5765</v>
      </c>
      <c r="B232" s="308" t="str">
        <f>'A) Base RI'!B234</f>
        <v>Vaulion</v>
      </c>
      <c r="C232" s="99">
        <f>'B) D RI'!U234</f>
        <v>9570.1875488405149</v>
      </c>
      <c r="D232" s="115">
        <f>'E) Fact soc'!G238/C232</f>
        <v>18.286874806485674</v>
      </c>
      <c r="E232" s="142">
        <f>'H) Péréquation directe'!I243/C232</f>
        <v>-19.570826388545949</v>
      </c>
      <c r="F232" s="115">
        <f>+'I) Dépenses thématiques'!O232/'K) Plafonnement aide'!C232</f>
        <v>-18.240732812647586</v>
      </c>
      <c r="G232" s="142">
        <f t="shared" si="13"/>
        <v>-19.524684394707862</v>
      </c>
      <c r="H232" s="115">
        <f t="shared" si="14"/>
        <v>-1.2839515820602756</v>
      </c>
      <c r="I232" s="142">
        <f t="shared" si="15"/>
        <v>0</v>
      </c>
      <c r="J232" s="58">
        <f t="shared" si="16"/>
        <v>0</v>
      </c>
      <c r="K232" s="37"/>
    </row>
    <row r="233" spans="1:11" x14ac:dyDescent="0.25">
      <c r="A233" s="50">
        <f>'A) Base RI'!A235</f>
        <v>5766</v>
      </c>
      <c r="B233" s="308" t="str">
        <f>'A) Base RI'!B235</f>
        <v>Vuiteboeuf</v>
      </c>
      <c r="C233" s="99">
        <f>'B) D RI'!U235</f>
        <v>12893.801548266167</v>
      </c>
      <c r="D233" s="115">
        <f>'E) Fact soc'!G239/C233</f>
        <v>19.32102686802973</v>
      </c>
      <c r="E233" s="142">
        <f>'H) Péréquation directe'!I244/C233</f>
        <v>-9.3947572480636161</v>
      </c>
      <c r="F233" s="115">
        <f>+'I) Dépenses thématiques'!O233/'K) Plafonnement aide'!C233</f>
        <v>-7.0343559430228533</v>
      </c>
      <c r="G233" s="142">
        <f t="shared" si="13"/>
        <v>2.8919136769432603</v>
      </c>
      <c r="H233" s="115">
        <f t="shared" si="14"/>
        <v>9.9262696199661136</v>
      </c>
      <c r="I233" s="142">
        <f t="shared" si="15"/>
        <v>0</v>
      </c>
      <c r="J233" s="58">
        <f t="shared" si="16"/>
        <v>0</v>
      </c>
      <c r="K233" s="37"/>
    </row>
    <row r="234" spans="1:11" x14ac:dyDescent="0.25">
      <c r="A234" s="50">
        <f>'A) Base RI'!A236</f>
        <v>5785</v>
      </c>
      <c r="B234" s="308" t="str">
        <f>'A) Base RI'!B236</f>
        <v>Corcelles-le-Jorat</v>
      </c>
      <c r="C234" s="99">
        <f>'B) D RI'!U236</f>
        <v>15470.207510777882</v>
      </c>
      <c r="D234" s="115">
        <f>'E) Fact soc'!G240/C234</f>
        <v>18.082939456497108</v>
      </c>
      <c r="E234" s="142">
        <f>'H) Péréquation directe'!I245/C234</f>
        <v>8.2072441104580989</v>
      </c>
      <c r="F234" s="115">
        <f>+'I) Dépenses thématiques'!O234/'K) Plafonnement aide'!C234</f>
        <v>-0.27887505273132412</v>
      </c>
      <c r="G234" s="142">
        <f t="shared" si="13"/>
        <v>26.011308514223884</v>
      </c>
      <c r="H234" s="115">
        <f t="shared" si="14"/>
        <v>26.290183566955207</v>
      </c>
      <c r="I234" s="142">
        <f t="shared" si="15"/>
        <v>0</v>
      </c>
      <c r="J234" s="58">
        <f t="shared" si="16"/>
        <v>0</v>
      </c>
      <c r="K234" s="37"/>
    </row>
    <row r="235" spans="1:11" x14ac:dyDescent="0.25">
      <c r="A235" s="50">
        <f>'A) Base RI'!A237</f>
        <v>5788</v>
      </c>
      <c r="B235" s="308" t="str">
        <f>'A) Base RI'!B237</f>
        <v>Essertes</v>
      </c>
      <c r="C235" s="99">
        <f>'B) D RI'!U237</f>
        <v>11538.273586899442</v>
      </c>
      <c r="D235" s="115">
        <f>'E) Fact soc'!G241/C235</f>
        <v>21.133928464303125</v>
      </c>
      <c r="E235" s="142">
        <f>'H) Péréquation directe'!I246/C235</f>
        <v>8.9623137247473306</v>
      </c>
      <c r="F235" s="115">
        <f>+'I) Dépenses thématiques'!O235/'K) Plafonnement aide'!C235</f>
        <v>-1.380545222700323</v>
      </c>
      <c r="G235" s="142">
        <f t="shared" si="13"/>
        <v>28.715696966350134</v>
      </c>
      <c r="H235" s="115">
        <f t="shared" si="14"/>
        <v>30.096242189050457</v>
      </c>
      <c r="I235" s="142">
        <f t="shared" si="15"/>
        <v>0</v>
      </c>
      <c r="J235" s="58">
        <f t="shared" si="16"/>
        <v>0</v>
      </c>
      <c r="K235" s="37"/>
    </row>
    <row r="236" spans="1:11" x14ac:dyDescent="0.25">
      <c r="A236" s="50">
        <f>'A) Base RI'!A238</f>
        <v>5790</v>
      </c>
      <c r="B236" s="308" t="str">
        <f>'A) Base RI'!B238</f>
        <v>Maracon</v>
      </c>
      <c r="C236" s="99">
        <f>'B) D RI'!U238</f>
        <v>12104.202592846941</v>
      </c>
      <c r="D236" s="115">
        <f>'E) Fact soc'!G242/C236</f>
        <v>20.377548051244929</v>
      </c>
      <c r="E236" s="142">
        <f>'H) Péréquation directe'!I247/C236</f>
        <v>-2.8343633621312669</v>
      </c>
      <c r="F236" s="115">
        <f>+'I) Dépenses thématiques'!O236/'K) Plafonnement aide'!C236</f>
        <v>-9.7005385974212679</v>
      </c>
      <c r="G236" s="142">
        <f t="shared" si="13"/>
        <v>7.8426460916923944</v>
      </c>
      <c r="H236" s="115">
        <f t="shared" si="14"/>
        <v>17.543184689113662</v>
      </c>
      <c r="I236" s="142">
        <f t="shared" si="15"/>
        <v>0</v>
      </c>
      <c r="J236" s="58">
        <f t="shared" si="16"/>
        <v>0</v>
      </c>
      <c r="K236" s="37"/>
    </row>
    <row r="237" spans="1:11" x14ac:dyDescent="0.25">
      <c r="A237" s="50">
        <f>'A) Base RI'!A239</f>
        <v>5792</v>
      </c>
      <c r="B237" s="308" t="str">
        <f>'A) Base RI'!B239</f>
        <v>Montpreveyres</v>
      </c>
      <c r="C237" s="99">
        <f>'B) D RI'!U239</f>
        <v>17389.927760878301</v>
      </c>
      <c r="D237" s="115">
        <f>'E) Fact soc'!G243/C237</f>
        <v>19.291601471558337</v>
      </c>
      <c r="E237" s="142">
        <f>'H) Péréquation directe'!I248/C237</f>
        <v>-0.7567702386030587</v>
      </c>
      <c r="F237" s="115">
        <f>+'I) Dépenses thématiques'!O237/'K) Plafonnement aide'!C237</f>
        <v>-5.5261117099589727</v>
      </c>
      <c r="G237" s="142">
        <f t="shared" si="13"/>
        <v>13.008719522996305</v>
      </c>
      <c r="H237" s="115">
        <f t="shared" si="14"/>
        <v>18.534831232955277</v>
      </c>
      <c r="I237" s="142">
        <f t="shared" si="15"/>
        <v>0</v>
      </c>
      <c r="J237" s="58">
        <f t="shared" si="16"/>
        <v>0</v>
      </c>
      <c r="K237" s="37"/>
    </row>
    <row r="238" spans="1:11" x14ac:dyDescent="0.25">
      <c r="A238" s="50">
        <f>'A) Base RI'!A240</f>
        <v>5798</v>
      </c>
      <c r="B238" s="308" t="str">
        <f>'A) Base RI'!B240</f>
        <v>Ropraz</v>
      </c>
      <c r="C238" s="99">
        <f>'B) D RI'!U240</f>
        <v>13992.205782654681</v>
      </c>
      <c r="D238" s="115">
        <f>'E) Fact soc'!G244/C238</f>
        <v>19.5708972343832</v>
      </c>
      <c r="E238" s="142">
        <f>'H) Péréquation directe'!I249/C238</f>
        <v>5.178684835917152</v>
      </c>
      <c r="F238" s="115">
        <f>+'I) Dépenses thématiques'!O238/'K) Plafonnement aide'!C238</f>
        <v>-6.0238794566305636</v>
      </c>
      <c r="G238" s="142">
        <f t="shared" si="13"/>
        <v>18.725702613669789</v>
      </c>
      <c r="H238" s="115">
        <f t="shared" si="14"/>
        <v>24.749582070300352</v>
      </c>
      <c r="I238" s="142">
        <f t="shared" si="15"/>
        <v>0</v>
      </c>
      <c r="J238" s="58">
        <f t="shared" si="16"/>
        <v>0</v>
      </c>
      <c r="K238" s="37"/>
    </row>
    <row r="239" spans="1:11" x14ac:dyDescent="0.25">
      <c r="A239" s="50">
        <f>'A) Base RI'!A241</f>
        <v>5799</v>
      </c>
      <c r="B239" s="308" t="str">
        <f>'A) Base RI'!B241</f>
        <v>Servion</v>
      </c>
      <c r="C239" s="99">
        <f>'B) D RI'!U241</f>
        <v>65260.062669214836</v>
      </c>
      <c r="D239" s="115">
        <f>'E) Fact soc'!G245/C239</f>
        <v>17.670369432908586</v>
      </c>
      <c r="E239" s="142">
        <f>'H) Péréquation directe'!I250/C239</f>
        <v>7.2783778483036086</v>
      </c>
      <c r="F239" s="115">
        <f>+'I) Dépenses thématiques'!O239/'K) Plafonnement aide'!C239</f>
        <v>-3.0661650602291464</v>
      </c>
      <c r="G239" s="142">
        <f t="shared" si="13"/>
        <v>21.88258222098305</v>
      </c>
      <c r="H239" s="115">
        <f t="shared" si="14"/>
        <v>24.948747281212196</v>
      </c>
      <c r="I239" s="142">
        <f t="shared" si="15"/>
        <v>0</v>
      </c>
      <c r="J239" s="58">
        <f t="shared" si="16"/>
        <v>0</v>
      </c>
      <c r="K239" s="37"/>
    </row>
    <row r="240" spans="1:11" x14ac:dyDescent="0.25">
      <c r="A240" s="50">
        <f>'A) Base RI'!A242</f>
        <v>5803</v>
      </c>
      <c r="B240" s="308" t="str">
        <f>'A) Base RI'!B242</f>
        <v>Vulliens</v>
      </c>
      <c r="C240" s="99">
        <f>'B) D RI'!U242</f>
        <v>15516.870988563373</v>
      </c>
      <c r="D240" s="115">
        <f>'E) Fact soc'!G246/C240</f>
        <v>18.631953690883076</v>
      </c>
      <c r="E240" s="142">
        <f>'H) Péréquation directe'!I251/C240</f>
        <v>3.7842406637553845</v>
      </c>
      <c r="F240" s="115">
        <f>+'I) Dépenses thématiques'!O240/'K) Plafonnement aide'!C240</f>
        <v>-1.1615276096516962</v>
      </c>
      <c r="G240" s="142">
        <f t="shared" si="13"/>
        <v>21.254666744986764</v>
      </c>
      <c r="H240" s="115">
        <f t="shared" si="14"/>
        <v>22.41619435463846</v>
      </c>
      <c r="I240" s="142">
        <f t="shared" si="15"/>
        <v>0</v>
      </c>
      <c r="J240" s="58">
        <f t="shared" si="16"/>
        <v>0</v>
      </c>
      <c r="K240" s="37"/>
    </row>
    <row r="241" spans="1:11" x14ac:dyDescent="0.25">
      <c r="A241" s="50">
        <f>'A) Base RI'!A243</f>
        <v>5804</v>
      </c>
      <c r="B241" s="308" t="str">
        <f>'A) Base RI'!B243</f>
        <v>Jorat-Menthue</v>
      </c>
      <c r="C241" s="99">
        <f>'B) D RI'!U243</f>
        <v>47010.590890855121</v>
      </c>
      <c r="D241" s="115">
        <f>'E) Fact soc'!G247/C241</f>
        <v>18.368004378601018</v>
      </c>
      <c r="E241" s="142">
        <f>'H) Péréquation directe'!I252/C241</f>
        <v>3.6983454339628632</v>
      </c>
      <c r="F241" s="115">
        <f>+'I) Dépenses thématiques'!O241/'K) Plafonnement aide'!C241</f>
        <v>-12.78115207872467</v>
      </c>
      <c r="G241" s="142">
        <f t="shared" si="13"/>
        <v>9.2851977338392118</v>
      </c>
      <c r="H241" s="115">
        <f t="shared" si="14"/>
        <v>22.066349812563882</v>
      </c>
      <c r="I241" s="142">
        <f t="shared" si="15"/>
        <v>0</v>
      </c>
      <c r="J241" s="58">
        <f t="shared" si="16"/>
        <v>0</v>
      </c>
      <c r="K241" s="37"/>
    </row>
    <row r="242" spans="1:11" x14ac:dyDescent="0.25">
      <c r="A242" s="50">
        <f>'A) Base RI'!A244</f>
        <v>5805</v>
      </c>
      <c r="B242" s="308" t="str">
        <f>'A) Base RI'!B244</f>
        <v>Oron</v>
      </c>
      <c r="C242" s="99">
        <f>'B) D RI'!U244</f>
        <v>145333.30890614819</v>
      </c>
      <c r="D242" s="115">
        <f>'E) Fact soc'!G248/C242</f>
        <v>18.856403250791548</v>
      </c>
      <c r="E242" s="142">
        <f>'H) Péréquation directe'!I253/C242</f>
        <v>-7.5441342982044555</v>
      </c>
      <c r="F242" s="115">
        <f>+'I) Dépenses thématiques'!O242/'K) Plafonnement aide'!C242</f>
        <v>-7.195601988518896</v>
      </c>
      <c r="G242" s="142">
        <f t="shared" si="13"/>
        <v>4.1166669640681972</v>
      </c>
      <c r="H242" s="115">
        <f t="shared" si="14"/>
        <v>11.312268952587093</v>
      </c>
      <c r="I242" s="142">
        <f t="shared" si="15"/>
        <v>0</v>
      </c>
      <c r="J242" s="58">
        <f t="shared" si="16"/>
        <v>0</v>
      </c>
      <c r="K242" s="37"/>
    </row>
    <row r="243" spans="1:11" x14ac:dyDescent="0.25">
      <c r="A243" s="50">
        <f>'A) Base RI'!A245</f>
        <v>5806</v>
      </c>
      <c r="B243" s="308" t="str">
        <f>'A) Base RI'!B245</f>
        <v>Jorat-Mézières</v>
      </c>
      <c r="C243" s="99">
        <f>'B) D RI'!U245</f>
        <v>85087.623552631558</v>
      </c>
      <c r="D243" s="115">
        <f>'E) Fact soc'!G249/C243</f>
        <v>18.697293649522418</v>
      </c>
      <c r="E243" s="142">
        <f>'H) Péréquation directe'!I254/C243</f>
        <v>-0.78966887844459033</v>
      </c>
      <c r="F243" s="115">
        <f>+'I) Dépenses thématiques'!O243/'K) Plafonnement aide'!C243</f>
        <v>-4.2445950845108635</v>
      </c>
      <c r="G243" s="142">
        <f t="shared" si="13"/>
        <v>13.663029686566965</v>
      </c>
      <c r="H243" s="115">
        <f t="shared" si="14"/>
        <v>17.907624771077828</v>
      </c>
      <c r="I243" s="142">
        <f t="shared" si="15"/>
        <v>0</v>
      </c>
      <c r="J243" s="58">
        <f t="shared" si="16"/>
        <v>0</v>
      </c>
      <c r="K243" s="37"/>
    </row>
    <row r="244" spans="1:11" x14ac:dyDescent="0.25">
      <c r="A244" s="50">
        <f>'A) Base RI'!A246</f>
        <v>5812</v>
      </c>
      <c r="B244" s="308" t="str">
        <f>'A) Base RI'!B246</f>
        <v>Champtauroz</v>
      </c>
      <c r="C244" s="99">
        <f>'B) D RI'!U246</f>
        <v>2414.7620603829159</v>
      </c>
      <c r="D244" s="115">
        <f>'E) Fact soc'!G250/C244</f>
        <v>21.441281549131237</v>
      </c>
      <c r="E244" s="142">
        <f>'H) Péréquation directe'!I255/C244</f>
        <v>-19.503508413923573</v>
      </c>
      <c r="F244" s="115">
        <f>+'I) Dépenses thématiques'!O244/'K) Plafonnement aide'!C244</f>
        <v>-16.036406537824565</v>
      </c>
      <c r="G244" s="142">
        <f t="shared" si="13"/>
        <v>-14.098633402616901</v>
      </c>
      <c r="H244" s="115">
        <f t="shared" si="14"/>
        <v>1.9377731352076637</v>
      </c>
      <c r="I244" s="142">
        <f t="shared" si="15"/>
        <v>0</v>
      </c>
      <c r="J244" s="58">
        <f t="shared" si="16"/>
        <v>0</v>
      </c>
      <c r="K244" s="37"/>
    </row>
    <row r="245" spans="1:11" x14ac:dyDescent="0.25">
      <c r="A245" s="50">
        <f>'A) Base RI'!A247</f>
        <v>5813</v>
      </c>
      <c r="B245" s="308" t="str">
        <f>'A) Base RI'!B247</f>
        <v>Chevroux</v>
      </c>
      <c r="C245" s="99">
        <f>'B) D RI'!U247</f>
        <v>13113.471464382501</v>
      </c>
      <c r="D245" s="115">
        <f>'E) Fact soc'!G251/C245</f>
        <v>21.717962824338059</v>
      </c>
      <c r="E245" s="142">
        <f>'H) Péréquation directe'!I256/C245</f>
        <v>3.4788760894105102</v>
      </c>
      <c r="F245" s="115">
        <f>+'I) Dépenses thématiques'!O245/'K) Plafonnement aide'!C245</f>
        <v>-1.3830564441281628</v>
      </c>
      <c r="G245" s="142">
        <f t="shared" si="13"/>
        <v>23.813782469620406</v>
      </c>
      <c r="H245" s="115">
        <f t="shared" si="14"/>
        <v>25.196838913748568</v>
      </c>
      <c r="I245" s="142">
        <f t="shared" si="15"/>
        <v>0</v>
      </c>
      <c r="J245" s="58">
        <f t="shared" si="16"/>
        <v>0</v>
      </c>
      <c r="K245" s="37"/>
    </row>
    <row r="246" spans="1:11" x14ac:dyDescent="0.25">
      <c r="A246" s="50">
        <f>'A) Base RI'!A248</f>
        <v>5816</v>
      </c>
      <c r="B246" s="308" t="str">
        <f>'A) Base RI'!B248</f>
        <v>Corcelles-près-Payerne</v>
      </c>
      <c r="C246" s="99">
        <f>'B) D RI'!U248</f>
        <v>56475.749877973358</v>
      </c>
      <c r="D246" s="115">
        <f>'E) Fact soc'!G252/C246</f>
        <v>18.585294836852661</v>
      </c>
      <c r="E246" s="142">
        <f>'H) Péréquation directe'!I257/C246</f>
        <v>-10.851865669988859</v>
      </c>
      <c r="F246" s="115">
        <f>+'I) Dépenses thématiques'!O246/'K) Plafonnement aide'!C246</f>
        <v>-5.481640374870028</v>
      </c>
      <c r="G246" s="142">
        <f t="shared" si="13"/>
        <v>2.251788791993774</v>
      </c>
      <c r="H246" s="115">
        <f t="shared" si="14"/>
        <v>7.733429166863802</v>
      </c>
      <c r="I246" s="142">
        <f t="shared" si="15"/>
        <v>0</v>
      </c>
      <c r="J246" s="58">
        <f t="shared" si="16"/>
        <v>0</v>
      </c>
      <c r="K246" s="37"/>
    </row>
    <row r="247" spans="1:11" x14ac:dyDescent="0.25">
      <c r="A247" s="50">
        <f>'A) Base RI'!A249</f>
        <v>5817</v>
      </c>
      <c r="B247" s="308" t="str">
        <f>'A) Base RI'!B249</f>
        <v>Grandcour</v>
      </c>
      <c r="C247" s="99">
        <f>'B) D RI'!U249</f>
        <v>22082.516537974258</v>
      </c>
      <c r="D247" s="115">
        <f>'E) Fact soc'!G253/C247</f>
        <v>18.640278232654591</v>
      </c>
      <c r="E247" s="142">
        <f>'H) Péréquation directe'!I258/C247</f>
        <v>-5.6579905215877888</v>
      </c>
      <c r="F247" s="115">
        <f>+'I) Dépenses thématiques'!O247/'K) Plafonnement aide'!C247</f>
        <v>-5.2577346956364863</v>
      </c>
      <c r="G247" s="142">
        <f t="shared" si="13"/>
        <v>7.7245530154303168</v>
      </c>
      <c r="H247" s="115">
        <f t="shared" si="14"/>
        <v>12.982287711066803</v>
      </c>
      <c r="I247" s="142">
        <f t="shared" si="15"/>
        <v>0</v>
      </c>
      <c r="J247" s="58">
        <f t="shared" si="16"/>
        <v>0</v>
      </c>
      <c r="K247" s="37"/>
    </row>
    <row r="248" spans="1:11" x14ac:dyDescent="0.25">
      <c r="A248" s="50">
        <f>'A) Base RI'!A250</f>
        <v>5819</v>
      </c>
      <c r="B248" s="308" t="str">
        <f>'A) Base RI'!B250</f>
        <v>Henniez</v>
      </c>
      <c r="C248" s="99">
        <f>'B) D RI'!U250</f>
        <v>13743.862603576948</v>
      </c>
      <c r="D248" s="115">
        <f>'E) Fact soc'!G254/C248</f>
        <v>18.338026206990566</v>
      </c>
      <c r="E248" s="142">
        <f>'H) Péréquation directe'!I259/C248</f>
        <v>13.352646092849016</v>
      </c>
      <c r="F248" s="115">
        <f>+'I) Dépenses thématiques'!O248/'K) Plafonnement aide'!C248</f>
        <v>-4.0000272095437293</v>
      </c>
      <c r="G248" s="142">
        <f t="shared" si="13"/>
        <v>27.690645090295853</v>
      </c>
      <c r="H248" s="115">
        <f t="shared" si="14"/>
        <v>31.690672299839584</v>
      </c>
      <c r="I248" s="142">
        <f t="shared" si="15"/>
        <v>0</v>
      </c>
      <c r="J248" s="58">
        <f t="shared" si="16"/>
        <v>0</v>
      </c>
      <c r="K248" s="37"/>
    </row>
    <row r="249" spans="1:11" x14ac:dyDescent="0.25">
      <c r="A249" s="50">
        <f>'A) Base RI'!A251</f>
        <v>5821</v>
      </c>
      <c r="B249" s="308" t="str">
        <f>'A) Base RI'!B251</f>
        <v>Missy</v>
      </c>
      <c r="C249" s="99">
        <f>'B) D RI'!U251</f>
        <v>7638.0636098287778</v>
      </c>
      <c r="D249" s="115">
        <f>'E) Fact soc'!G255/C249</f>
        <v>16.650261140112057</v>
      </c>
      <c r="E249" s="142">
        <f>'H) Péréquation directe'!I260/C249</f>
        <v>-8.04662284111477</v>
      </c>
      <c r="F249" s="115">
        <f>+'I) Dépenses thématiques'!O249/'K) Plafonnement aide'!C249</f>
        <v>-2.3286816200560625</v>
      </c>
      <c r="G249" s="142">
        <f t="shared" si="13"/>
        <v>6.2749566789412246</v>
      </c>
      <c r="H249" s="115">
        <f t="shared" si="14"/>
        <v>8.6036382989972875</v>
      </c>
      <c r="I249" s="142">
        <f t="shared" si="15"/>
        <v>0</v>
      </c>
      <c r="J249" s="58">
        <f t="shared" si="16"/>
        <v>0</v>
      </c>
      <c r="K249" s="37"/>
    </row>
    <row r="250" spans="1:11" x14ac:dyDescent="0.25">
      <c r="A250" s="50">
        <f>'A) Base RI'!A252</f>
        <v>5822</v>
      </c>
      <c r="B250" s="308" t="str">
        <f>'A) Base RI'!B252</f>
        <v>Payerne</v>
      </c>
      <c r="C250" s="99">
        <f>'B) D RI'!U252</f>
        <v>236156.50420606061</v>
      </c>
      <c r="D250" s="115">
        <f>'E) Fact soc'!G256/C250</f>
        <v>18.791299919507058</v>
      </c>
      <c r="E250" s="142">
        <f>'H) Péréquation directe'!I261/C250</f>
        <v>-19.474559676869841</v>
      </c>
      <c r="F250" s="115">
        <f>+'I) Dépenses thématiques'!O250/'K) Plafonnement aide'!C250</f>
        <v>-5.7620738812101484</v>
      </c>
      <c r="G250" s="142">
        <f t="shared" si="13"/>
        <v>-6.4453336385729321</v>
      </c>
      <c r="H250" s="115">
        <f t="shared" si="14"/>
        <v>-0.68325975736278366</v>
      </c>
      <c r="I250" s="142">
        <f t="shared" si="15"/>
        <v>0</v>
      </c>
      <c r="J250" s="58">
        <f t="shared" si="16"/>
        <v>0</v>
      </c>
      <c r="K250" s="37"/>
    </row>
    <row r="251" spans="1:11" x14ac:dyDescent="0.25">
      <c r="A251" s="50">
        <f>'A) Base RI'!A253</f>
        <v>5827</v>
      </c>
      <c r="B251" s="308" t="str">
        <f>'A) Base RI'!B253</f>
        <v>Trey</v>
      </c>
      <c r="C251" s="99">
        <f>'B) D RI'!U253</f>
        <v>6690.1986933784046</v>
      </c>
      <c r="D251" s="115">
        <f>'E) Fact soc'!G257/C251</f>
        <v>18.059782315250473</v>
      </c>
      <c r="E251" s="142">
        <f>'H) Péréquation directe'!I262/C251</f>
        <v>-5.6068937492752857</v>
      </c>
      <c r="F251" s="115">
        <f>+'I) Dépenses thématiques'!O251/'K) Plafonnement aide'!C251</f>
        <v>-8.1624494760886872</v>
      </c>
      <c r="G251" s="142">
        <f t="shared" si="13"/>
        <v>4.2904390898864992</v>
      </c>
      <c r="H251" s="115">
        <f t="shared" si="14"/>
        <v>12.452888565975186</v>
      </c>
      <c r="I251" s="142">
        <f t="shared" si="15"/>
        <v>0</v>
      </c>
      <c r="J251" s="58">
        <f t="shared" si="16"/>
        <v>0</v>
      </c>
      <c r="K251" s="37"/>
    </row>
    <row r="252" spans="1:11" x14ac:dyDescent="0.25">
      <c r="A252" s="50">
        <f>'A) Base RI'!A254</f>
        <v>5828</v>
      </c>
      <c r="B252" s="308" t="str">
        <f>'A) Base RI'!B254</f>
        <v>Treytorrens (Payerne)</v>
      </c>
      <c r="C252" s="99">
        <f>'B) D RI'!U254</f>
        <v>2279.6786771708244</v>
      </c>
      <c r="D252" s="115">
        <f>'E) Fact soc'!G258/C252</f>
        <v>23.678411581857734</v>
      </c>
      <c r="E252" s="142">
        <f>'H) Péréquation directe'!I263/C252</f>
        <v>-26.479852338994771</v>
      </c>
      <c r="F252" s="115">
        <f>+'I) Dépenses thématiques'!O252/'K) Plafonnement aide'!C252</f>
        <v>-24.283649921136973</v>
      </c>
      <c r="G252" s="142">
        <f t="shared" si="13"/>
        <v>-27.08509067827401</v>
      </c>
      <c r="H252" s="115">
        <f t="shared" si="14"/>
        <v>-2.801440757137037</v>
      </c>
      <c r="I252" s="142">
        <f t="shared" si="15"/>
        <v>0</v>
      </c>
      <c r="J252" s="58">
        <f t="shared" si="16"/>
        <v>0</v>
      </c>
      <c r="K252" s="37"/>
    </row>
    <row r="253" spans="1:11" x14ac:dyDescent="0.25">
      <c r="A253" s="50">
        <f>'A) Base RI'!A255</f>
        <v>5830</v>
      </c>
      <c r="B253" s="308" t="str">
        <f>'A) Base RI'!B255</f>
        <v>Villarzel</v>
      </c>
      <c r="C253" s="99">
        <f>'B) D RI'!U255</f>
        <v>10447.04854538646</v>
      </c>
      <c r="D253" s="115">
        <f>'E) Fact soc'!G259/C253</f>
        <v>18.781132066322083</v>
      </c>
      <c r="E253" s="142">
        <f>'H) Péréquation directe'!I264/C253</f>
        <v>-4.9149900354949718</v>
      </c>
      <c r="F253" s="115">
        <f>+'I) Dépenses thématiques'!O253/'K) Plafonnement aide'!C253</f>
        <v>-11.298450295783022</v>
      </c>
      <c r="G253" s="142">
        <f t="shared" si="13"/>
        <v>2.5676917350440895</v>
      </c>
      <c r="H253" s="115">
        <f t="shared" si="14"/>
        <v>13.866142030827111</v>
      </c>
      <c r="I253" s="142">
        <f t="shared" si="15"/>
        <v>0</v>
      </c>
      <c r="J253" s="58">
        <f t="shared" si="16"/>
        <v>0</v>
      </c>
      <c r="K253" s="37"/>
    </row>
    <row r="254" spans="1:11" x14ac:dyDescent="0.25">
      <c r="A254" s="50">
        <f>'A) Base RI'!A256</f>
        <v>5831</v>
      </c>
      <c r="B254" s="308" t="str">
        <f>'A) Base RI'!B256</f>
        <v>Valbroye</v>
      </c>
      <c r="C254" s="99">
        <f>'B) D RI'!U256</f>
        <v>80393.76686206559</v>
      </c>
      <c r="D254" s="115">
        <f>'E) Fact soc'!G260/C254</f>
        <v>19.926145854970482</v>
      </c>
      <c r="E254" s="142">
        <f>'H) Péréquation directe'!I265/C254</f>
        <v>-5.3409833990470998</v>
      </c>
      <c r="F254" s="115">
        <f>+'I) Dépenses thématiques'!O254/'K) Plafonnement aide'!C254</f>
        <v>-8.9141248339640793</v>
      </c>
      <c r="G254" s="142">
        <f t="shared" si="13"/>
        <v>5.6710376219593019</v>
      </c>
      <c r="H254" s="115">
        <f t="shared" si="14"/>
        <v>14.585162455923381</v>
      </c>
      <c r="I254" s="142">
        <f t="shared" si="15"/>
        <v>0</v>
      </c>
      <c r="J254" s="58">
        <f t="shared" si="16"/>
        <v>0</v>
      </c>
      <c r="K254" s="37"/>
    </row>
    <row r="255" spans="1:11" x14ac:dyDescent="0.25">
      <c r="A255" s="50">
        <f>'A) Base RI'!A257</f>
        <v>5841</v>
      </c>
      <c r="B255" s="308" t="str">
        <f>'A) Base RI'!B257</f>
        <v>Château-d'Oex</v>
      </c>
      <c r="C255" s="99">
        <f>'B) D RI'!U257</f>
        <v>112439.97706211945</v>
      </c>
      <c r="D255" s="115">
        <f>'E) Fact soc'!G261/C255</f>
        <v>20.825893762975554</v>
      </c>
      <c r="E255" s="142">
        <f>'H) Péréquation directe'!I266/C255</f>
        <v>0.42280332632813888</v>
      </c>
      <c r="F255" s="115">
        <f>+'I) Dépenses thématiques'!O255/'K) Plafonnement aide'!C255</f>
        <v>-20.081642193681901</v>
      </c>
      <c r="G255" s="142">
        <f t="shared" si="13"/>
        <v>1.1670548956217921</v>
      </c>
      <c r="H255" s="115">
        <f t="shared" si="14"/>
        <v>21.248697089303693</v>
      </c>
      <c r="I255" s="142">
        <f t="shared" si="15"/>
        <v>0</v>
      </c>
      <c r="J255" s="58">
        <f t="shared" si="16"/>
        <v>0</v>
      </c>
      <c r="K255" s="37"/>
    </row>
    <row r="256" spans="1:11" x14ac:dyDescent="0.25">
      <c r="A256" s="50">
        <f>'A) Base RI'!A258</f>
        <v>5842</v>
      </c>
      <c r="B256" s="308" t="str">
        <f>'A) Base RI'!B258</f>
        <v>Rossinière</v>
      </c>
      <c r="C256" s="99">
        <f>'B) D RI'!U258</f>
        <v>12463.858686572428</v>
      </c>
      <c r="D256" s="115">
        <f>'E) Fact soc'!G262/C256</f>
        <v>19.227655827111459</v>
      </c>
      <c r="E256" s="142">
        <f>'H) Péréquation directe'!I267/C256</f>
        <v>-10.911444742420846</v>
      </c>
      <c r="F256" s="115">
        <f>+'I) Dépenses thématiques'!O256/'K) Plafonnement aide'!C256</f>
        <v>-25.451194999692447</v>
      </c>
      <c r="G256" s="142">
        <f t="shared" si="13"/>
        <v>-17.134983915001833</v>
      </c>
      <c r="H256" s="115">
        <f t="shared" si="14"/>
        <v>8.3162110846906145</v>
      </c>
      <c r="I256" s="142">
        <f t="shared" si="15"/>
        <v>0</v>
      </c>
      <c r="J256" s="58">
        <f t="shared" si="16"/>
        <v>0</v>
      </c>
      <c r="K256" s="37"/>
    </row>
    <row r="257" spans="1:11" x14ac:dyDescent="0.25">
      <c r="A257" s="50">
        <f>'A) Base RI'!A259</f>
        <v>5843</v>
      </c>
      <c r="B257" s="308" t="str">
        <f>'A) Base RI'!B259</f>
        <v>Rougemont</v>
      </c>
      <c r="C257" s="99">
        <f>'B) D RI'!U259</f>
        <v>87105.84628297943</v>
      </c>
      <c r="D257" s="115">
        <f>'E) Fact soc'!G263/C257</f>
        <v>35.564567645796956</v>
      </c>
      <c r="E257" s="142">
        <f>'H) Péréquation directe'!I268/C257</f>
        <v>18.761837200071284</v>
      </c>
      <c r="F257" s="115">
        <f>+'I) Dépenses thématiques'!O257/'K) Plafonnement aide'!C257</f>
        <v>-9.9462890181622061</v>
      </c>
      <c r="G257" s="142">
        <f t="shared" si="13"/>
        <v>44.380115827706035</v>
      </c>
      <c r="H257" s="115">
        <f t="shared" si="14"/>
        <v>54.32640484586824</v>
      </c>
      <c r="I257" s="142">
        <f t="shared" si="15"/>
        <v>0</v>
      </c>
      <c r="J257" s="58">
        <f t="shared" si="16"/>
        <v>0</v>
      </c>
      <c r="K257" s="37"/>
    </row>
    <row r="258" spans="1:11" x14ac:dyDescent="0.25">
      <c r="A258" s="50">
        <f>'A) Base RI'!A260</f>
        <v>5851</v>
      </c>
      <c r="B258" s="308" t="str">
        <f>'A) Base RI'!B260</f>
        <v>Allaman</v>
      </c>
      <c r="C258" s="99">
        <f>'B) D RI'!U260</f>
        <v>27785.537982029753</v>
      </c>
      <c r="D258" s="115">
        <f>'E) Fact soc'!G264/C258</f>
        <v>21.639486803742255</v>
      </c>
      <c r="E258" s="142">
        <f>'H) Péréquation directe'!I269/C258</f>
        <v>18.047819470680924</v>
      </c>
      <c r="F258" s="115">
        <f>+'I) Dépenses thématiques'!O258/'K) Plafonnement aide'!C258</f>
        <v>0</v>
      </c>
      <c r="G258" s="142">
        <f t="shared" si="13"/>
        <v>39.687306274423179</v>
      </c>
      <c r="H258" s="115">
        <f t="shared" si="14"/>
        <v>39.687306274423179</v>
      </c>
      <c r="I258" s="142">
        <f t="shared" si="15"/>
        <v>0</v>
      </c>
      <c r="J258" s="58">
        <f t="shared" si="16"/>
        <v>0</v>
      </c>
      <c r="K258" s="37"/>
    </row>
    <row r="259" spans="1:11" x14ac:dyDescent="0.25">
      <c r="A259" s="50">
        <f>'A) Base RI'!A261</f>
        <v>5852</v>
      </c>
      <c r="B259" s="308" t="str">
        <f>'A) Base RI'!B261</f>
        <v>Bursinel</v>
      </c>
      <c r="C259" s="99">
        <f>'B) D RI'!U261</f>
        <v>38740.127027310053</v>
      </c>
      <c r="D259" s="115">
        <f>'E) Fact soc'!G265/C259</f>
        <v>63.179261320958972</v>
      </c>
      <c r="E259" s="142">
        <f>'H) Péréquation directe'!I270/C259</f>
        <v>18.456673056344979</v>
      </c>
      <c r="F259" s="115">
        <f>+'I) Dépenses thématiques'!O259/'K) Plafonnement aide'!C259</f>
        <v>0</v>
      </c>
      <c r="G259" s="142">
        <f t="shared" si="13"/>
        <v>81.635934377303954</v>
      </c>
      <c r="H259" s="115">
        <f t="shared" si="14"/>
        <v>81.635934377303954</v>
      </c>
      <c r="I259" s="142">
        <f t="shared" si="15"/>
        <v>0</v>
      </c>
      <c r="J259" s="58">
        <f t="shared" si="16"/>
        <v>0</v>
      </c>
      <c r="K259" s="37"/>
    </row>
    <row r="260" spans="1:11" x14ac:dyDescent="0.25">
      <c r="A260" s="50">
        <f>'A) Base RI'!A262</f>
        <v>5853</v>
      </c>
      <c r="B260" s="308" t="str">
        <f>'A) Base RI'!B262</f>
        <v>Bursins</v>
      </c>
      <c r="C260" s="99">
        <f>'B) D RI'!U262</f>
        <v>35932.419772150381</v>
      </c>
      <c r="D260" s="115">
        <f>'E) Fact soc'!G266/C260</f>
        <v>20.89374713383306</v>
      </c>
      <c r="E260" s="142">
        <f>'H) Péréquation directe'!I271/C260</f>
        <v>17.45187565948881</v>
      </c>
      <c r="F260" s="115">
        <f>+'I) Dépenses thématiques'!O260/'K) Plafonnement aide'!C260</f>
        <v>-0.23796007675844905</v>
      </c>
      <c r="G260" s="142">
        <f t="shared" si="13"/>
        <v>38.107662716563418</v>
      </c>
      <c r="H260" s="115">
        <f t="shared" si="14"/>
        <v>38.345622793321866</v>
      </c>
      <c r="I260" s="142">
        <f t="shared" si="15"/>
        <v>0</v>
      </c>
      <c r="J260" s="58">
        <f t="shared" si="16"/>
        <v>0</v>
      </c>
      <c r="K260" s="37"/>
    </row>
    <row r="261" spans="1:11" x14ac:dyDescent="0.25">
      <c r="A261" s="50">
        <f>'A) Base RI'!A263</f>
        <v>5854</v>
      </c>
      <c r="B261" s="308" t="str">
        <f>'A) Base RI'!B263</f>
        <v>Burtigny</v>
      </c>
      <c r="C261" s="99">
        <f>'B) D RI'!U263</f>
        <v>9853.2751063664073</v>
      </c>
      <c r="D261" s="115">
        <f>'E) Fact soc'!G267/C261</f>
        <v>22.80010465248834</v>
      </c>
      <c r="E261" s="142">
        <f>'H) Péréquation directe'!I272/C261</f>
        <v>-1.2434449135336512</v>
      </c>
      <c r="F261" s="115">
        <f>+'I) Dépenses thématiques'!O261/'K) Plafonnement aide'!C261</f>
        <v>-4.9967496929006083</v>
      </c>
      <c r="G261" s="142">
        <f t="shared" si="13"/>
        <v>16.559910046054082</v>
      </c>
      <c r="H261" s="115">
        <f t="shared" si="14"/>
        <v>21.556659738954689</v>
      </c>
      <c r="I261" s="142">
        <f t="shared" si="15"/>
        <v>0</v>
      </c>
      <c r="J261" s="58">
        <f t="shared" si="16"/>
        <v>0</v>
      </c>
      <c r="K261" s="37"/>
    </row>
    <row r="262" spans="1:11" x14ac:dyDescent="0.25">
      <c r="A262" s="50">
        <f>'A) Base RI'!A264</f>
        <v>5855</v>
      </c>
      <c r="B262" s="308" t="str">
        <f>'A) Base RI'!B264</f>
        <v>Dully</v>
      </c>
      <c r="C262" s="99">
        <f>'B) D RI'!U264</f>
        <v>78259.066078216143</v>
      </c>
      <c r="D262" s="115">
        <f>'E) Fact soc'!G268/C262</f>
        <v>29.312600492633802</v>
      </c>
      <c r="E262" s="142">
        <f>'H) Péréquation directe'!I273/C262</f>
        <v>19.002353813989583</v>
      </c>
      <c r="F262" s="115">
        <f>+'I) Dépenses thématiques'!O262/'K) Plafonnement aide'!C262</f>
        <v>0</v>
      </c>
      <c r="G262" s="142">
        <f t="shared" ref="G262:G313" si="17">SUM(D262:F262)</f>
        <v>48.314954306623385</v>
      </c>
      <c r="H262" s="115">
        <f t="shared" ref="H262:H313" si="18">G262-F262</f>
        <v>48.314954306623385</v>
      </c>
      <c r="I262" s="142">
        <f t="shared" ref="I262:I313" si="19">IF(H262&lt;I$4,H262-I$4,0)</f>
        <v>0</v>
      </c>
      <c r="J262" s="58">
        <f t="shared" ref="J262:J313" si="20">-I262*C262</f>
        <v>0</v>
      </c>
      <c r="K262" s="37"/>
    </row>
    <row r="263" spans="1:11" x14ac:dyDescent="0.25">
      <c r="A263" s="50">
        <f>'A) Base RI'!A265</f>
        <v>5856</v>
      </c>
      <c r="B263" s="308" t="str">
        <f>'A) Base RI'!B265</f>
        <v>Essertines-sur-Rolle</v>
      </c>
      <c r="C263" s="99">
        <f>'B) D RI'!U265</f>
        <v>34358.63256703021</v>
      </c>
      <c r="D263" s="115">
        <f>'E) Fact soc'!G269/C263</f>
        <v>21.576523426730517</v>
      </c>
      <c r="E263" s="142">
        <f>'H) Péréquation directe'!I274/C263</f>
        <v>17.510712646819734</v>
      </c>
      <c r="F263" s="115">
        <f>+'I) Dépenses thématiques'!O263/'K) Plafonnement aide'!C263</f>
        <v>-0.29520833164797411</v>
      </c>
      <c r="G263" s="142">
        <f t="shared" si="17"/>
        <v>38.792027741902274</v>
      </c>
      <c r="H263" s="115">
        <f t="shared" si="18"/>
        <v>39.087236073550251</v>
      </c>
      <c r="I263" s="142">
        <f t="shared" si="19"/>
        <v>0</v>
      </c>
      <c r="J263" s="58">
        <f t="shared" si="20"/>
        <v>0</v>
      </c>
      <c r="K263" s="37"/>
    </row>
    <row r="264" spans="1:11" x14ac:dyDescent="0.25">
      <c r="A264" s="50">
        <f>'A) Base RI'!A266</f>
        <v>5857</v>
      </c>
      <c r="B264" s="308" t="str">
        <f>'A) Base RI'!B266</f>
        <v>Gilly</v>
      </c>
      <c r="C264" s="99">
        <f>'B) D RI'!U266</f>
        <v>76506.459222154648</v>
      </c>
      <c r="D264" s="115">
        <f>'E) Fact soc'!G270/C264</f>
        <v>22.926325997038262</v>
      </c>
      <c r="E264" s="142">
        <f>'H) Péréquation directe'!I275/C264</f>
        <v>17.069386918466549</v>
      </c>
      <c r="F264" s="115">
        <f>+'I) Dépenses thématiques'!O264/'K) Plafonnement aide'!C264</f>
        <v>0</v>
      </c>
      <c r="G264" s="142">
        <f t="shared" si="17"/>
        <v>39.995712915504811</v>
      </c>
      <c r="H264" s="115">
        <f t="shared" si="18"/>
        <v>39.995712915504811</v>
      </c>
      <c r="I264" s="142">
        <f t="shared" si="19"/>
        <v>0</v>
      </c>
      <c r="J264" s="58">
        <f t="shared" si="20"/>
        <v>0</v>
      </c>
      <c r="K264" s="37"/>
    </row>
    <row r="265" spans="1:11" x14ac:dyDescent="0.25">
      <c r="A265" s="50">
        <f>'A) Base RI'!A267</f>
        <v>5858</v>
      </c>
      <c r="B265" s="308" t="str">
        <f>'A) Base RI'!B267</f>
        <v>Luins</v>
      </c>
      <c r="C265" s="99">
        <f>'B) D RI'!U267</f>
        <v>34277.61170447935</v>
      </c>
      <c r="D265" s="115">
        <f>'E) Fact soc'!G271/C265</f>
        <v>19.994224867257167</v>
      </c>
      <c r="E265" s="142">
        <f>'H) Péréquation directe'!I276/C265</f>
        <v>17.821834842280044</v>
      </c>
      <c r="F265" s="115">
        <f>+'I) Dépenses thématiques'!O265/'K) Plafonnement aide'!C265</f>
        <v>0</v>
      </c>
      <c r="G265" s="142">
        <f t="shared" si="17"/>
        <v>37.816059709537214</v>
      </c>
      <c r="H265" s="115">
        <f t="shared" si="18"/>
        <v>37.816059709537214</v>
      </c>
      <c r="I265" s="142">
        <f t="shared" si="19"/>
        <v>0</v>
      </c>
      <c r="J265" s="58">
        <f t="shared" si="20"/>
        <v>0</v>
      </c>
      <c r="K265" s="37"/>
    </row>
    <row r="266" spans="1:11" x14ac:dyDescent="0.25">
      <c r="A266" s="50">
        <f>'A) Base RI'!A268</f>
        <v>5859</v>
      </c>
      <c r="B266" s="308" t="str">
        <f>'A) Base RI'!B268</f>
        <v>Mont-sur-Rolle</v>
      </c>
      <c r="C266" s="99">
        <f>'B) D RI'!U268</f>
        <v>136265.21065164401</v>
      </c>
      <c r="D266" s="115">
        <f>'E) Fact soc'!G272/C266</f>
        <v>21.513197434820519</v>
      </c>
      <c r="E266" s="142">
        <f>'H) Péréquation directe'!I277/C266</f>
        <v>14.789695786000719</v>
      </c>
      <c r="F266" s="115">
        <f>+'I) Dépenses thématiques'!O266/'K) Plafonnement aide'!C266</f>
        <v>0</v>
      </c>
      <c r="G266" s="142">
        <f t="shared" si="17"/>
        <v>36.30289322082124</v>
      </c>
      <c r="H266" s="115">
        <f t="shared" si="18"/>
        <v>36.30289322082124</v>
      </c>
      <c r="I266" s="142">
        <f t="shared" si="19"/>
        <v>0</v>
      </c>
      <c r="J266" s="58">
        <f t="shared" si="20"/>
        <v>0</v>
      </c>
      <c r="K266" s="37"/>
    </row>
    <row r="267" spans="1:11" x14ac:dyDescent="0.25">
      <c r="A267" s="50">
        <f>'A) Base RI'!A269</f>
        <v>5860</v>
      </c>
      <c r="B267" s="308" t="str">
        <f>'A) Base RI'!B269</f>
        <v>Perroy</v>
      </c>
      <c r="C267" s="99">
        <f>'B) D RI'!U269</f>
        <v>87566.238279299258</v>
      </c>
      <c r="D267" s="115">
        <f>'E) Fact soc'!G273/C267</f>
        <v>22.222528222973111</v>
      </c>
      <c r="E267" s="142">
        <f>'H) Péréquation directe'!I278/C267</f>
        <v>16.572358465259949</v>
      </c>
      <c r="F267" s="115">
        <f>+'I) Dépenses thématiques'!O267/'K) Plafonnement aide'!C267</f>
        <v>0</v>
      </c>
      <c r="G267" s="142">
        <f t="shared" si="17"/>
        <v>38.794886688233063</v>
      </c>
      <c r="H267" s="115">
        <f t="shared" si="18"/>
        <v>38.794886688233063</v>
      </c>
      <c r="I267" s="142">
        <f t="shared" si="19"/>
        <v>0</v>
      </c>
      <c r="J267" s="58">
        <f t="shared" si="20"/>
        <v>0</v>
      </c>
      <c r="K267" s="37"/>
    </row>
    <row r="268" spans="1:11" x14ac:dyDescent="0.25">
      <c r="A268" s="50">
        <f>'A) Base RI'!A270</f>
        <v>5861</v>
      </c>
      <c r="B268" s="308" t="str">
        <f>'A) Base RI'!B270</f>
        <v>Rolle</v>
      </c>
      <c r="C268" s="99">
        <f>'B) D RI'!U270</f>
        <v>773954.77123318054</v>
      </c>
      <c r="D268" s="115">
        <f>'E) Fact soc'!G274/C268</f>
        <v>32.112045458055476</v>
      </c>
      <c r="E268" s="142">
        <f>'H) Péréquation directe'!I279/C268</f>
        <v>16.744503605925537</v>
      </c>
      <c r="F268" s="115">
        <f>+'I) Dépenses thématiques'!O268/'K) Plafonnement aide'!C268</f>
        <v>0</v>
      </c>
      <c r="G268" s="142">
        <f t="shared" si="17"/>
        <v>48.856549063981014</v>
      </c>
      <c r="H268" s="115">
        <f t="shared" si="18"/>
        <v>48.856549063981014</v>
      </c>
      <c r="I268" s="142">
        <f t="shared" si="19"/>
        <v>0</v>
      </c>
      <c r="J268" s="58">
        <f t="shared" si="20"/>
        <v>0</v>
      </c>
      <c r="K268" s="37"/>
    </row>
    <row r="269" spans="1:11" x14ac:dyDescent="0.25">
      <c r="A269" s="50">
        <f>'A) Base RI'!A271</f>
        <v>5862</v>
      </c>
      <c r="B269" s="308" t="str">
        <f>'A) Base RI'!B271</f>
        <v>Tartegnin</v>
      </c>
      <c r="C269" s="99">
        <f>'B) D RI'!U271</f>
        <v>10589.245656408681</v>
      </c>
      <c r="D269" s="115">
        <f>'E) Fact soc'!G275/C269</f>
        <v>22.661718011623709</v>
      </c>
      <c r="E269" s="142">
        <f>'H) Péréquation directe'!I280/C269</f>
        <v>17.178823673510099</v>
      </c>
      <c r="F269" s="115">
        <f>+'I) Dépenses thématiques'!O269/'K) Plafonnement aide'!C269</f>
        <v>0</v>
      </c>
      <c r="G269" s="142">
        <f t="shared" si="17"/>
        <v>39.840541685133807</v>
      </c>
      <c r="H269" s="115">
        <f t="shared" si="18"/>
        <v>39.840541685133807</v>
      </c>
      <c r="I269" s="142">
        <f t="shared" si="19"/>
        <v>0</v>
      </c>
      <c r="J269" s="58">
        <f t="shared" si="20"/>
        <v>0</v>
      </c>
      <c r="K269" s="37"/>
    </row>
    <row r="270" spans="1:11" x14ac:dyDescent="0.25">
      <c r="A270" s="50">
        <f>'A) Base RI'!A272</f>
        <v>5863</v>
      </c>
      <c r="B270" s="308" t="str">
        <f>'A) Base RI'!B272</f>
        <v>Vinzel</v>
      </c>
      <c r="C270" s="99">
        <f>'B) D RI'!U272</f>
        <v>22777.907701128508</v>
      </c>
      <c r="D270" s="115">
        <f>'E) Fact soc'!G276/C270</f>
        <v>20.433046681818446</v>
      </c>
      <c r="E270" s="142">
        <f>'H) Péréquation directe'!I281/C270</f>
        <v>18.000873643585667</v>
      </c>
      <c r="F270" s="115">
        <f>+'I) Dépenses thématiques'!O270/'K) Plafonnement aide'!C270</f>
        <v>-12.552549055199801</v>
      </c>
      <c r="G270" s="142">
        <f t="shared" si="17"/>
        <v>25.881371270204315</v>
      </c>
      <c r="H270" s="115">
        <f t="shared" si="18"/>
        <v>38.433920325404117</v>
      </c>
      <c r="I270" s="142">
        <f t="shared" si="19"/>
        <v>0</v>
      </c>
      <c r="J270" s="58">
        <f t="shared" si="20"/>
        <v>0</v>
      </c>
      <c r="K270" s="37"/>
    </row>
    <row r="271" spans="1:11" x14ac:dyDescent="0.25">
      <c r="A271" s="50">
        <f>'A) Base RI'!A273</f>
        <v>5871</v>
      </c>
      <c r="B271" s="308" t="str">
        <f>'A) Base RI'!B273</f>
        <v>L'Abbaye</v>
      </c>
      <c r="C271" s="99">
        <f>'B) D RI'!U273</f>
        <v>46463.831419219103</v>
      </c>
      <c r="D271" s="115">
        <f>'E) Fact soc'!G277/C271</f>
        <v>23.090662392366688</v>
      </c>
      <c r="E271" s="142">
        <f>'H) Péréquation directe'!I282/C271</f>
        <v>2.9406071405427019</v>
      </c>
      <c r="F271" s="115">
        <f>+'I) Dépenses thématiques'!O271/'K) Plafonnement aide'!C271</f>
        <v>-8.2995579509006081</v>
      </c>
      <c r="G271" s="142">
        <f t="shared" si="17"/>
        <v>17.731711582008785</v>
      </c>
      <c r="H271" s="115">
        <f t="shared" si="18"/>
        <v>26.031269532909391</v>
      </c>
      <c r="I271" s="142">
        <f t="shared" si="19"/>
        <v>0</v>
      </c>
      <c r="J271" s="58">
        <f t="shared" si="20"/>
        <v>0</v>
      </c>
      <c r="K271" s="37"/>
    </row>
    <row r="272" spans="1:11" x14ac:dyDescent="0.25">
      <c r="A272" s="50">
        <f>'A) Base RI'!A274</f>
        <v>5872</v>
      </c>
      <c r="B272" s="308" t="str">
        <f>'A) Base RI'!B274</f>
        <v>Le Chenit</v>
      </c>
      <c r="C272" s="99">
        <f>'B) D RI'!U274</f>
        <v>203474.88252883923</v>
      </c>
      <c r="D272" s="115">
        <f>'E) Fact soc'!G278/C272</f>
        <v>24.843805802579759</v>
      </c>
      <c r="E272" s="142">
        <f>'H) Péréquation directe'!I283/C272</f>
        <v>11.612094382517125</v>
      </c>
      <c r="F272" s="115">
        <f>+'I) Dépenses thématiques'!O272/'K) Plafonnement aide'!C272</f>
        <v>-9.7789627309322427</v>
      </c>
      <c r="G272" s="142">
        <f t="shared" si="17"/>
        <v>26.676937454164637</v>
      </c>
      <c r="H272" s="115">
        <f t="shared" si="18"/>
        <v>36.45590018509688</v>
      </c>
      <c r="I272" s="142">
        <f t="shared" si="19"/>
        <v>0</v>
      </c>
      <c r="J272" s="58">
        <f t="shared" si="20"/>
        <v>0</v>
      </c>
      <c r="K272" s="37"/>
    </row>
    <row r="273" spans="1:11" x14ac:dyDescent="0.25">
      <c r="A273" s="50">
        <f>'A) Base RI'!A275</f>
        <v>5873</v>
      </c>
      <c r="B273" s="308" t="str">
        <f>'A) Base RI'!B275</f>
        <v>Le Lieu</v>
      </c>
      <c r="C273" s="99">
        <f>'B) D RI'!U275</f>
        <v>32044.127943123549</v>
      </c>
      <c r="D273" s="115">
        <f>'E) Fact soc'!G279/C273</f>
        <v>24.558830062208969</v>
      </c>
      <c r="E273" s="142">
        <f>'H) Péréquation directe'!I284/C273</f>
        <v>12.856939451597256</v>
      </c>
      <c r="F273" s="115">
        <f>+'I) Dépenses thématiques'!O273/'K) Plafonnement aide'!C273</f>
        <v>-24.21513507127381</v>
      </c>
      <c r="G273" s="142">
        <f t="shared" si="17"/>
        <v>13.200634442532415</v>
      </c>
      <c r="H273" s="115">
        <f t="shared" si="18"/>
        <v>37.415769513806225</v>
      </c>
      <c r="I273" s="142">
        <f t="shared" si="19"/>
        <v>0</v>
      </c>
      <c r="J273" s="58">
        <f t="shared" si="20"/>
        <v>0</v>
      </c>
      <c r="K273" s="37"/>
    </row>
    <row r="274" spans="1:11" x14ac:dyDescent="0.25">
      <c r="A274" s="50">
        <f>'A) Base RI'!A276</f>
        <v>5881</v>
      </c>
      <c r="B274" s="308" t="str">
        <f>'A) Base RI'!B276</f>
        <v>Blonay</v>
      </c>
      <c r="C274" s="99">
        <f>'B) D RI'!U276</f>
        <v>337666.7615162601</v>
      </c>
      <c r="D274" s="115">
        <f>'E) Fact soc'!G280/C274</f>
        <v>20.145822522442366</v>
      </c>
      <c r="E274" s="142">
        <f>'H) Péréquation directe'!I285/C274</f>
        <v>12.596074720492217</v>
      </c>
      <c r="F274" s="115">
        <f>+'I) Dépenses thématiques'!O274/'K) Plafonnement aide'!C274</f>
        <v>-2.7609361240619212</v>
      </c>
      <c r="G274" s="142">
        <f t="shared" si="17"/>
        <v>29.980961118872663</v>
      </c>
      <c r="H274" s="115">
        <f t="shared" si="18"/>
        <v>32.741897242934584</v>
      </c>
      <c r="I274" s="142">
        <f t="shared" si="19"/>
        <v>0</v>
      </c>
      <c r="J274" s="58">
        <f t="shared" si="20"/>
        <v>0</v>
      </c>
      <c r="K274" s="37"/>
    </row>
    <row r="275" spans="1:11" x14ac:dyDescent="0.25">
      <c r="A275" s="50">
        <f>'A) Base RI'!A277</f>
        <v>5882</v>
      </c>
      <c r="B275" s="308" t="str">
        <f>'A) Base RI'!B277</f>
        <v>Chardonne</v>
      </c>
      <c r="C275" s="99">
        <f>'B) D RI'!U277</f>
        <v>156481.45987298383</v>
      </c>
      <c r="D275" s="115">
        <f>'E) Fact soc'!G281/C275</f>
        <v>26.092691984623077</v>
      </c>
      <c r="E275" s="142">
        <f>'H) Péréquation directe'!I286/C275</f>
        <v>14.978281762077248</v>
      </c>
      <c r="F275" s="115">
        <f>+'I) Dépenses thématiques'!O275/'K) Plafonnement aide'!C275</f>
        <v>-1.8528120903104692</v>
      </c>
      <c r="G275" s="142">
        <f t="shared" si="17"/>
        <v>39.218161656389853</v>
      </c>
      <c r="H275" s="115">
        <f t="shared" si="18"/>
        <v>41.070973746700325</v>
      </c>
      <c r="I275" s="142">
        <f t="shared" si="19"/>
        <v>0</v>
      </c>
      <c r="J275" s="58">
        <f t="shared" si="20"/>
        <v>0</v>
      </c>
      <c r="K275" s="37"/>
    </row>
    <row r="276" spans="1:11" x14ac:dyDescent="0.25">
      <c r="A276" s="50">
        <f>'A) Base RI'!A278</f>
        <v>5883</v>
      </c>
      <c r="B276" s="308" t="str">
        <f>'A) Base RI'!B278</f>
        <v>Corseaux</v>
      </c>
      <c r="C276" s="99">
        <f>'B) D RI'!U278</f>
        <v>150144.54939318728</v>
      </c>
      <c r="D276" s="115">
        <f>'E) Fact soc'!G282/C276</f>
        <v>24.128417896968827</v>
      </c>
      <c r="E276" s="142">
        <f>'H) Péréquation directe'!I287/C276</f>
        <v>16.221282041820295</v>
      </c>
      <c r="F276" s="115">
        <f>+'I) Dépenses thématiques'!O276/'K) Plafonnement aide'!C276</f>
        <v>0</v>
      </c>
      <c r="G276" s="142">
        <f t="shared" si="17"/>
        <v>40.349699938789122</v>
      </c>
      <c r="H276" s="115">
        <f t="shared" si="18"/>
        <v>40.349699938789122</v>
      </c>
      <c r="I276" s="142">
        <f t="shared" si="19"/>
        <v>0</v>
      </c>
      <c r="J276" s="58">
        <f t="shared" si="20"/>
        <v>0</v>
      </c>
      <c r="K276" s="37"/>
    </row>
    <row r="277" spans="1:11" x14ac:dyDescent="0.25">
      <c r="A277" s="50">
        <f>'A) Base RI'!A279</f>
        <v>5884</v>
      </c>
      <c r="B277" s="308" t="str">
        <f>'A) Base RI'!B279</f>
        <v>Corsier-sur-Vevey</v>
      </c>
      <c r="C277" s="99">
        <f>'B) D RI'!U279</f>
        <v>120582.14380721933</v>
      </c>
      <c r="D277" s="115">
        <f>'E) Fact soc'!G283/C277</f>
        <v>19.276971310507356</v>
      </c>
      <c r="E277" s="142">
        <f>'H) Péréquation directe'!I288/C277</f>
        <v>6.8874523181228131</v>
      </c>
      <c r="F277" s="115">
        <f>+'I) Dépenses thématiques'!O277/'K) Plafonnement aide'!C277</f>
        <v>-9.4433126763542372</v>
      </c>
      <c r="G277" s="142">
        <f t="shared" si="17"/>
        <v>16.721110952275929</v>
      </c>
      <c r="H277" s="115">
        <f t="shared" si="18"/>
        <v>26.164423628630168</v>
      </c>
      <c r="I277" s="142">
        <f t="shared" si="19"/>
        <v>0</v>
      </c>
      <c r="J277" s="58">
        <f t="shared" si="20"/>
        <v>0</v>
      </c>
      <c r="K277" s="37"/>
    </row>
    <row r="278" spans="1:11" x14ac:dyDescent="0.25">
      <c r="A278" s="50">
        <f>'A) Base RI'!A280</f>
        <v>5885</v>
      </c>
      <c r="B278" s="308" t="str">
        <f>'A) Base RI'!B280</f>
        <v>Jongny</v>
      </c>
      <c r="C278" s="99">
        <f>'B) D RI'!U280</f>
        <v>92637.81830716609</v>
      </c>
      <c r="D278" s="115">
        <f>'E) Fact soc'!G284/C278</f>
        <v>23.46900089195832</v>
      </c>
      <c r="E278" s="142">
        <f>'H) Péréquation directe'!I289/C278</f>
        <v>16.630041345028641</v>
      </c>
      <c r="F278" s="115">
        <f>+'I) Dépenses thématiques'!O278/'K) Plafonnement aide'!C278</f>
        <v>-0.18923254538311385</v>
      </c>
      <c r="G278" s="142">
        <f t="shared" si="17"/>
        <v>39.909809691603847</v>
      </c>
      <c r="H278" s="115">
        <f t="shared" si="18"/>
        <v>40.099042236986961</v>
      </c>
      <c r="I278" s="142">
        <f t="shared" si="19"/>
        <v>0</v>
      </c>
      <c r="J278" s="58">
        <f t="shared" si="20"/>
        <v>0</v>
      </c>
      <c r="K278" s="37"/>
    </row>
    <row r="279" spans="1:11" x14ac:dyDescent="0.25">
      <c r="A279" s="50">
        <f>'A) Base RI'!A281</f>
        <v>5886</v>
      </c>
      <c r="B279" s="308" t="str">
        <f>'A) Base RI'!B281</f>
        <v>Montreux</v>
      </c>
      <c r="C279" s="99">
        <f>'B) D RI'!U281</f>
        <v>1120957.3291830304</v>
      </c>
      <c r="D279" s="115">
        <f>'E) Fact soc'!G285/C279</f>
        <v>23.031690178272491</v>
      </c>
      <c r="E279" s="142">
        <f>'H) Péréquation directe'!I290/C279</f>
        <v>-0.65121375030455764</v>
      </c>
      <c r="F279" s="115">
        <f>+'I) Dépenses thématiques'!O279/'K) Plafonnement aide'!C279</f>
        <v>-5.3349557760356863</v>
      </c>
      <c r="G279" s="142">
        <f t="shared" si="17"/>
        <v>17.04552065193225</v>
      </c>
      <c r="H279" s="115">
        <f t="shared" si="18"/>
        <v>22.380476427967935</v>
      </c>
      <c r="I279" s="142">
        <f t="shared" si="19"/>
        <v>0</v>
      </c>
      <c r="J279" s="58">
        <f t="shared" si="20"/>
        <v>0</v>
      </c>
      <c r="K279" s="37"/>
    </row>
    <row r="280" spans="1:11" x14ac:dyDescent="0.25">
      <c r="A280" s="50">
        <f>'A) Base RI'!A282</f>
        <v>5888</v>
      </c>
      <c r="B280" s="308" t="str">
        <f>'A) Base RI'!B282</f>
        <v>Saint-Légier-La Chiésaz</v>
      </c>
      <c r="C280" s="99">
        <f>'B) D RI'!U282</f>
        <v>291113.86411428853</v>
      </c>
      <c r="D280" s="115">
        <f>'E) Fact soc'!G286/C280</f>
        <v>22.120185477063583</v>
      </c>
      <c r="E280" s="142">
        <f>'H) Péréquation directe'!I291/C280</f>
        <v>13.478876360590188</v>
      </c>
      <c r="F280" s="115">
        <f>+'I) Dépenses thématiques'!O280/'K) Plafonnement aide'!C280</f>
        <v>-1.0744072696980558</v>
      </c>
      <c r="G280" s="142">
        <f t="shared" si="17"/>
        <v>34.524654567955714</v>
      </c>
      <c r="H280" s="115">
        <f t="shared" si="18"/>
        <v>35.599061837653771</v>
      </c>
      <c r="I280" s="142">
        <f t="shared" si="19"/>
        <v>0</v>
      </c>
      <c r="J280" s="58">
        <f t="shared" si="20"/>
        <v>0</v>
      </c>
      <c r="K280" s="37"/>
    </row>
    <row r="281" spans="1:11" x14ac:dyDescent="0.25">
      <c r="A281" s="50">
        <f>'A) Base RI'!A283</f>
        <v>5889</v>
      </c>
      <c r="B281" s="308" t="str">
        <f>'A) Base RI'!B283</f>
        <v>La Tour-de-Peilz</v>
      </c>
      <c r="C281" s="99">
        <f>'B) D RI'!U283</f>
        <v>674531.22490925156</v>
      </c>
      <c r="D281" s="115">
        <f>'E) Fact soc'!G287/C281</f>
        <v>21.467135248881615</v>
      </c>
      <c r="E281" s="142">
        <f>'H) Péréquation directe'!I292/C281</f>
        <v>10.364629515756917</v>
      </c>
      <c r="F281" s="115">
        <f>+'I) Dépenses thématiques'!O281/'K) Plafonnement aide'!C281</f>
        <v>0</v>
      </c>
      <c r="G281" s="142">
        <f t="shared" si="17"/>
        <v>31.831764764638532</v>
      </c>
      <c r="H281" s="115">
        <f t="shared" si="18"/>
        <v>31.831764764638532</v>
      </c>
      <c r="I281" s="142">
        <f t="shared" si="19"/>
        <v>0</v>
      </c>
      <c r="J281" s="58">
        <f t="shared" si="20"/>
        <v>0</v>
      </c>
      <c r="K281" s="37"/>
    </row>
    <row r="282" spans="1:11" x14ac:dyDescent="0.25">
      <c r="A282" s="50">
        <f>'A) Base RI'!A284</f>
        <v>5890</v>
      </c>
      <c r="B282" s="308" t="str">
        <f>'A) Base RI'!B284</f>
        <v>Vevey</v>
      </c>
      <c r="C282" s="99">
        <f>'B) D RI'!U284</f>
        <v>953247.91463963222</v>
      </c>
      <c r="D282" s="115">
        <f>'E) Fact soc'!G288/C282</f>
        <v>19.860438956607499</v>
      </c>
      <c r="E282" s="142">
        <f>'H) Péréquation directe'!I293/C282</f>
        <v>4.6267234708495568</v>
      </c>
      <c r="F282" s="115">
        <f>+'I) Dépenses thématiques'!O282/'K) Plafonnement aide'!C282</f>
        <v>-2.0834677229931535</v>
      </c>
      <c r="G282" s="142">
        <f t="shared" si="17"/>
        <v>22.403694704463906</v>
      </c>
      <c r="H282" s="115">
        <f t="shared" si="18"/>
        <v>24.487162427457058</v>
      </c>
      <c r="I282" s="142">
        <f t="shared" si="19"/>
        <v>0</v>
      </c>
      <c r="J282" s="58">
        <f t="shared" si="20"/>
        <v>0</v>
      </c>
      <c r="K282" s="37"/>
    </row>
    <row r="283" spans="1:11" x14ac:dyDescent="0.25">
      <c r="A283" s="50">
        <f>'A) Base RI'!A285</f>
        <v>5891</v>
      </c>
      <c r="B283" s="308" t="str">
        <f>'A) Base RI'!B285</f>
        <v>Veytaux</v>
      </c>
      <c r="C283" s="99">
        <f>'B) D RI'!U285</f>
        <v>35139.330604262883</v>
      </c>
      <c r="D283" s="115">
        <f>'E) Fact soc'!G289/C283</f>
        <v>19.238774325542227</v>
      </c>
      <c r="E283" s="142">
        <f>'H) Péréquation directe'!I294/C283</f>
        <v>14.688196696167546</v>
      </c>
      <c r="F283" s="115">
        <f>+'I) Dépenses thématiques'!O283/'K) Plafonnement aide'!C283</f>
        <v>-9.0612787137896813</v>
      </c>
      <c r="G283" s="142">
        <f t="shared" si="17"/>
        <v>24.865692307920092</v>
      </c>
      <c r="H283" s="115">
        <f t="shared" si="18"/>
        <v>33.926971021709775</v>
      </c>
      <c r="I283" s="142">
        <f t="shared" si="19"/>
        <v>0</v>
      </c>
      <c r="J283" s="58">
        <f t="shared" si="20"/>
        <v>0</v>
      </c>
      <c r="K283" s="37"/>
    </row>
    <row r="284" spans="1:11" x14ac:dyDescent="0.25">
      <c r="A284" s="50">
        <f>'A) Base RI'!A286</f>
        <v>5902</v>
      </c>
      <c r="B284" s="308" t="str">
        <f>'A) Base RI'!B286</f>
        <v>Belmont-sur-Yverdon</v>
      </c>
      <c r="C284" s="99">
        <f>'B) D RI'!U286</f>
        <v>9890.2176826722334</v>
      </c>
      <c r="D284" s="115">
        <f>'E) Fact soc'!G290/C284</f>
        <v>18.983008961811848</v>
      </c>
      <c r="E284" s="142">
        <f>'H) Péréquation directe'!I295/C284</f>
        <v>-1.4522803641573827</v>
      </c>
      <c r="F284" s="115">
        <f>+'I) Dépenses thématiques'!O284/'K) Plafonnement aide'!C284</f>
        <v>-36.473694737171471</v>
      </c>
      <c r="G284" s="142">
        <f t="shared" si="17"/>
        <v>-18.942966139517004</v>
      </c>
      <c r="H284" s="115">
        <f t="shared" si="18"/>
        <v>17.530728597654466</v>
      </c>
      <c r="I284" s="142">
        <f t="shared" si="19"/>
        <v>0</v>
      </c>
      <c r="J284" s="58">
        <f t="shared" si="20"/>
        <v>0</v>
      </c>
      <c r="K284" s="37"/>
    </row>
    <row r="285" spans="1:11" x14ac:dyDescent="0.25">
      <c r="A285" s="50">
        <f>'A) Base RI'!A287</f>
        <v>5903</v>
      </c>
      <c r="B285" s="308" t="str">
        <f>'A) Base RI'!B287</f>
        <v>Bioley-Magnoux</v>
      </c>
      <c r="C285" s="99">
        <f>'B) D RI'!U287</f>
        <v>5925.8519470372794</v>
      </c>
      <c r="D285" s="115">
        <f>'E) Fact soc'!G291/C285</f>
        <v>18.391161294765656</v>
      </c>
      <c r="E285" s="142">
        <f>'H) Péréquation directe'!I296/C285</f>
        <v>-0.30488483872019839</v>
      </c>
      <c r="F285" s="115">
        <f>+'I) Dépenses thématiques'!O285/'K) Plafonnement aide'!C285</f>
        <v>-49.616198984602931</v>
      </c>
      <c r="G285" s="142">
        <f t="shared" si="17"/>
        <v>-31.529922528557474</v>
      </c>
      <c r="H285" s="115">
        <f t="shared" si="18"/>
        <v>18.086276456045457</v>
      </c>
      <c r="I285" s="142">
        <f t="shared" si="19"/>
        <v>0</v>
      </c>
      <c r="J285" s="58">
        <f t="shared" si="20"/>
        <v>0</v>
      </c>
      <c r="K285" s="37"/>
    </row>
    <row r="286" spans="1:11" x14ac:dyDescent="0.25">
      <c r="A286" s="50">
        <f>'A) Base RI'!A288</f>
        <v>5904</v>
      </c>
      <c r="B286" s="308" t="str">
        <f>'A) Base RI'!B288</f>
        <v>Chamblon</v>
      </c>
      <c r="C286" s="99">
        <f>'B) D RI'!U288</f>
        <v>21650.618671075306</v>
      </c>
      <c r="D286" s="115">
        <f>'E) Fact soc'!G292/C286</f>
        <v>18.145162259791249</v>
      </c>
      <c r="E286" s="142">
        <f>'H) Péréquation directe'!I297/C286</f>
        <v>14.966463514477685</v>
      </c>
      <c r="F286" s="115">
        <f>+'I) Dépenses thématiques'!O286/'K) Plafonnement aide'!C286</f>
        <v>0</v>
      </c>
      <c r="G286" s="142">
        <f t="shared" si="17"/>
        <v>33.11162577426893</v>
      </c>
      <c r="H286" s="115">
        <f t="shared" si="18"/>
        <v>33.11162577426893</v>
      </c>
      <c r="I286" s="142">
        <f t="shared" si="19"/>
        <v>0</v>
      </c>
      <c r="J286" s="58">
        <f t="shared" si="20"/>
        <v>0</v>
      </c>
      <c r="K286" s="37"/>
    </row>
    <row r="287" spans="1:11" x14ac:dyDescent="0.25">
      <c r="A287" s="50">
        <f>'A) Base RI'!A289</f>
        <v>5905</v>
      </c>
      <c r="B287" s="308" t="str">
        <f>'A) Base RI'!B289</f>
        <v>Champvent</v>
      </c>
      <c r="C287" s="99">
        <f>'B) D RI'!U289</f>
        <v>22161.114023042239</v>
      </c>
      <c r="D287" s="115">
        <f>'E) Fact soc'!G293/C287</f>
        <v>18.394057225246875</v>
      </c>
      <c r="E287" s="142">
        <f>'H) Péréquation directe'!I298/C287</f>
        <v>8.9579181763522051</v>
      </c>
      <c r="F287" s="115">
        <f>+'I) Dépenses thématiques'!O287/'K) Plafonnement aide'!C287</f>
        <v>-3.5016732581123176</v>
      </c>
      <c r="G287" s="142">
        <f t="shared" si="17"/>
        <v>23.850302143486765</v>
      </c>
      <c r="H287" s="115">
        <f t="shared" si="18"/>
        <v>27.351975401599084</v>
      </c>
      <c r="I287" s="142">
        <f t="shared" si="19"/>
        <v>0</v>
      </c>
      <c r="J287" s="58">
        <f t="shared" si="20"/>
        <v>0</v>
      </c>
      <c r="K287" s="37"/>
    </row>
    <row r="288" spans="1:11" x14ac:dyDescent="0.25">
      <c r="A288" s="50">
        <f>'A) Base RI'!A290</f>
        <v>5907</v>
      </c>
      <c r="B288" s="308" t="str">
        <f>'A) Base RI'!B290</f>
        <v>Chavannes-le-Chêne</v>
      </c>
      <c r="C288" s="99">
        <f>'B) D RI'!U290</f>
        <v>8634.8729280902389</v>
      </c>
      <c r="D288" s="115">
        <f>'E) Fact soc'!G294/C288</f>
        <v>16.537001955807881</v>
      </c>
      <c r="E288" s="142">
        <f>'H) Péréquation directe'!I299/C288</f>
        <v>2.1738181001274857</v>
      </c>
      <c r="F288" s="115">
        <f>+'I) Dépenses thématiques'!O288/'K) Plafonnement aide'!C288</f>
        <v>-9.4610086813934338</v>
      </c>
      <c r="G288" s="142">
        <f t="shared" si="17"/>
        <v>9.249811374541931</v>
      </c>
      <c r="H288" s="115">
        <f t="shared" si="18"/>
        <v>18.710820055935365</v>
      </c>
      <c r="I288" s="142">
        <f t="shared" si="19"/>
        <v>0</v>
      </c>
      <c r="J288" s="58">
        <f t="shared" si="20"/>
        <v>0</v>
      </c>
      <c r="K288" s="37"/>
    </row>
    <row r="289" spans="1:11" x14ac:dyDescent="0.25">
      <c r="A289" s="50">
        <f>'A) Base RI'!A291</f>
        <v>5908</v>
      </c>
      <c r="B289" s="308" t="str">
        <f>'A) Base RI'!B291</f>
        <v>Chêne-Pâquier</v>
      </c>
      <c r="C289" s="99">
        <f>'B) D RI'!U291</f>
        <v>2752.8487805406176</v>
      </c>
      <c r="D289" s="115">
        <f>'E) Fact soc'!G295/C289</f>
        <v>16.291934232245946</v>
      </c>
      <c r="E289" s="142">
        <f>'H) Péréquation directe'!I300/C289</f>
        <v>-18.103693719505916</v>
      </c>
      <c r="F289" s="115">
        <f>+'I) Dépenses thématiques'!O289/'K) Plafonnement aide'!C289</f>
        <v>-12.804742846945759</v>
      </c>
      <c r="G289" s="142">
        <f t="shared" si="17"/>
        <v>-14.616502334205729</v>
      </c>
      <c r="H289" s="115">
        <f t="shared" si="18"/>
        <v>-1.8117594872599696</v>
      </c>
      <c r="I289" s="142">
        <f t="shared" si="19"/>
        <v>0</v>
      </c>
      <c r="J289" s="58">
        <f t="shared" si="20"/>
        <v>0</v>
      </c>
      <c r="K289" s="37"/>
    </row>
    <row r="290" spans="1:11" x14ac:dyDescent="0.25">
      <c r="A290" s="50">
        <f>'A) Base RI'!A292</f>
        <v>5909</v>
      </c>
      <c r="B290" s="308" t="str">
        <f>'A) Base RI'!B292</f>
        <v>Cheseaux-Noréaz</v>
      </c>
      <c r="C290" s="99">
        <f>'B) D RI'!U292</f>
        <v>27860.638922764225</v>
      </c>
      <c r="D290" s="115">
        <f>'E) Fact soc'!G296/C290</f>
        <v>20.702161979874347</v>
      </c>
      <c r="E290" s="142">
        <f>'H) Péréquation directe'!I301/C290</f>
        <v>14.073096209821085</v>
      </c>
      <c r="F290" s="115">
        <f>+'I) Dépenses thématiques'!O290/'K) Plafonnement aide'!C290</f>
        <v>-4.3302997033868715</v>
      </c>
      <c r="G290" s="142">
        <f t="shared" si="17"/>
        <v>30.444958486308565</v>
      </c>
      <c r="H290" s="115">
        <f t="shared" si="18"/>
        <v>34.775258189695435</v>
      </c>
      <c r="I290" s="142">
        <f t="shared" si="19"/>
        <v>0</v>
      </c>
      <c r="J290" s="58">
        <f t="shared" si="20"/>
        <v>0</v>
      </c>
      <c r="K290" s="37"/>
    </row>
    <row r="291" spans="1:11" x14ac:dyDescent="0.25">
      <c r="A291" s="50">
        <f>'A) Base RI'!A293</f>
        <v>5910</v>
      </c>
      <c r="B291" s="308" t="str">
        <f>'A) Base RI'!B293</f>
        <v>Cronay</v>
      </c>
      <c r="C291" s="99">
        <f>'B) D RI'!U293</f>
        <v>10082.92355515589</v>
      </c>
      <c r="D291" s="115">
        <f>'E) Fact soc'!G297/C291</f>
        <v>16.195211173734641</v>
      </c>
      <c r="E291" s="142">
        <f>'H) Péréquation directe'!I302/C291</f>
        <v>-2.1368729697740401</v>
      </c>
      <c r="F291" s="115">
        <f>+'I) Dépenses thématiques'!O291/'K) Plafonnement aide'!C291</f>
        <v>-9.3403481130767787</v>
      </c>
      <c r="G291" s="142">
        <f t="shared" si="17"/>
        <v>4.7179900908838235</v>
      </c>
      <c r="H291" s="115">
        <f t="shared" si="18"/>
        <v>14.058338203960602</v>
      </c>
      <c r="I291" s="142">
        <f t="shared" si="19"/>
        <v>0</v>
      </c>
      <c r="J291" s="58">
        <f t="shared" si="20"/>
        <v>0</v>
      </c>
      <c r="K291" s="37"/>
    </row>
    <row r="292" spans="1:11" x14ac:dyDescent="0.25">
      <c r="A292" s="50">
        <f>'A) Base RI'!A294</f>
        <v>5911</v>
      </c>
      <c r="B292" s="308" t="str">
        <f>'A) Base RI'!B294</f>
        <v>Cuarny</v>
      </c>
      <c r="C292" s="99">
        <f>'B) D RI'!U294</f>
        <v>7082.7432735873799</v>
      </c>
      <c r="D292" s="115">
        <f>'E) Fact soc'!G298/C292</f>
        <v>16.523664910363355</v>
      </c>
      <c r="E292" s="142">
        <f>'H) Péréquation directe'!I303/C292</f>
        <v>2.4280140134078874</v>
      </c>
      <c r="F292" s="115">
        <f>+'I) Dépenses thématiques'!O292/'K) Plafonnement aide'!C292</f>
        <v>-2.9588440656088739</v>
      </c>
      <c r="G292" s="142">
        <f t="shared" si="17"/>
        <v>15.992834858162366</v>
      </c>
      <c r="H292" s="115">
        <f t="shared" si="18"/>
        <v>18.95167892377124</v>
      </c>
      <c r="I292" s="142">
        <f t="shared" si="19"/>
        <v>0</v>
      </c>
      <c r="J292" s="58">
        <f t="shared" si="20"/>
        <v>0</v>
      </c>
      <c r="K292" s="37"/>
    </row>
    <row r="293" spans="1:11" x14ac:dyDescent="0.25">
      <c r="A293" s="50">
        <f>'A) Base RI'!A295</f>
        <v>5912</v>
      </c>
      <c r="B293" s="308" t="str">
        <f>'A) Base RI'!B295</f>
        <v>Démoret</v>
      </c>
      <c r="C293" s="99">
        <f>'B) D RI'!U295</f>
        <v>3186.2414803898018</v>
      </c>
      <c r="D293" s="115">
        <f>'E) Fact soc'!G299/C293</f>
        <v>18.013969721752598</v>
      </c>
      <c r="E293" s="142">
        <f>'H) Péréquation directe'!I304/C293</f>
        <v>-13.645044142971566</v>
      </c>
      <c r="F293" s="115">
        <f>+'I) Dépenses thématiques'!O293/'K) Plafonnement aide'!C293</f>
        <v>-4.7992498320738983</v>
      </c>
      <c r="G293" s="142">
        <f t="shared" si="17"/>
        <v>-0.4303242532928655</v>
      </c>
      <c r="H293" s="115">
        <f t="shared" si="18"/>
        <v>4.3689255787810328</v>
      </c>
      <c r="I293" s="142">
        <f t="shared" si="19"/>
        <v>0</v>
      </c>
      <c r="J293" s="58">
        <f t="shared" si="20"/>
        <v>0</v>
      </c>
      <c r="K293" s="37"/>
    </row>
    <row r="294" spans="1:11" x14ac:dyDescent="0.25">
      <c r="A294" s="50">
        <f>'A) Base RI'!A296</f>
        <v>5913</v>
      </c>
      <c r="B294" s="308" t="str">
        <f>'A) Base RI'!B296</f>
        <v>Donneloye</v>
      </c>
      <c r="C294" s="99">
        <f>'B) D RI'!U296</f>
        <v>20035.3963318641</v>
      </c>
      <c r="D294" s="115">
        <f>'E) Fact soc'!G300/C294</f>
        <v>18.016455127954877</v>
      </c>
      <c r="E294" s="142">
        <f>'H) Péréquation directe'!I305/C294</f>
        <v>-2.7100688878577941</v>
      </c>
      <c r="F294" s="115">
        <f>+'I) Dépenses thématiques'!O294/'K) Plafonnement aide'!C294</f>
        <v>-6.4212892337601897</v>
      </c>
      <c r="G294" s="142">
        <f t="shared" si="17"/>
        <v>8.8850970063368937</v>
      </c>
      <c r="H294" s="115">
        <f t="shared" si="18"/>
        <v>15.306386240097083</v>
      </c>
      <c r="I294" s="142">
        <f t="shared" si="19"/>
        <v>0</v>
      </c>
      <c r="J294" s="58">
        <f t="shared" si="20"/>
        <v>0</v>
      </c>
      <c r="K294" s="37"/>
    </row>
    <row r="295" spans="1:11" x14ac:dyDescent="0.25">
      <c r="A295" s="50">
        <f>'A) Base RI'!A297</f>
        <v>5914</v>
      </c>
      <c r="B295" s="308" t="str">
        <f>'A) Base RI'!B297</f>
        <v>Ependes</v>
      </c>
      <c r="C295" s="99">
        <f>'B) D RI'!U297</f>
        <v>10170.223624242424</v>
      </c>
      <c r="D295" s="115">
        <f>'E) Fact soc'!G301/C295</f>
        <v>17.630596774594206</v>
      </c>
      <c r="E295" s="142">
        <f>'H) Péréquation directe'!I306/C295</f>
        <v>2.0796539253006676</v>
      </c>
      <c r="F295" s="115">
        <f>+'I) Dépenses thématiques'!O295/'K) Plafonnement aide'!C295</f>
        <v>-6.7351017113417688</v>
      </c>
      <c r="G295" s="142">
        <f t="shared" si="17"/>
        <v>12.975148988553105</v>
      </c>
      <c r="H295" s="115">
        <f t="shared" si="18"/>
        <v>19.710250699894875</v>
      </c>
      <c r="I295" s="142">
        <f t="shared" si="19"/>
        <v>0</v>
      </c>
      <c r="J295" s="58">
        <f t="shared" si="20"/>
        <v>0</v>
      </c>
      <c r="K295" s="37"/>
    </row>
    <row r="296" spans="1:11" x14ac:dyDescent="0.25">
      <c r="A296" s="50">
        <f>'A) Base RI'!A298</f>
        <v>5919</v>
      </c>
      <c r="B296" s="308" t="str">
        <f>'A) Base RI'!B298</f>
        <v>Mathod</v>
      </c>
      <c r="C296" s="99">
        <f>'B) D RI'!U298</f>
        <v>15960.347228765168</v>
      </c>
      <c r="D296" s="115">
        <f>'E) Fact soc'!G302/C296</f>
        <v>16.555774683401815</v>
      </c>
      <c r="E296" s="142">
        <f>'H) Péréquation directe'!I307/C296</f>
        <v>-0.19961222046554813</v>
      </c>
      <c r="F296" s="115">
        <f>+'I) Dépenses thématiques'!O296/'K) Plafonnement aide'!C296</f>
        <v>-16.060375313478744</v>
      </c>
      <c r="G296" s="142">
        <f t="shared" si="17"/>
        <v>0.29578714945752438</v>
      </c>
      <c r="H296" s="115">
        <f t="shared" si="18"/>
        <v>16.356162462936268</v>
      </c>
      <c r="I296" s="142">
        <f t="shared" si="19"/>
        <v>0</v>
      </c>
      <c r="J296" s="58">
        <f t="shared" si="20"/>
        <v>0</v>
      </c>
      <c r="K296" s="37"/>
    </row>
    <row r="297" spans="1:11" x14ac:dyDescent="0.25">
      <c r="A297" s="50">
        <f>'A) Base RI'!A299</f>
        <v>5921</v>
      </c>
      <c r="B297" s="308" t="str">
        <f>'A) Base RI'!B299</f>
        <v>Molondin</v>
      </c>
      <c r="C297" s="99">
        <f>'B) D RI'!U299</f>
        <v>5323.6574375620139</v>
      </c>
      <c r="D297" s="115">
        <f>'E) Fact soc'!G303/C297</f>
        <v>18.025026596167073</v>
      </c>
      <c r="E297" s="142">
        <f>'H) Péréquation directe'!I308/C297</f>
        <v>-10.719215036355493</v>
      </c>
      <c r="F297" s="115">
        <f>+'I) Dépenses thématiques'!O297/'K) Plafonnement aide'!C297</f>
        <v>-7.3156589719063296</v>
      </c>
      <c r="G297" s="142">
        <f t="shared" si="17"/>
        <v>-9.8474120947491528E-3</v>
      </c>
      <c r="H297" s="115">
        <f t="shared" si="18"/>
        <v>7.3058115598115805</v>
      </c>
      <c r="I297" s="142">
        <f t="shared" si="19"/>
        <v>0</v>
      </c>
      <c r="J297" s="58">
        <f t="shared" si="20"/>
        <v>0</v>
      </c>
      <c r="K297" s="37"/>
    </row>
    <row r="298" spans="1:11" x14ac:dyDescent="0.25">
      <c r="A298" s="50">
        <f>'A) Base RI'!A300</f>
        <v>5922</v>
      </c>
      <c r="B298" s="308" t="str">
        <f>'A) Base RI'!B300</f>
        <v>Montagny-près-Yverdon</v>
      </c>
      <c r="C298" s="99">
        <f>'B) D RI'!U300</f>
        <v>42538.107931378596</v>
      </c>
      <c r="D298" s="115">
        <f>'E) Fact soc'!G304/C298</f>
        <v>22.157220906102499</v>
      </c>
      <c r="E298" s="142">
        <f>'H) Péréquation directe'!I309/C298</f>
        <v>17.930760093472642</v>
      </c>
      <c r="F298" s="115">
        <f>+'I) Dépenses thématiques'!O298/'K) Plafonnement aide'!C298</f>
        <v>-4.667505492534346</v>
      </c>
      <c r="G298" s="142">
        <f t="shared" si="17"/>
        <v>35.420475507040791</v>
      </c>
      <c r="H298" s="115">
        <f t="shared" si="18"/>
        <v>40.087980999575137</v>
      </c>
      <c r="I298" s="142">
        <f t="shared" si="19"/>
        <v>0</v>
      </c>
      <c r="J298" s="58">
        <f t="shared" si="20"/>
        <v>0</v>
      </c>
      <c r="K298" s="37"/>
    </row>
    <row r="299" spans="1:11" x14ac:dyDescent="0.25">
      <c r="A299" s="50">
        <f>'A) Base RI'!A301</f>
        <v>5923</v>
      </c>
      <c r="B299" s="308" t="str">
        <f>'A) Base RI'!B301</f>
        <v>Oppens</v>
      </c>
      <c r="C299" s="99">
        <f>'B) D RI'!U301</f>
        <v>4631.0916713851466</v>
      </c>
      <c r="D299" s="115">
        <f>'E) Fact soc'!G305/C299</f>
        <v>17.933942697076528</v>
      </c>
      <c r="E299" s="142">
        <f>'H) Péréquation directe'!I310/C299</f>
        <v>-6.5452006512712542</v>
      </c>
      <c r="F299" s="115">
        <f>+'I) Dépenses thématiques'!O299/'K) Plafonnement aide'!C299</f>
        <v>-9.665945827576655</v>
      </c>
      <c r="G299" s="142">
        <f t="shared" si="17"/>
        <v>1.7227962182286181</v>
      </c>
      <c r="H299" s="115">
        <f t="shared" si="18"/>
        <v>11.388742045805273</v>
      </c>
      <c r="I299" s="142">
        <f t="shared" si="19"/>
        <v>0</v>
      </c>
      <c r="J299" s="58">
        <f t="shared" si="20"/>
        <v>0</v>
      </c>
      <c r="K299" s="37"/>
    </row>
    <row r="300" spans="1:11" x14ac:dyDescent="0.25">
      <c r="A300" s="50">
        <f>'A) Base RI'!A302</f>
        <v>5924</v>
      </c>
      <c r="B300" s="308" t="str">
        <f>'A) Base RI'!B302</f>
        <v>Orges</v>
      </c>
      <c r="C300" s="99">
        <f>'B) D RI'!U302</f>
        <v>10396.618626656635</v>
      </c>
      <c r="D300" s="115">
        <f>'E) Fact soc'!G306/C300</f>
        <v>16.792339779589717</v>
      </c>
      <c r="E300" s="142">
        <f>'H) Péréquation directe'!I311/C300</f>
        <v>5.9629925789546583</v>
      </c>
      <c r="F300" s="115">
        <f>+'I) Dépenses thématiques'!O300/'K) Plafonnement aide'!C300</f>
        <v>0</v>
      </c>
      <c r="G300" s="142">
        <f t="shared" si="17"/>
        <v>22.755332358544376</v>
      </c>
      <c r="H300" s="115">
        <f t="shared" si="18"/>
        <v>22.755332358544376</v>
      </c>
      <c r="I300" s="142">
        <f t="shared" si="19"/>
        <v>0</v>
      </c>
      <c r="J300" s="58">
        <f t="shared" si="20"/>
        <v>0</v>
      </c>
      <c r="K300" s="37"/>
    </row>
    <row r="301" spans="1:11" x14ac:dyDescent="0.25">
      <c r="A301" s="50">
        <f>'A) Base RI'!A303</f>
        <v>5925</v>
      </c>
      <c r="B301" s="308" t="str">
        <f>'A) Base RI'!B303</f>
        <v>Orzens</v>
      </c>
      <c r="C301" s="99">
        <f>'B) D RI'!U303</f>
        <v>4755.0256411268865</v>
      </c>
      <c r="D301" s="115">
        <f>'E) Fact soc'!G307/C301</f>
        <v>16.632105023375988</v>
      </c>
      <c r="E301" s="142">
        <f>'H) Péréquation directe'!I312/C301</f>
        <v>-6.2786299955731373</v>
      </c>
      <c r="F301" s="115">
        <f>+'I) Dépenses thématiques'!O301/'K) Plafonnement aide'!C301</f>
        <v>-2.3226640098151266</v>
      </c>
      <c r="G301" s="142">
        <f t="shared" si="17"/>
        <v>8.030811017987725</v>
      </c>
      <c r="H301" s="115">
        <f t="shared" si="18"/>
        <v>10.353475027802851</v>
      </c>
      <c r="I301" s="142">
        <f t="shared" si="19"/>
        <v>0</v>
      </c>
      <c r="J301" s="58">
        <f t="shared" si="20"/>
        <v>0</v>
      </c>
      <c r="K301" s="37"/>
    </row>
    <row r="302" spans="1:11" x14ac:dyDescent="0.25">
      <c r="A302" s="50">
        <f>'A) Base RI'!A304</f>
        <v>5926</v>
      </c>
      <c r="B302" s="308" t="str">
        <f>'A) Base RI'!B304</f>
        <v>Pomy</v>
      </c>
      <c r="C302" s="99">
        <f>'B) D RI'!U304</f>
        <v>23259.861194280857</v>
      </c>
      <c r="D302" s="115">
        <f>'E) Fact soc'!G308/C302</f>
        <v>17.714618613265674</v>
      </c>
      <c r="E302" s="142">
        <f>'H) Péréquation directe'!I313/C302</f>
        <v>5.2869127844884938</v>
      </c>
      <c r="F302" s="115">
        <f>+'I) Dépenses thématiques'!O302/'K) Plafonnement aide'!C302</f>
        <v>-1.5735019496850351</v>
      </c>
      <c r="G302" s="142">
        <f t="shared" si="17"/>
        <v>21.428029448069132</v>
      </c>
      <c r="H302" s="115">
        <f t="shared" si="18"/>
        <v>23.001531397754167</v>
      </c>
      <c r="I302" s="142">
        <f t="shared" si="19"/>
        <v>0</v>
      </c>
      <c r="J302" s="58">
        <f t="shared" si="20"/>
        <v>0</v>
      </c>
      <c r="K302" s="37"/>
    </row>
    <row r="303" spans="1:11" x14ac:dyDescent="0.25">
      <c r="A303" s="50">
        <f>'A) Base RI'!A305</f>
        <v>5928</v>
      </c>
      <c r="B303" s="308" t="str">
        <f>'A) Base RI'!B305</f>
        <v>Rovray</v>
      </c>
      <c r="C303" s="99">
        <f>'B) D RI'!U305</f>
        <v>4486.3585880513701</v>
      </c>
      <c r="D303" s="115">
        <f>'E) Fact soc'!G309/C303</f>
        <v>16.932196268956808</v>
      </c>
      <c r="E303" s="142">
        <f>'H) Péréquation directe'!I314/C303</f>
        <v>-3.9050721703171463</v>
      </c>
      <c r="F303" s="115">
        <f>+'I) Dépenses thématiques'!O303/'K) Plafonnement aide'!C303</f>
        <v>-3.0156636403797119</v>
      </c>
      <c r="G303" s="142">
        <f t="shared" si="17"/>
        <v>10.01146045825995</v>
      </c>
      <c r="H303" s="115">
        <f t="shared" si="18"/>
        <v>13.027124098639662</v>
      </c>
      <c r="I303" s="142">
        <f t="shared" si="19"/>
        <v>0</v>
      </c>
      <c r="J303" s="58">
        <f t="shared" si="20"/>
        <v>0</v>
      </c>
      <c r="K303" s="37"/>
    </row>
    <row r="304" spans="1:11" x14ac:dyDescent="0.25">
      <c r="A304" s="50">
        <f>'A) Base RI'!A306</f>
        <v>5929</v>
      </c>
      <c r="B304" s="308" t="str">
        <f>'A) Base RI'!B306</f>
        <v>Suchy</v>
      </c>
      <c r="C304" s="99">
        <f>'B) D RI'!U306</f>
        <v>17021.216382984901</v>
      </c>
      <c r="D304" s="115">
        <f>'E) Fact soc'!G310/C304</f>
        <v>18.383174334141565</v>
      </c>
      <c r="E304" s="142">
        <f>'H) Péréquation directe'!I315/C304</f>
        <v>3.7776336629989484</v>
      </c>
      <c r="F304" s="115">
        <f>+'I) Dépenses thématiques'!O304/'K) Plafonnement aide'!C304</f>
        <v>-1.1772242925530576</v>
      </c>
      <c r="G304" s="142">
        <f t="shared" si="17"/>
        <v>20.983583704587456</v>
      </c>
      <c r="H304" s="115">
        <f t="shared" si="18"/>
        <v>22.160807997140513</v>
      </c>
      <c r="I304" s="142">
        <f t="shared" si="19"/>
        <v>0</v>
      </c>
      <c r="J304" s="58">
        <f t="shared" si="20"/>
        <v>0</v>
      </c>
      <c r="K304" s="37"/>
    </row>
    <row r="305" spans="1:13" x14ac:dyDescent="0.25">
      <c r="A305" s="50">
        <f>'A) Base RI'!A307</f>
        <v>5930</v>
      </c>
      <c r="B305" s="308" t="str">
        <f>'A) Base RI'!B307</f>
        <v>Suscévaz</v>
      </c>
      <c r="C305" s="99">
        <f>'B) D RI'!U307</f>
        <v>5363.6524098848004</v>
      </c>
      <c r="D305" s="115">
        <f>'E) Fact soc'!G311/C305</f>
        <v>19.646819232772138</v>
      </c>
      <c r="E305" s="142">
        <f>'H) Péréquation directe'!I316/C305</f>
        <v>1.248226515280209</v>
      </c>
      <c r="F305" s="115">
        <f>+'I) Dépenses thématiques'!O305/'K) Plafonnement aide'!C305</f>
        <v>-6.4294967133099288</v>
      </c>
      <c r="G305" s="142">
        <f t="shared" si="17"/>
        <v>14.465549034742418</v>
      </c>
      <c r="H305" s="115">
        <f t="shared" si="18"/>
        <v>20.895045748052347</v>
      </c>
      <c r="I305" s="142">
        <f t="shared" si="19"/>
        <v>0</v>
      </c>
      <c r="J305" s="58">
        <f t="shared" si="20"/>
        <v>0</v>
      </c>
      <c r="K305" s="37"/>
    </row>
    <row r="306" spans="1:13" x14ac:dyDescent="0.25">
      <c r="A306" s="50">
        <f>'A) Base RI'!A308</f>
        <v>5931</v>
      </c>
      <c r="B306" s="308" t="str">
        <f>'A) Base RI'!B308</f>
        <v>Treycovagnes</v>
      </c>
      <c r="C306" s="99">
        <f>'B) D RI'!U308</f>
        <v>13443.123228865978</v>
      </c>
      <c r="D306" s="115">
        <f>'E) Fact soc'!G312/C306</f>
        <v>19.94616377365011</v>
      </c>
      <c r="E306" s="142">
        <f>'H) Péréquation directe'!I317/C306</f>
        <v>3.8689197057192737</v>
      </c>
      <c r="F306" s="115">
        <f>+'I) Dépenses thématiques'!O306/'K) Plafonnement aide'!C306</f>
        <v>-1.0879176198727636</v>
      </c>
      <c r="G306" s="142">
        <f t="shared" si="17"/>
        <v>22.727165859496623</v>
      </c>
      <c r="H306" s="115">
        <f t="shared" si="18"/>
        <v>23.815083479369385</v>
      </c>
      <c r="I306" s="142">
        <f t="shared" si="19"/>
        <v>0</v>
      </c>
      <c r="J306" s="58">
        <f t="shared" si="20"/>
        <v>0</v>
      </c>
      <c r="K306" s="37"/>
    </row>
    <row r="307" spans="1:13" x14ac:dyDescent="0.25">
      <c r="A307" s="50">
        <f>'A) Base RI'!A309</f>
        <v>5932</v>
      </c>
      <c r="B307" s="308" t="str">
        <f>'A) Base RI'!B309</f>
        <v>Ursins</v>
      </c>
      <c r="C307" s="99">
        <f>'B) D RI'!U309</f>
        <v>6855.3003269100209</v>
      </c>
      <c r="D307" s="115">
        <f>'E) Fact soc'!G313/C307</f>
        <v>17.701685915360443</v>
      </c>
      <c r="E307" s="142">
        <f>'H) Péréquation directe'!I318/C307</f>
        <v>5.4774433171729635</v>
      </c>
      <c r="F307" s="115">
        <f>+'I) Dépenses thématiques'!O307/'K) Plafonnement aide'!C307</f>
        <v>-0.90868006619124841</v>
      </c>
      <c r="G307" s="142">
        <f t="shared" si="17"/>
        <v>22.270449166342157</v>
      </c>
      <c r="H307" s="115">
        <f t="shared" si="18"/>
        <v>23.179129232533406</v>
      </c>
      <c r="I307" s="142">
        <f t="shared" si="19"/>
        <v>0</v>
      </c>
      <c r="J307" s="58">
        <f t="shared" si="20"/>
        <v>0</v>
      </c>
      <c r="K307" s="37"/>
    </row>
    <row r="308" spans="1:13" x14ac:dyDescent="0.25">
      <c r="A308" s="50">
        <f>'A) Base RI'!A310</f>
        <v>5933</v>
      </c>
      <c r="B308" s="308" t="str">
        <f>'A) Base RI'!B310</f>
        <v>Valeyres-sous-Montagny</v>
      </c>
      <c r="C308" s="99">
        <f>'B) D RI'!U310</f>
        <v>20669.421262090575</v>
      </c>
      <c r="D308" s="115">
        <f>'E) Fact soc'!G314/C308</f>
        <v>18.996424145259596</v>
      </c>
      <c r="E308" s="142">
        <f>'H) Péréquation directe'!I319/C308</f>
        <v>4.607857940256844</v>
      </c>
      <c r="F308" s="115">
        <f>+'I) Dépenses thématiques'!O308/'K) Plafonnement aide'!C308</f>
        <v>-13.739703634001634</v>
      </c>
      <c r="G308" s="142">
        <f t="shared" si="17"/>
        <v>9.8645784515148041</v>
      </c>
      <c r="H308" s="115">
        <f t="shared" si="18"/>
        <v>23.604282085516438</v>
      </c>
      <c r="I308" s="142">
        <f t="shared" si="19"/>
        <v>0</v>
      </c>
      <c r="J308" s="58">
        <f t="shared" si="20"/>
        <v>0</v>
      </c>
      <c r="K308" s="37"/>
    </row>
    <row r="309" spans="1:13" x14ac:dyDescent="0.25">
      <c r="A309" s="50">
        <f>'A) Base RI'!A311</f>
        <v>5934</v>
      </c>
      <c r="B309" s="308" t="str">
        <f>'A) Base RI'!B311</f>
        <v>Valeyres-sous-Ursins</v>
      </c>
      <c r="C309" s="99">
        <f>'B) D RI'!U311</f>
        <v>6791.6761133712571</v>
      </c>
      <c r="D309" s="115">
        <f>'E) Fact soc'!G315/C309</f>
        <v>15.776168524359456</v>
      </c>
      <c r="E309" s="142">
        <f>'H) Péréquation directe'!I320/C309</f>
        <v>1.1605448309910258</v>
      </c>
      <c r="F309" s="115">
        <f>+'I) Dépenses thématiques'!O309/'K) Plafonnement aide'!C309</f>
        <v>-0.83178921089147495</v>
      </c>
      <c r="G309" s="142">
        <f t="shared" si="17"/>
        <v>16.104924144459005</v>
      </c>
      <c r="H309" s="115">
        <f t="shared" si="18"/>
        <v>16.936713355350481</v>
      </c>
      <c r="I309" s="142">
        <f t="shared" si="19"/>
        <v>0</v>
      </c>
      <c r="J309" s="58">
        <f t="shared" si="20"/>
        <v>0</v>
      </c>
      <c r="K309" s="37"/>
    </row>
    <row r="310" spans="1:13" x14ac:dyDescent="0.25">
      <c r="A310" s="50">
        <f>'A) Base RI'!A312</f>
        <v>5935</v>
      </c>
      <c r="B310" s="308" t="str">
        <f>'A) Base RI'!B312</f>
        <v>Villars-Epeney</v>
      </c>
      <c r="C310" s="99">
        <f>'B) D RI'!U312</f>
        <v>5529.6840523560213</v>
      </c>
      <c r="D310" s="115">
        <f>'E) Fact soc'!G316/C310</f>
        <v>18.229336429878654</v>
      </c>
      <c r="E310" s="142">
        <f>'H) Péréquation directe'!I321/C310</f>
        <v>17.645027465619076</v>
      </c>
      <c r="F310" s="115">
        <f>+'I) Dépenses thématiques'!O310/'K) Plafonnement aide'!C310</f>
        <v>-2.8822147540133738</v>
      </c>
      <c r="G310" s="142">
        <f t="shared" si="17"/>
        <v>32.992149141484354</v>
      </c>
      <c r="H310" s="115">
        <f t="shared" si="18"/>
        <v>35.87436389549773</v>
      </c>
      <c r="I310" s="142">
        <f t="shared" si="19"/>
        <v>0</v>
      </c>
      <c r="J310" s="58">
        <f t="shared" si="20"/>
        <v>0</v>
      </c>
      <c r="K310" s="37"/>
    </row>
    <row r="311" spans="1:13" x14ac:dyDescent="0.25">
      <c r="A311" s="50">
        <f>'A) Base RI'!A313</f>
        <v>5937</v>
      </c>
      <c r="B311" s="308" t="str">
        <f>'A) Base RI'!B313</f>
        <v>Vugelles-La Mothe</v>
      </c>
      <c r="C311" s="99">
        <f>'B) D RI'!U313</f>
        <v>2865.8382395608655</v>
      </c>
      <c r="D311" s="115">
        <f>'E) Fact soc'!G317/C311</f>
        <v>17.866159130709164</v>
      </c>
      <c r="E311" s="142">
        <f>'H) Péréquation directe'!I322/C311</f>
        <v>-3.2874323046130152</v>
      </c>
      <c r="F311" s="115">
        <f>+'I) Dépenses thématiques'!O311/'K) Plafonnement aide'!C311</f>
        <v>-10.052675508781903</v>
      </c>
      <c r="G311" s="142">
        <f t="shared" si="17"/>
        <v>4.5260513173142467</v>
      </c>
      <c r="H311" s="115">
        <f t="shared" si="18"/>
        <v>14.578726826096149</v>
      </c>
      <c r="I311" s="142">
        <f t="shared" si="19"/>
        <v>0</v>
      </c>
      <c r="J311" s="58">
        <f t="shared" si="20"/>
        <v>0</v>
      </c>
      <c r="K311" s="37"/>
    </row>
    <row r="312" spans="1:13" x14ac:dyDescent="0.25">
      <c r="A312" s="50">
        <f>'A) Base RI'!A314</f>
        <v>5938</v>
      </c>
      <c r="B312" s="308" t="str">
        <f>'A) Base RI'!B314</f>
        <v>Yverdon-les-Bains</v>
      </c>
      <c r="C312" s="99">
        <f>'B) D RI'!U314</f>
        <v>774260.97307948919</v>
      </c>
      <c r="D312" s="115">
        <f>'E) Fact soc'!G318/C312</f>
        <v>19.453667234742834</v>
      </c>
      <c r="E312" s="142">
        <f>'H) Péréquation directe'!I323/C312</f>
        <v>-30.639325947248359</v>
      </c>
      <c r="F312" s="115">
        <f>+'I) Dépenses thématiques'!O312/'K) Plafonnement aide'!C312</f>
        <v>-10.223176276134524</v>
      </c>
      <c r="G312" s="142">
        <f t="shared" si="17"/>
        <v>-21.408834988640049</v>
      </c>
      <c r="H312" s="115">
        <f t="shared" si="18"/>
        <v>-11.185658712505525</v>
      </c>
      <c r="I312" s="142">
        <f t="shared" si="19"/>
        <v>-3.1856587125055249</v>
      </c>
      <c r="J312" s="58">
        <f t="shared" si="20"/>
        <v>2466531.2146436805</v>
      </c>
      <c r="K312" s="37"/>
    </row>
    <row r="313" spans="1:13" x14ac:dyDescent="0.25">
      <c r="A313" s="50">
        <f>'A) Base RI'!A315</f>
        <v>5939</v>
      </c>
      <c r="B313" s="308" t="str">
        <f>'A) Base RI'!B315</f>
        <v>Yvonand</v>
      </c>
      <c r="C313" s="99">
        <f>'B) D RI'!U315</f>
        <v>92761.457314991218</v>
      </c>
      <c r="D313" s="115">
        <f>'E) Fact soc'!G319/C313</f>
        <v>22.574429496679105</v>
      </c>
      <c r="E313" s="142">
        <f>'H) Péréquation directe'!I324/C313</f>
        <v>-4.0829448513622504</v>
      </c>
      <c r="F313" s="115">
        <f>+'I) Dépenses thématiques'!O313/'K) Plafonnement aide'!C313</f>
        <v>-3.861290276063007</v>
      </c>
      <c r="G313" s="142">
        <f t="shared" si="17"/>
        <v>14.630194369253848</v>
      </c>
      <c r="H313" s="115">
        <f t="shared" si="18"/>
        <v>18.491484645316856</v>
      </c>
      <c r="I313" s="142">
        <f t="shared" si="19"/>
        <v>0</v>
      </c>
      <c r="J313" s="58">
        <f t="shared" si="20"/>
        <v>0</v>
      </c>
      <c r="K313" s="37"/>
    </row>
    <row r="314" spans="1:13" x14ac:dyDescent="0.25">
      <c r="A314" s="31"/>
      <c r="B314" s="315">
        <f>COUNTA(B5:B313)</f>
        <v>309</v>
      </c>
      <c r="C314" s="101">
        <f>'B) D RI'!U316</f>
        <v>35922747.174706832</v>
      </c>
      <c r="D314" s="324">
        <f>'E) Fact soc'!G320/C314</f>
        <v>22.756750646720864</v>
      </c>
      <c r="E314" s="114">
        <f>'H) Péréquation directe'!I325/C314</f>
        <v>4.8185974915244625</v>
      </c>
      <c r="F314" s="324">
        <f>'I) Dépenses thématiques'!P314</f>
        <v>-4.2339944084462076</v>
      </c>
      <c r="G314" s="114">
        <f t="shared" ref="G314" si="21">SUM(D314:F314)</f>
        <v>23.341353729799117</v>
      </c>
      <c r="H314" s="324">
        <f t="shared" ref="H314" si="22">G314-F314</f>
        <v>27.575348138245324</v>
      </c>
      <c r="I314" s="114"/>
      <c r="J314" s="38">
        <f>SUM(J5:J313)</f>
        <v>4575106.25798475</v>
      </c>
      <c r="L314" s="12"/>
      <c r="M314" s="12"/>
    </row>
    <row r="315" spans="1:13" x14ac:dyDescent="0.25">
      <c r="I315" s="29"/>
    </row>
    <row r="316" spans="1:13" x14ac:dyDescent="0.25">
      <c r="I316" s="29"/>
    </row>
  </sheetData>
  <mergeCells count="9">
    <mergeCell ref="C3:C4"/>
    <mergeCell ref="B3:B4"/>
    <mergeCell ref="A3:A4"/>
    <mergeCell ref="J3:J4"/>
    <mergeCell ref="H3:H4"/>
    <mergeCell ref="G3:G4"/>
    <mergeCell ref="F3:F4"/>
    <mergeCell ref="E3:E4"/>
    <mergeCell ref="D3:D4"/>
  </mergeCells>
  <phoneticPr fontId="9"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rgb="FF00B050"/>
  </sheetPr>
  <dimension ref="A1:V320"/>
  <sheetViews>
    <sheetView workbookViewId="0">
      <pane ySplit="5" topLeftCell="A6" activePane="bottomLeft" state="frozen"/>
      <selection pane="bottomLeft" activeCell="A6" sqref="A6"/>
    </sheetView>
  </sheetViews>
  <sheetFormatPr baseColWidth="10" defaultColWidth="10.75" defaultRowHeight="15" x14ac:dyDescent="0.25"/>
  <cols>
    <col min="1" max="1" width="7.25" style="13" customWidth="1"/>
    <col min="2" max="2" width="18" style="13" customWidth="1"/>
    <col min="3" max="3" width="11.125" style="6" customWidth="1"/>
    <col min="4" max="4" width="11.25" style="6" customWidth="1"/>
    <col min="5" max="6" width="10.125" style="6" customWidth="1"/>
    <col min="7" max="7" width="11" style="6" customWidth="1"/>
    <col min="8" max="8" width="11" style="13" customWidth="1"/>
    <col min="9" max="9" width="8.625" style="13" bestFit="1" customWidth="1"/>
    <col min="10" max="10" width="12.125" style="13" bestFit="1" customWidth="1"/>
    <col min="11" max="11" width="10" style="13" customWidth="1"/>
    <col min="12" max="12" width="8.875" style="15" bestFit="1" customWidth="1"/>
    <col min="13" max="14" width="10.375" style="15" customWidth="1"/>
    <col min="15" max="15" width="6.75" style="13" customWidth="1"/>
    <col min="16" max="16" width="12.25" style="13" customWidth="1"/>
    <col min="17" max="17" width="12.625" style="13" customWidth="1"/>
    <col min="18" max="18" width="8.25" style="13" customWidth="1"/>
    <col min="19" max="19" width="8.125" style="13" customWidth="1"/>
    <col min="20" max="20" width="9.625" style="13" customWidth="1"/>
    <col min="21" max="21" width="11.25" style="6" bestFit="1" customWidth="1"/>
    <col min="22" max="16384" width="10.75" style="13"/>
  </cols>
  <sheetData>
    <row r="1" spans="1:22" s="44" customFormat="1" ht="21" x14ac:dyDescent="0.25">
      <c r="A1" s="52" t="s">
        <v>126</v>
      </c>
      <c r="B1" s="43"/>
      <c r="C1" s="45"/>
      <c r="D1" s="45"/>
      <c r="E1" s="45"/>
      <c r="F1" s="45"/>
      <c r="G1" s="45"/>
      <c r="H1" s="72"/>
      <c r="I1" s="72"/>
      <c r="J1" s="72"/>
      <c r="K1" s="72"/>
      <c r="L1" s="140"/>
      <c r="M1" s="140"/>
      <c r="N1" s="140"/>
      <c r="O1" s="72"/>
      <c r="P1" s="72"/>
      <c r="Q1" s="72"/>
      <c r="R1" s="72"/>
      <c r="S1" s="72"/>
      <c r="T1" s="72"/>
      <c r="U1" s="6"/>
    </row>
    <row r="2" spans="1:22" x14ac:dyDescent="0.25">
      <c r="H2" s="148"/>
      <c r="I2" s="148"/>
    </row>
    <row r="3" spans="1:22" x14ac:dyDescent="0.25">
      <c r="C3" s="514" t="str">
        <f>Paramètres!B6</f>
        <v>Acomptes 2018</v>
      </c>
      <c r="D3" s="515"/>
      <c r="E3" s="515"/>
      <c r="F3" s="515"/>
      <c r="G3" s="515"/>
      <c r="H3" s="515"/>
      <c r="I3" s="516"/>
    </row>
    <row r="4" spans="1:22" ht="30" x14ac:dyDescent="0.25">
      <c r="A4" s="485" t="s">
        <v>46</v>
      </c>
      <c r="B4" s="485" t="s">
        <v>96</v>
      </c>
      <c r="C4" s="482" t="s">
        <v>93</v>
      </c>
      <c r="D4" s="482" t="s">
        <v>145</v>
      </c>
      <c r="E4" s="482" t="s">
        <v>440</v>
      </c>
      <c r="F4" s="482" t="s">
        <v>253</v>
      </c>
      <c r="G4" s="482" t="s">
        <v>254</v>
      </c>
      <c r="H4" s="485" t="s">
        <v>360</v>
      </c>
      <c r="I4" s="65" t="s">
        <v>371</v>
      </c>
      <c r="J4" s="65" t="s">
        <v>371</v>
      </c>
      <c r="K4" s="499" t="s">
        <v>458</v>
      </c>
      <c r="L4" s="506" t="s">
        <v>359</v>
      </c>
      <c r="M4" s="506" t="s">
        <v>263</v>
      </c>
      <c r="N4" s="506" t="s">
        <v>264</v>
      </c>
      <c r="O4" s="501" t="s">
        <v>125</v>
      </c>
      <c r="P4" s="117" t="s">
        <v>126</v>
      </c>
      <c r="Q4" s="499" t="s">
        <v>372</v>
      </c>
      <c r="R4" s="485" t="s">
        <v>127</v>
      </c>
      <c r="S4" s="485" t="s">
        <v>257</v>
      </c>
      <c r="T4" s="149"/>
    </row>
    <row r="5" spans="1:22" ht="30" x14ac:dyDescent="0.25">
      <c r="A5" s="487"/>
      <c r="B5" s="487"/>
      <c r="C5" s="483"/>
      <c r="D5" s="484"/>
      <c r="E5" s="483"/>
      <c r="F5" s="484"/>
      <c r="G5" s="483"/>
      <c r="H5" s="487"/>
      <c r="I5" s="391" t="str">
        <f>Paramètres!B6</f>
        <v>Acomptes 2018</v>
      </c>
      <c r="J5" s="401" t="str">
        <f>Paramètres!B5</f>
        <v>Acomptes 2019</v>
      </c>
      <c r="K5" s="500"/>
      <c r="L5" s="513"/>
      <c r="M5" s="513"/>
      <c r="N5" s="513"/>
      <c r="O5" s="502"/>
      <c r="P5" s="122">
        <f>Paramètres!B50</f>
        <v>92.224816609080364</v>
      </c>
      <c r="Q5" s="500"/>
      <c r="R5" s="487"/>
      <c r="S5" s="487"/>
      <c r="T5" s="143"/>
    </row>
    <row r="6" spans="1:22" x14ac:dyDescent="0.25">
      <c r="A6" s="47">
        <f>'A) Base RI'!A7</f>
        <v>5401</v>
      </c>
      <c r="B6" s="396" t="str">
        <f>'A) Base RI'!B7</f>
        <v>Aigle</v>
      </c>
      <c r="C6" s="134">
        <v>5585230.1979759242</v>
      </c>
      <c r="D6" s="430">
        <v>-2640587.1604607655</v>
      </c>
      <c r="E6" s="134">
        <v>0</v>
      </c>
      <c r="F6" s="430">
        <v>0</v>
      </c>
      <c r="G6" s="134">
        <v>0</v>
      </c>
      <c r="H6" s="395">
        <f>SUM(C6:G6)</f>
        <v>2944643.0375151588</v>
      </c>
      <c r="I6" s="156">
        <v>274204.16723456793</v>
      </c>
      <c r="J6" s="397">
        <f>'B) D RI'!U7</f>
        <v>263862.68069135805</v>
      </c>
      <c r="K6" s="71">
        <f>H6/I6</f>
        <v>10.738870481848528</v>
      </c>
      <c r="L6" s="91">
        <f>'B) D RI'!S7</f>
        <v>67.5</v>
      </c>
      <c r="M6" s="91">
        <f>L6-K6</f>
        <v>56.761129518151471</v>
      </c>
      <c r="N6" s="91">
        <f>'J) Plafonnement effort'!G5+'J) Plafonnement effort'!H5-'K) Plafonnement aide'!I5</f>
        <v>-1.481875630300701</v>
      </c>
      <c r="O6" s="129">
        <f>M6+N6</f>
        <v>55.279253887850771</v>
      </c>
      <c r="P6" s="48">
        <f>IF(O6&gt;$P$5,$P$5-O6,0)</f>
        <v>0</v>
      </c>
      <c r="Q6" s="104">
        <f>P6*J6</f>
        <v>0</v>
      </c>
      <c r="R6" s="150">
        <f>O6+P6</f>
        <v>55.279253887850771</v>
      </c>
      <c r="S6" s="129">
        <f>R6-L6</f>
        <v>-12.220746112149229</v>
      </c>
      <c r="T6" s="151">
        <f>+C6+D6+E6+F6+G6-H6</f>
        <v>0</v>
      </c>
      <c r="V6" s="12"/>
    </row>
    <row r="7" spans="1:22" x14ac:dyDescent="0.25">
      <c r="A7" s="50">
        <f>'A) Base RI'!A8</f>
        <v>5402</v>
      </c>
      <c r="B7" s="392" t="str">
        <f>'A) Base RI'!B8</f>
        <v>Bex</v>
      </c>
      <c r="C7" s="2">
        <v>3152818.1427217349</v>
      </c>
      <c r="D7" s="430">
        <v>-3409900.5903095193</v>
      </c>
      <c r="E7" s="2">
        <v>0</v>
      </c>
      <c r="F7" s="430">
        <v>0</v>
      </c>
      <c r="G7" s="2">
        <v>0</v>
      </c>
      <c r="H7" s="395">
        <f t="shared" ref="H7:H70" si="0">SUM(C7:G7)</f>
        <v>-257082.44758778438</v>
      </c>
      <c r="I7" s="157">
        <v>168618.65154929578</v>
      </c>
      <c r="J7" s="398">
        <f>'B) D RI'!U8</f>
        <v>173630.8553521127</v>
      </c>
      <c r="K7" s="66">
        <f t="shared" ref="K7:K61" si="1">H7/I7</f>
        <v>-1.5246382605107367</v>
      </c>
      <c r="L7" s="34">
        <f>'B) D RI'!S8</f>
        <v>71</v>
      </c>
      <c r="M7" s="34">
        <f t="shared" ref="M7:M60" si="2">L7-K7</f>
        <v>72.524638260510741</v>
      </c>
      <c r="N7" s="34">
        <f>'J) Plafonnement effort'!G6+'J) Plafonnement effort'!H6-'K) Plafonnement aide'!I6</f>
        <v>-9.9088126025026586</v>
      </c>
      <c r="O7" s="131">
        <f t="shared" ref="O7:O60" si="3">M7+N7</f>
        <v>62.615825658008085</v>
      </c>
      <c r="P7" s="48">
        <f t="shared" ref="P7:P60" si="4">IF(O7&gt;$P$5,$P$5-O7,0)</f>
        <v>0</v>
      </c>
      <c r="Q7" s="58">
        <f t="shared" ref="Q7:Q62" si="5">P7*J7</f>
        <v>0</v>
      </c>
      <c r="R7" s="152">
        <f t="shared" ref="R7:R60" si="6">O7+P7</f>
        <v>62.615825658008085</v>
      </c>
      <c r="S7" s="131">
        <f t="shared" ref="S7:S60" si="7">R7-L7</f>
        <v>-8.3841743419919155</v>
      </c>
      <c r="T7" s="151">
        <f t="shared" ref="T7:T70" si="8">+C7+D7+E7+F7+G7-H7</f>
        <v>0</v>
      </c>
      <c r="V7" s="12"/>
    </row>
    <row r="8" spans="1:22" x14ac:dyDescent="0.25">
      <c r="A8" s="50">
        <f>'A) Base RI'!A9</f>
        <v>5403</v>
      </c>
      <c r="B8" s="392" t="str">
        <f>'A) Base RI'!B9</f>
        <v>Chessel</v>
      </c>
      <c r="C8" s="2">
        <v>152692.52041078772</v>
      </c>
      <c r="D8" s="430">
        <v>-102371.32822137856</v>
      </c>
      <c r="E8" s="2">
        <v>0</v>
      </c>
      <c r="F8" s="430">
        <v>0</v>
      </c>
      <c r="G8" s="2">
        <v>0</v>
      </c>
      <c r="H8" s="395">
        <f t="shared" si="0"/>
        <v>50321.192189409165</v>
      </c>
      <c r="I8" s="157">
        <v>8336.8572368421064</v>
      </c>
      <c r="J8" s="398">
        <f>'B) D RI'!U9</f>
        <v>9734.1508108108119</v>
      </c>
      <c r="K8" s="66">
        <f t="shared" si="1"/>
        <v>6.0359906329006758</v>
      </c>
      <c r="L8" s="34">
        <f>'B) D RI'!S9</f>
        <v>74</v>
      </c>
      <c r="M8" s="34">
        <f t="shared" si="2"/>
        <v>67.964009367099322</v>
      </c>
      <c r="N8" s="34">
        <f>'J) Plafonnement effort'!G7+'J) Plafonnement effort'!H7-'K) Plafonnement aide'!I7</f>
        <v>11.773142206416823</v>
      </c>
      <c r="O8" s="131">
        <f t="shared" si="3"/>
        <v>79.737151573516144</v>
      </c>
      <c r="P8" s="48">
        <f t="shared" si="4"/>
        <v>0</v>
      </c>
      <c r="Q8" s="58">
        <f t="shared" si="5"/>
        <v>0</v>
      </c>
      <c r="R8" s="152">
        <f t="shared" si="6"/>
        <v>79.737151573516144</v>
      </c>
      <c r="S8" s="131">
        <f t="shared" si="7"/>
        <v>5.7371515735161438</v>
      </c>
      <c r="T8" s="151">
        <f t="shared" si="8"/>
        <v>0</v>
      </c>
      <c r="V8" s="12"/>
    </row>
    <row r="9" spans="1:22" x14ac:dyDescent="0.25">
      <c r="A9" s="50">
        <f>'A) Base RI'!A10</f>
        <v>5404</v>
      </c>
      <c r="B9" s="392" t="str">
        <f>'A) Base RI'!B10</f>
        <v>Corbeyrier</v>
      </c>
      <c r="C9" s="2">
        <v>216400.2947608837</v>
      </c>
      <c r="D9" s="430">
        <v>2285.2504098924692</v>
      </c>
      <c r="E9" s="2">
        <v>0</v>
      </c>
      <c r="F9" s="430">
        <v>0</v>
      </c>
      <c r="G9" s="2">
        <v>0</v>
      </c>
      <c r="H9" s="395">
        <f t="shared" si="0"/>
        <v>218685.54517077617</v>
      </c>
      <c r="I9" s="157">
        <v>11349.824285714287</v>
      </c>
      <c r="J9" s="398">
        <f>'B) D RI'!U10</f>
        <v>10864.664095238095</v>
      </c>
      <c r="K9" s="66">
        <f t="shared" si="1"/>
        <v>19.267747206098132</v>
      </c>
      <c r="L9" s="34">
        <f>'B) D RI'!S10</f>
        <v>70</v>
      </c>
      <c r="M9" s="34">
        <f t="shared" si="2"/>
        <v>50.732252793901864</v>
      </c>
      <c r="N9" s="34">
        <f>'J) Plafonnement effort'!G8+'J) Plafonnement effort'!H8-'K) Plafonnement aide'!I8</f>
        <v>12.52353728304444</v>
      </c>
      <c r="O9" s="131">
        <f t="shared" si="3"/>
        <v>63.255790076946305</v>
      </c>
      <c r="P9" s="48">
        <f t="shared" si="4"/>
        <v>0</v>
      </c>
      <c r="Q9" s="58">
        <f t="shared" si="5"/>
        <v>0</v>
      </c>
      <c r="R9" s="152">
        <f t="shared" si="6"/>
        <v>63.255790076946305</v>
      </c>
      <c r="S9" s="131">
        <f t="shared" si="7"/>
        <v>-6.7442099230536954</v>
      </c>
      <c r="T9" s="151">
        <f t="shared" si="8"/>
        <v>0</v>
      </c>
      <c r="V9" s="12"/>
    </row>
    <row r="10" spans="1:22" x14ac:dyDescent="0.25">
      <c r="A10" s="50">
        <f>'A) Base RI'!A11</f>
        <v>5405</v>
      </c>
      <c r="B10" s="392" t="str">
        <f>'A) Base RI'!B11</f>
        <v>Gryon</v>
      </c>
      <c r="C10" s="2">
        <v>1284230.4154042851</v>
      </c>
      <c r="D10" s="430">
        <v>1003285.7798597149</v>
      </c>
      <c r="E10" s="2">
        <v>0</v>
      </c>
      <c r="F10" s="430">
        <v>0</v>
      </c>
      <c r="G10" s="2">
        <v>0</v>
      </c>
      <c r="H10" s="395">
        <f t="shared" si="0"/>
        <v>2287516.195264</v>
      </c>
      <c r="I10" s="157">
        <v>64864.951911111115</v>
      </c>
      <c r="J10" s="398">
        <f>'B) D RI'!U11</f>
        <v>69822.459644444432</v>
      </c>
      <c r="K10" s="66">
        <f t="shared" si="1"/>
        <v>35.265827351552502</v>
      </c>
      <c r="L10" s="34">
        <f>'B) D RI'!S11</f>
        <v>75</v>
      </c>
      <c r="M10" s="34">
        <f t="shared" si="2"/>
        <v>39.734172648447498</v>
      </c>
      <c r="N10" s="34">
        <f>'J) Plafonnement effort'!G9+'J) Plafonnement effort'!H9-'K) Plafonnement aide'!I9</f>
        <v>26.792236045267046</v>
      </c>
      <c r="O10" s="131">
        <f t="shared" si="3"/>
        <v>66.526408693714544</v>
      </c>
      <c r="P10" s="48">
        <f t="shared" si="4"/>
        <v>0</v>
      </c>
      <c r="Q10" s="58">
        <f t="shared" si="5"/>
        <v>0</v>
      </c>
      <c r="R10" s="152">
        <f t="shared" si="6"/>
        <v>66.526408693714544</v>
      </c>
      <c r="S10" s="131">
        <f t="shared" si="7"/>
        <v>-8.4735913062854564</v>
      </c>
      <c r="T10" s="151">
        <f t="shared" si="8"/>
        <v>0</v>
      </c>
      <c r="V10" s="12"/>
    </row>
    <row r="11" spans="1:22" x14ac:dyDescent="0.25">
      <c r="A11" s="50">
        <f>'A) Base RI'!A12</f>
        <v>5406</v>
      </c>
      <c r="B11" s="392" t="str">
        <f>'A) Base RI'!B12</f>
        <v>Lavey-Morcles</v>
      </c>
      <c r="C11" s="2">
        <v>319468.97795483534</v>
      </c>
      <c r="D11" s="430">
        <v>-142837.07311802759</v>
      </c>
      <c r="E11" s="2">
        <v>0</v>
      </c>
      <c r="F11" s="430">
        <v>0</v>
      </c>
      <c r="G11" s="2">
        <v>0</v>
      </c>
      <c r="H11" s="395">
        <f t="shared" si="0"/>
        <v>176631.90483680775</v>
      </c>
      <c r="I11" s="157">
        <v>20248.886901408452</v>
      </c>
      <c r="J11" s="398">
        <f>'B) D RI'!U12</f>
        <v>21528.925666305528</v>
      </c>
      <c r="K11" s="66">
        <f t="shared" si="1"/>
        <v>8.7230426885599215</v>
      </c>
      <c r="L11" s="34">
        <f>'B) D RI'!S12</f>
        <v>71</v>
      </c>
      <c r="M11" s="34">
        <f t="shared" si="2"/>
        <v>62.276957311440079</v>
      </c>
      <c r="N11" s="34">
        <f>'J) Plafonnement effort'!G10+'J) Plafonnement effort'!H10-'K) Plafonnement aide'!I10</f>
        <v>7.6742357291357086</v>
      </c>
      <c r="O11" s="131">
        <f t="shared" si="3"/>
        <v>69.951193040575788</v>
      </c>
      <c r="P11" s="48">
        <f t="shared" si="4"/>
        <v>0</v>
      </c>
      <c r="Q11" s="58">
        <f t="shared" si="5"/>
        <v>0</v>
      </c>
      <c r="R11" s="152">
        <f t="shared" si="6"/>
        <v>69.951193040575788</v>
      </c>
      <c r="S11" s="131">
        <f t="shared" si="7"/>
        <v>-1.048806959424212</v>
      </c>
      <c r="T11" s="151">
        <f t="shared" si="8"/>
        <v>0</v>
      </c>
      <c r="V11" s="12"/>
    </row>
    <row r="12" spans="1:22" x14ac:dyDescent="0.25">
      <c r="A12" s="50">
        <f>'A) Base RI'!A13</f>
        <v>5407</v>
      </c>
      <c r="B12" s="392" t="str">
        <f>'A) Base RI'!B13</f>
        <v>Leysin</v>
      </c>
      <c r="C12" s="2">
        <v>1515020.4877690799</v>
      </c>
      <c r="D12" s="430">
        <v>-2261105.0104731019</v>
      </c>
      <c r="E12" s="2">
        <v>209113.18687068889</v>
      </c>
      <c r="F12" s="430">
        <v>0</v>
      </c>
      <c r="G12" s="2">
        <v>0</v>
      </c>
      <c r="H12" s="395">
        <f t="shared" si="0"/>
        <v>-536971.33583333308</v>
      </c>
      <c r="I12" s="157">
        <v>82610.97474358973</v>
      </c>
      <c r="J12" s="398">
        <f>'B) D RI'!U13</f>
        <v>90534.062564102569</v>
      </c>
      <c r="K12" s="66">
        <f t="shared" si="1"/>
        <v>-6.4999999999999982</v>
      </c>
      <c r="L12" s="34">
        <f>'B) D RI'!S13</f>
        <v>78</v>
      </c>
      <c r="M12" s="34">
        <f t="shared" si="2"/>
        <v>84.5</v>
      </c>
      <c r="N12" s="34">
        <f>'J) Plafonnement effort'!G11+'J) Plafonnement effort'!H11-'K) Plafonnement aide'!I11</f>
        <v>-21.118121155465428</v>
      </c>
      <c r="O12" s="131">
        <f t="shared" si="3"/>
        <v>63.381878844534569</v>
      </c>
      <c r="P12" s="48">
        <f t="shared" si="4"/>
        <v>0</v>
      </c>
      <c r="Q12" s="58">
        <f t="shared" si="5"/>
        <v>0</v>
      </c>
      <c r="R12" s="152">
        <f t="shared" si="6"/>
        <v>63.381878844534569</v>
      </c>
      <c r="S12" s="131">
        <f t="shared" si="7"/>
        <v>-14.618121155465431</v>
      </c>
      <c r="T12" s="151">
        <f t="shared" si="8"/>
        <v>0</v>
      </c>
      <c r="V12" s="12"/>
    </row>
    <row r="13" spans="1:22" x14ac:dyDescent="0.25">
      <c r="A13" s="50">
        <f>'A) Base RI'!A14</f>
        <v>5408</v>
      </c>
      <c r="B13" s="392" t="str">
        <f>'A) Base RI'!B14</f>
        <v>Noville</v>
      </c>
      <c r="C13" s="2">
        <v>648034.21051753045</v>
      </c>
      <c r="D13" s="430">
        <v>156034.15639708861</v>
      </c>
      <c r="E13" s="2">
        <v>0</v>
      </c>
      <c r="F13" s="430">
        <v>0</v>
      </c>
      <c r="G13" s="2">
        <v>0</v>
      </c>
      <c r="H13" s="395">
        <f t="shared" si="0"/>
        <v>804068.36691461899</v>
      </c>
      <c r="I13" s="157">
        <v>33419.560339702759</v>
      </c>
      <c r="J13" s="398">
        <f>'B) D RI'!U14</f>
        <v>31735.72989384289</v>
      </c>
      <c r="K13" s="66">
        <f t="shared" si="1"/>
        <v>24.05981283839267</v>
      </c>
      <c r="L13" s="34">
        <f>'B) D RI'!S14</f>
        <v>78.5</v>
      </c>
      <c r="M13" s="34">
        <f t="shared" si="2"/>
        <v>54.440187161607327</v>
      </c>
      <c r="N13" s="34">
        <f>'J) Plafonnement effort'!G12+'J) Plafonnement effort'!H12-'K) Plafonnement aide'!I12</f>
        <v>17.230072751180263</v>
      </c>
      <c r="O13" s="131">
        <f t="shared" si="3"/>
        <v>71.670259912787586</v>
      </c>
      <c r="P13" s="48">
        <f t="shared" si="4"/>
        <v>0</v>
      </c>
      <c r="Q13" s="58">
        <f t="shared" si="5"/>
        <v>0</v>
      </c>
      <c r="R13" s="152">
        <f t="shared" si="6"/>
        <v>71.670259912787586</v>
      </c>
      <c r="S13" s="131">
        <f t="shared" si="7"/>
        <v>-6.8297400872124143</v>
      </c>
      <c r="T13" s="151">
        <f t="shared" si="8"/>
        <v>0</v>
      </c>
      <c r="V13" s="12"/>
    </row>
    <row r="14" spans="1:22" x14ac:dyDescent="0.25">
      <c r="A14" s="50">
        <f>'A) Base RI'!A15</f>
        <v>5409</v>
      </c>
      <c r="B14" s="392" t="str">
        <f>'A) Base RI'!B15</f>
        <v>Ollon</v>
      </c>
      <c r="C14" s="2">
        <v>7484894.4632142717</v>
      </c>
      <c r="D14" s="430">
        <v>3646332.0995452097</v>
      </c>
      <c r="E14" s="2">
        <v>0</v>
      </c>
      <c r="F14" s="430">
        <v>0</v>
      </c>
      <c r="G14" s="2">
        <v>0</v>
      </c>
      <c r="H14" s="395">
        <f t="shared" si="0"/>
        <v>11131226.562759481</v>
      </c>
      <c r="I14" s="157">
        <v>366034.73937782802</v>
      </c>
      <c r="J14" s="398">
        <f>'B) D RI'!U15</f>
        <v>367365.91906108597</v>
      </c>
      <c r="K14" s="66">
        <f t="shared" si="1"/>
        <v>30.410300895701646</v>
      </c>
      <c r="L14" s="34">
        <f>'B) D RI'!S15</f>
        <v>68</v>
      </c>
      <c r="M14" s="34">
        <f t="shared" si="2"/>
        <v>37.589699104298354</v>
      </c>
      <c r="N14" s="34">
        <f>'J) Plafonnement effort'!G13+'J) Plafonnement effort'!H13-'K) Plafonnement aide'!I13</f>
        <v>26.307121631479703</v>
      </c>
      <c r="O14" s="131">
        <f t="shared" si="3"/>
        <v>63.896820735778057</v>
      </c>
      <c r="P14" s="48">
        <f t="shared" si="4"/>
        <v>0</v>
      </c>
      <c r="Q14" s="58">
        <f t="shared" si="5"/>
        <v>0</v>
      </c>
      <c r="R14" s="152">
        <f t="shared" si="6"/>
        <v>63.896820735778057</v>
      </c>
      <c r="S14" s="131">
        <f t="shared" si="7"/>
        <v>-4.1031792642219429</v>
      </c>
      <c r="T14" s="151">
        <f t="shared" si="8"/>
        <v>0</v>
      </c>
      <c r="V14" s="12"/>
    </row>
    <row r="15" spans="1:22" x14ac:dyDescent="0.25">
      <c r="A15" s="50">
        <f>'A) Base RI'!A16</f>
        <v>5410</v>
      </c>
      <c r="B15" s="392" t="str">
        <f>'A) Base RI'!B16</f>
        <v>Ormont-Dessous</v>
      </c>
      <c r="C15" s="2">
        <v>669178.04752131249</v>
      </c>
      <c r="D15" s="430">
        <v>216123.07176954247</v>
      </c>
      <c r="E15" s="2">
        <v>0</v>
      </c>
      <c r="F15" s="430">
        <v>0</v>
      </c>
      <c r="G15" s="2">
        <v>0</v>
      </c>
      <c r="H15" s="395">
        <f t="shared" si="0"/>
        <v>885301.11929085501</v>
      </c>
      <c r="I15" s="157">
        <v>36452.210276008496</v>
      </c>
      <c r="J15" s="398">
        <f>'B) D RI'!U16</f>
        <v>37585.850743099792</v>
      </c>
      <c r="K15" s="66">
        <f t="shared" si="1"/>
        <v>24.286623844961401</v>
      </c>
      <c r="L15" s="34">
        <f>'B) D RI'!S16</f>
        <v>78.5</v>
      </c>
      <c r="M15" s="34">
        <f t="shared" si="2"/>
        <v>54.213376155038603</v>
      </c>
      <c r="N15" s="34">
        <f>'J) Plafonnement effort'!G14+'J) Plafonnement effort'!H14-'K) Plafonnement aide'!I14</f>
        <v>4.1039995858714207</v>
      </c>
      <c r="O15" s="131">
        <f t="shared" si="3"/>
        <v>58.317375740910023</v>
      </c>
      <c r="P15" s="48">
        <f t="shared" si="4"/>
        <v>0</v>
      </c>
      <c r="Q15" s="58">
        <f t="shared" si="5"/>
        <v>0</v>
      </c>
      <c r="R15" s="152">
        <f t="shared" si="6"/>
        <v>58.317375740910023</v>
      </c>
      <c r="S15" s="131">
        <f t="shared" si="7"/>
        <v>-20.182624259089977</v>
      </c>
      <c r="T15" s="151">
        <f t="shared" si="8"/>
        <v>0</v>
      </c>
      <c r="V15" s="12"/>
    </row>
    <row r="16" spans="1:22" x14ac:dyDescent="0.25">
      <c r="A16" s="50">
        <f>'A) Base RI'!A17</f>
        <v>5411</v>
      </c>
      <c r="B16" s="392" t="str">
        <f>'A) Base RI'!B17</f>
        <v>Ormont-Dessus</v>
      </c>
      <c r="C16" s="2">
        <v>1354757.1991872212</v>
      </c>
      <c r="D16" s="430">
        <v>1128711.9439281109</v>
      </c>
      <c r="E16" s="2">
        <v>0</v>
      </c>
      <c r="F16" s="430">
        <v>0</v>
      </c>
      <c r="G16" s="2">
        <v>0</v>
      </c>
      <c r="H16" s="395">
        <f t="shared" si="0"/>
        <v>2483469.1431153324</v>
      </c>
      <c r="I16" s="157">
        <v>74047.924868421047</v>
      </c>
      <c r="J16" s="398">
        <f>'B) D RI'!U17</f>
        <v>78533.565482456135</v>
      </c>
      <c r="K16" s="66">
        <f t="shared" si="1"/>
        <v>33.538673062456724</v>
      </c>
      <c r="L16" s="34">
        <f>'B) D RI'!S17</f>
        <v>76</v>
      </c>
      <c r="M16" s="34">
        <f t="shared" si="2"/>
        <v>42.461326937543276</v>
      </c>
      <c r="N16" s="34">
        <f>'J) Plafonnement effort'!G15+'J) Plafonnement effort'!H15-'K) Plafonnement aide'!I15</f>
        <v>26.106848145312696</v>
      </c>
      <c r="O16" s="131">
        <f t="shared" si="3"/>
        <v>68.568175082855973</v>
      </c>
      <c r="P16" s="48">
        <f t="shared" si="4"/>
        <v>0</v>
      </c>
      <c r="Q16" s="58">
        <f t="shared" si="5"/>
        <v>0</v>
      </c>
      <c r="R16" s="152">
        <f t="shared" si="6"/>
        <v>68.568175082855973</v>
      </c>
      <c r="S16" s="131">
        <f t="shared" si="7"/>
        <v>-7.4318249171440272</v>
      </c>
      <c r="T16" s="151">
        <f t="shared" si="8"/>
        <v>0</v>
      </c>
      <c r="V16" s="12"/>
    </row>
    <row r="17" spans="1:22" x14ac:dyDescent="0.25">
      <c r="A17" s="50">
        <f>'A) Base RI'!A18</f>
        <v>5412</v>
      </c>
      <c r="B17" s="392" t="str">
        <f>'A) Base RI'!B18</f>
        <v>Rennaz</v>
      </c>
      <c r="C17" s="2">
        <v>500459.94296183903</v>
      </c>
      <c r="D17" s="430">
        <v>192542.93600026774</v>
      </c>
      <c r="E17" s="2">
        <v>0</v>
      </c>
      <c r="F17" s="430">
        <v>0</v>
      </c>
      <c r="G17" s="2">
        <v>0</v>
      </c>
      <c r="H17" s="395">
        <f t="shared" si="0"/>
        <v>693002.87896210677</v>
      </c>
      <c r="I17" s="157">
        <v>26224.228148148151</v>
      </c>
      <c r="J17" s="398">
        <f>'B) D RI'!U18</f>
        <v>30683.439407407404</v>
      </c>
      <c r="K17" s="66">
        <f t="shared" si="1"/>
        <v>26.426054374112965</v>
      </c>
      <c r="L17" s="34">
        <f>'B) D RI'!S18</f>
        <v>67.5</v>
      </c>
      <c r="M17" s="34">
        <f t="shared" si="2"/>
        <v>41.073945625887035</v>
      </c>
      <c r="N17" s="34">
        <f>'J) Plafonnement effort'!G16+'J) Plafonnement effort'!H16-'K) Plafonnement aide'!I16</f>
        <v>30.612050756830662</v>
      </c>
      <c r="O17" s="131">
        <f t="shared" si="3"/>
        <v>71.68599638271769</v>
      </c>
      <c r="P17" s="48">
        <f t="shared" si="4"/>
        <v>0</v>
      </c>
      <c r="Q17" s="58">
        <f t="shared" si="5"/>
        <v>0</v>
      </c>
      <c r="R17" s="152">
        <f t="shared" si="6"/>
        <v>71.68599638271769</v>
      </c>
      <c r="S17" s="131">
        <f t="shared" si="7"/>
        <v>4.1859963827176898</v>
      </c>
      <c r="T17" s="151">
        <f t="shared" si="8"/>
        <v>0</v>
      </c>
      <c r="V17" s="12"/>
    </row>
    <row r="18" spans="1:22" x14ac:dyDescent="0.25">
      <c r="A18" s="50">
        <f>'A) Base RI'!A19</f>
        <v>5413</v>
      </c>
      <c r="B18" s="392" t="str">
        <f>'A) Base RI'!B19</f>
        <v>Roche</v>
      </c>
      <c r="C18" s="2">
        <v>766046.87459570635</v>
      </c>
      <c r="D18" s="430">
        <v>-189116.49771225825</v>
      </c>
      <c r="E18" s="2">
        <v>0</v>
      </c>
      <c r="F18" s="430">
        <v>0</v>
      </c>
      <c r="G18" s="2">
        <v>0</v>
      </c>
      <c r="H18" s="395">
        <f t="shared" si="0"/>
        <v>576930.3768834481</v>
      </c>
      <c r="I18" s="157">
        <v>38924.228382352943</v>
      </c>
      <c r="J18" s="398">
        <f>'B) D RI'!U19</f>
        <v>36754.028088235296</v>
      </c>
      <c r="K18" s="66">
        <f t="shared" si="1"/>
        <v>14.821883460765294</v>
      </c>
      <c r="L18" s="34">
        <f>'B) D RI'!S19</f>
        <v>68</v>
      </c>
      <c r="M18" s="34">
        <f t="shared" si="2"/>
        <v>53.178116539234708</v>
      </c>
      <c r="N18" s="34">
        <f>'J) Plafonnement effort'!G17+'J) Plafonnement effort'!H17-'K) Plafonnement aide'!I17</f>
        <v>10.669745883882285</v>
      </c>
      <c r="O18" s="131">
        <f t="shared" si="3"/>
        <v>63.847862423116993</v>
      </c>
      <c r="P18" s="48">
        <f t="shared" si="4"/>
        <v>0</v>
      </c>
      <c r="Q18" s="58">
        <f t="shared" si="5"/>
        <v>0</v>
      </c>
      <c r="R18" s="152">
        <f t="shared" si="6"/>
        <v>63.847862423116993</v>
      </c>
      <c r="S18" s="131">
        <f t="shared" si="7"/>
        <v>-4.1521375768830069</v>
      </c>
      <c r="T18" s="151">
        <f t="shared" si="8"/>
        <v>0</v>
      </c>
      <c r="V18" s="12"/>
    </row>
    <row r="19" spans="1:22" x14ac:dyDescent="0.25">
      <c r="A19" s="50">
        <f>'A) Base RI'!A20</f>
        <v>5414</v>
      </c>
      <c r="B19" s="392" t="str">
        <f>'A) Base RI'!B20</f>
        <v>Villeneuve</v>
      </c>
      <c r="C19" s="2">
        <v>3138632.2764347261</v>
      </c>
      <c r="D19" s="430">
        <v>-697778.53114329604</v>
      </c>
      <c r="E19" s="2">
        <v>0</v>
      </c>
      <c r="F19" s="430">
        <v>0</v>
      </c>
      <c r="G19" s="2">
        <v>0</v>
      </c>
      <c r="H19" s="395">
        <f t="shared" si="0"/>
        <v>2440853.74529143</v>
      </c>
      <c r="I19" s="157">
        <v>159863.47130434786</v>
      </c>
      <c r="J19" s="398">
        <f>'B) D RI'!U20</f>
        <v>161374.0856521739</v>
      </c>
      <c r="K19" s="66">
        <f t="shared" si="1"/>
        <v>15.268364469857758</v>
      </c>
      <c r="L19" s="34">
        <f>'B) D RI'!S20</f>
        <v>69</v>
      </c>
      <c r="M19" s="34">
        <f t="shared" si="2"/>
        <v>53.731635530142242</v>
      </c>
      <c r="N19" s="34">
        <f>'J) Plafonnement effort'!G18+'J) Plafonnement effort'!H18-'K) Plafonnement aide'!I18</f>
        <v>6.8413834946704561</v>
      </c>
      <c r="O19" s="131">
        <f t="shared" si="3"/>
        <v>60.573019024812695</v>
      </c>
      <c r="P19" s="48">
        <f t="shared" si="4"/>
        <v>0</v>
      </c>
      <c r="Q19" s="58">
        <f t="shared" si="5"/>
        <v>0</v>
      </c>
      <c r="R19" s="152">
        <f t="shared" si="6"/>
        <v>60.573019024812695</v>
      </c>
      <c r="S19" s="131">
        <f t="shared" si="7"/>
        <v>-8.4269809751873055</v>
      </c>
      <c r="T19" s="151">
        <f t="shared" si="8"/>
        <v>0</v>
      </c>
      <c r="V19" s="12"/>
    </row>
    <row r="20" spans="1:22" x14ac:dyDescent="0.25">
      <c r="A20" s="50">
        <f>'A) Base RI'!A21</f>
        <v>5415</v>
      </c>
      <c r="B20" s="392" t="str">
        <f>'A) Base RI'!B21</f>
        <v>Yvorne</v>
      </c>
      <c r="C20" s="2">
        <v>662153.06851199665</v>
      </c>
      <c r="D20" s="430">
        <v>321210.09713547886</v>
      </c>
      <c r="E20" s="2">
        <v>0</v>
      </c>
      <c r="F20" s="430">
        <v>0</v>
      </c>
      <c r="G20" s="2">
        <v>0</v>
      </c>
      <c r="H20" s="395">
        <f t="shared" si="0"/>
        <v>983363.16564747551</v>
      </c>
      <c r="I20" s="157">
        <v>35726.744476885644</v>
      </c>
      <c r="J20" s="398">
        <f>'B) D RI'!U21</f>
        <v>34416.914731934739</v>
      </c>
      <c r="K20" s="66">
        <f t="shared" si="1"/>
        <v>27.524566820906063</v>
      </c>
      <c r="L20" s="34">
        <f>'B) D RI'!S21</f>
        <v>71.5</v>
      </c>
      <c r="M20" s="34">
        <f t="shared" si="2"/>
        <v>43.97543317909394</v>
      </c>
      <c r="N20" s="34">
        <f>'J) Plafonnement effort'!G19+'J) Plafonnement effort'!H19-'K) Plafonnement aide'!I19</f>
        <v>24.30252971662274</v>
      </c>
      <c r="O20" s="131">
        <f t="shared" si="3"/>
        <v>68.277962895716684</v>
      </c>
      <c r="P20" s="48">
        <f t="shared" si="4"/>
        <v>0</v>
      </c>
      <c r="Q20" s="58">
        <f t="shared" si="5"/>
        <v>0</v>
      </c>
      <c r="R20" s="152">
        <f t="shared" si="6"/>
        <v>68.277962895716684</v>
      </c>
      <c r="S20" s="131">
        <f t="shared" si="7"/>
        <v>-3.2220371042833165</v>
      </c>
      <c r="T20" s="151">
        <f t="shared" si="8"/>
        <v>0</v>
      </c>
      <c r="V20" s="12"/>
    </row>
    <row r="21" spans="1:22" x14ac:dyDescent="0.25">
      <c r="A21" s="50">
        <f>'A) Base RI'!A22</f>
        <v>5421</v>
      </c>
      <c r="B21" s="392" t="str">
        <f>'A) Base RI'!B22</f>
        <v>Apples</v>
      </c>
      <c r="C21" s="2">
        <v>922812.7411839983</v>
      </c>
      <c r="D21" s="430">
        <v>754381.3377212279</v>
      </c>
      <c r="E21" s="2">
        <v>0</v>
      </c>
      <c r="F21" s="430">
        <v>0</v>
      </c>
      <c r="G21" s="2">
        <v>0</v>
      </c>
      <c r="H21" s="395">
        <f t="shared" si="0"/>
        <v>1677194.0789052262</v>
      </c>
      <c r="I21" s="157">
        <v>59005.563421052633</v>
      </c>
      <c r="J21" s="398">
        <f>'B) D RI'!U22</f>
        <v>58623.163421052632</v>
      </c>
      <c r="K21" s="66">
        <f t="shared" si="1"/>
        <v>28.424338005843346</v>
      </c>
      <c r="L21" s="34">
        <f>'B) D RI'!S22</f>
        <v>76</v>
      </c>
      <c r="M21" s="34">
        <f t="shared" si="2"/>
        <v>47.575661994156654</v>
      </c>
      <c r="N21" s="34">
        <f>'J) Plafonnement effort'!G20+'J) Plafonnement effort'!H20-'K) Plafonnement aide'!I20</f>
        <v>27.778331091887999</v>
      </c>
      <c r="O21" s="131">
        <f t="shared" si="3"/>
        <v>75.353993086044653</v>
      </c>
      <c r="P21" s="48">
        <f t="shared" si="4"/>
        <v>0</v>
      </c>
      <c r="Q21" s="58">
        <f t="shared" si="5"/>
        <v>0</v>
      </c>
      <c r="R21" s="152">
        <f t="shared" si="6"/>
        <v>75.353993086044653</v>
      </c>
      <c r="S21" s="131">
        <f t="shared" si="7"/>
        <v>-0.64600691395534682</v>
      </c>
      <c r="T21" s="151">
        <f t="shared" si="8"/>
        <v>0</v>
      </c>
      <c r="V21" s="12"/>
    </row>
    <row r="22" spans="1:22" x14ac:dyDescent="0.25">
      <c r="A22" s="50">
        <f>'A) Base RI'!A23</f>
        <v>5422</v>
      </c>
      <c r="B22" s="392" t="str">
        <f>'A) Base RI'!B23</f>
        <v>Aubonne</v>
      </c>
      <c r="C22" s="2">
        <v>4585383.8257899387</v>
      </c>
      <c r="D22" s="430">
        <v>3073671.2681910065</v>
      </c>
      <c r="E22" s="2">
        <v>0</v>
      </c>
      <c r="F22" s="430">
        <v>0</v>
      </c>
      <c r="G22" s="2">
        <v>0</v>
      </c>
      <c r="H22" s="395">
        <f t="shared" si="0"/>
        <v>7659055.0939809456</v>
      </c>
      <c r="I22" s="157">
        <v>218988.17661764708</v>
      </c>
      <c r="J22" s="398">
        <f>'B) D RI'!U23</f>
        <v>244308.18220588236</v>
      </c>
      <c r="K22" s="66">
        <f t="shared" si="1"/>
        <v>34.974742528468283</v>
      </c>
      <c r="L22" s="34">
        <f>'B) D RI'!S23</f>
        <v>68</v>
      </c>
      <c r="M22" s="34">
        <f t="shared" si="2"/>
        <v>33.025257471531717</v>
      </c>
      <c r="N22" s="34">
        <f>'J) Plafonnement effort'!G21+'J) Plafonnement effort'!H21-'K) Plafonnement aide'!I21</f>
        <v>42.559027084451174</v>
      </c>
      <c r="O22" s="131">
        <f t="shared" si="3"/>
        <v>75.58428455598289</v>
      </c>
      <c r="P22" s="48">
        <f t="shared" si="4"/>
        <v>0</v>
      </c>
      <c r="Q22" s="58">
        <f t="shared" si="5"/>
        <v>0</v>
      </c>
      <c r="R22" s="152">
        <f t="shared" si="6"/>
        <v>75.58428455598289</v>
      </c>
      <c r="S22" s="131">
        <f t="shared" si="7"/>
        <v>7.5842845559828902</v>
      </c>
      <c r="T22" s="151">
        <f t="shared" si="8"/>
        <v>0</v>
      </c>
      <c r="V22" s="12"/>
    </row>
    <row r="23" spans="1:22" x14ac:dyDescent="0.25">
      <c r="A23" s="50">
        <f>'A) Base RI'!A24</f>
        <v>5423</v>
      </c>
      <c r="B23" s="392" t="str">
        <f>'A) Base RI'!B24</f>
        <v>Ballens</v>
      </c>
      <c r="C23" s="2">
        <v>242431.56127653297</v>
      </c>
      <c r="D23" s="430">
        <v>93323.005463693931</v>
      </c>
      <c r="E23" s="2">
        <v>0</v>
      </c>
      <c r="F23" s="430">
        <v>0</v>
      </c>
      <c r="G23" s="2">
        <v>0</v>
      </c>
      <c r="H23" s="395">
        <f t="shared" si="0"/>
        <v>335754.56674022693</v>
      </c>
      <c r="I23" s="157">
        <v>15358.055362318841</v>
      </c>
      <c r="J23" s="398">
        <f>'B) D RI'!U24</f>
        <v>16828.247681159421</v>
      </c>
      <c r="K23" s="66">
        <f t="shared" si="1"/>
        <v>21.861789062435893</v>
      </c>
      <c r="L23" s="34">
        <f>'B) D RI'!S24</f>
        <v>69</v>
      </c>
      <c r="M23" s="34">
        <f t="shared" si="2"/>
        <v>47.138210937564111</v>
      </c>
      <c r="N23" s="34">
        <f>'J) Plafonnement effort'!G22+'J) Plafonnement effort'!H22-'K) Plafonnement aide'!I22</f>
        <v>24.908990578109336</v>
      </c>
      <c r="O23" s="131">
        <f t="shared" si="3"/>
        <v>72.04720151567345</v>
      </c>
      <c r="P23" s="48">
        <f t="shared" si="4"/>
        <v>0</v>
      </c>
      <c r="Q23" s="58">
        <f t="shared" si="5"/>
        <v>0</v>
      </c>
      <c r="R23" s="152">
        <f t="shared" si="6"/>
        <v>72.04720151567345</v>
      </c>
      <c r="S23" s="131">
        <f t="shared" si="7"/>
        <v>3.04720151567345</v>
      </c>
      <c r="T23" s="151">
        <f t="shared" si="8"/>
        <v>0</v>
      </c>
      <c r="V23" s="12"/>
    </row>
    <row r="24" spans="1:22" x14ac:dyDescent="0.25">
      <c r="A24" s="50">
        <f>'A) Base RI'!A25</f>
        <v>5424</v>
      </c>
      <c r="B24" s="392" t="str">
        <f>'A) Base RI'!B25</f>
        <v>Berolle</v>
      </c>
      <c r="C24" s="2">
        <v>160577.22302096285</v>
      </c>
      <c r="D24" s="430">
        <v>32386.044205633021</v>
      </c>
      <c r="E24" s="2">
        <v>0</v>
      </c>
      <c r="F24" s="430">
        <v>0</v>
      </c>
      <c r="G24" s="2">
        <v>0</v>
      </c>
      <c r="H24" s="395">
        <f t="shared" si="0"/>
        <v>192963.26722659587</v>
      </c>
      <c r="I24" s="157">
        <v>9058.2428571428572</v>
      </c>
      <c r="J24" s="398">
        <f>'B) D RI'!U25</f>
        <v>11334.098571428574</v>
      </c>
      <c r="K24" s="66">
        <f t="shared" si="1"/>
        <v>21.302505383197484</v>
      </c>
      <c r="L24" s="34">
        <f>'B) D RI'!S25</f>
        <v>77</v>
      </c>
      <c r="M24" s="34">
        <f t="shared" si="2"/>
        <v>55.697494616802516</v>
      </c>
      <c r="N24" s="34">
        <f>'J) Plafonnement effort'!G23+'J) Plafonnement effort'!H23-'K) Plafonnement aide'!I23</f>
        <v>28.49719001271929</v>
      </c>
      <c r="O24" s="131">
        <f t="shared" si="3"/>
        <v>84.194684629521802</v>
      </c>
      <c r="P24" s="48">
        <f t="shared" si="4"/>
        <v>0</v>
      </c>
      <c r="Q24" s="58">
        <f t="shared" si="5"/>
        <v>0</v>
      </c>
      <c r="R24" s="152">
        <f t="shared" si="6"/>
        <v>84.194684629521802</v>
      </c>
      <c r="S24" s="131">
        <f t="shared" si="7"/>
        <v>7.1946846295218023</v>
      </c>
      <c r="T24" s="151">
        <f t="shared" si="8"/>
        <v>0</v>
      </c>
      <c r="V24" s="12"/>
    </row>
    <row r="25" spans="1:22" x14ac:dyDescent="0.25">
      <c r="A25" s="50">
        <f>'A) Base RI'!A26</f>
        <v>5425</v>
      </c>
      <c r="B25" s="392" t="str">
        <f>'A) Base RI'!B26</f>
        <v>Bière</v>
      </c>
      <c r="C25" s="2">
        <v>783224.18709232565</v>
      </c>
      <c r="D25" s="430">
        <v>-110701.84945306415</v>
      </c>
      <c r="E25" s="2">
        <v>0</v>
      </c>
      <c r="F25" s="430">
        <v>0</v>
      </c>
      <c r="G25" s="2">
        <v>0</v>
      </c>
      <c r="H25" s="395">
        <f t="shared" si="0"/>
        <v>672522.3376392615</v>
      </c>
      <c r="I25" s="157">
        <v>39413.041470588236</v>
      </c>
      <c r="J25" s="398">
        <f>'B) D RI'!U26</f>
        <v>40579.487849898578</v>
      </c>
      <c r="K25" s="66">
        <f t="shared" si="1"/>
        <v>17.063446832468578</v>
      </c>
      <c r="L25" s="34">
        <f>'B) D RI'!S26</f>
        <v>68</v>
      </c>
      <c r="M25" s="34">
        <f t="shared" si="2"/>
        <v>50.936553167531422</v>
      </c>
      <c r="N25" s="34">
        <f>'J) Plafonnement effort'!G24+'J) Plafonnement effort'!H24-'K) Plafonnement aide'!I24</f>
        <v>1.7920804293944581</v>
      </c>
      <c r="O25" s="131">
        <f t="shared" si="3"/>
        <v>52.728633596925881</v>
      </c>
      <c r="P25" s="48">
        <f t="shared" si="4"/>
        <v>0</v>
      </c>
      <c r="Q25" s="58">
        <f t="shared" si="5"/>
        <v>0</v>
      </c>
      <c r="R25" s="152">
        <f t="shared" si="6"/>
        <v>52.728633596925881</v>
      </c>
      <c r="S25" s="131">
        <f t="shared" si="7"/>
        <v>-15.271366403074119</v>
      </c>
      <c r="T25" s="151">
        <f t="shared" si="8"/>
        <v>0</v>
      </c>
      <c r="V25" s="12"/>
    </row>
    <row r="26" spans="1:22" x14ac:dyDescent="0.25">
      <c r="A26" s="50">
        <f>'A) Base RI'!A27</f>
        <v>5426</v>
      </c>
      <c r="B26" s="392" t="str">
        <f>'A) Base RI'!B27</f>
        <v>Bougy-Villars</v>
      </c>
      <c r="C26" s="2">
        <v>3857522.2878023651</v>
      </c>
      <c r="D26" s="430">
        <v>689481.32972888392</v>
      </c>
      <c r="E26" s="2">
        <v>0</v>
      </c>
      <c r="F26" s="430">
        <v>-2631456.2828538297</v>
      </c>
      <c r="G26" s="2">
        <v>0</v>
      </c>
      <c r="H26" s="395">
        <f t="shared" si="0"/>
        <v>1915547.3346774196</v>
      </c>
      <c r="I26" s="157">
        <v>42567.7185483871</v>
      </c>
      <c r="J26" s="398">
        <f>'B) D RI'!U27</f>
        <v>47833.150252525251</v>
      </c>
      <c r="K26" s="66">
        <f t="shared" si="1"/>
        <v>45</v>
      </c>
      <c r="L26" s="34">
        <f>'B) D RI'!S27</f>
        <v>66</v>
      </c>
      <c r="M26" s="34">
        <f t="shared" si="2"/>
        <v>21</v>
      </c>
      <c r="N26" s="34">
        <f>'J) Plafonnement effort'!G25+'J) Plafonnement effort'!H25-'K) Plafonnement aide'!I25</f>
        <v>45</v>
      </c>
      <c r="O26" s="131">
        <f t="shared" si="3"/>
        <v>66</v>
      </c>
      <c r="P26" s="48">
        <f t="shared" si="4"/>
        <v>0</v>
      </c>
      <c r="Q26" s="58">
        <f t="shared" si="5"/>
        <v>0</v>
      </c>
      <c r="R26" s="152">
        <f t="shared" si="6"/>
        <v>66</v>
      </c>
      <c r="S26" s="131">
        <f t="shared" si="7"/>
        <v>0</v>
      </c>
      <c r="T26" s="151">
        <f t="shared" si="8"/>
        <v>0</v>
      </c>
      <c r="V26" s="12"/>
    </row>
    <row r="27" spans="1:22" x14ac:dyDescent="0.25">
      <c r="A27" s="50">
        <f>'A) Base RI'!A28</f>
        <v>5427</v>
      </c>
      <c r="B27" s="392" t="str">
        <f>'A) Base RI'!B28</f>
        <v>Féchy</v>
      </c>
      <c r="C27" s="2">
        <v>1643479.0629502658</v>
      </c>
      <c r="D27" s="430">
        <v>1134862.2326559313</v>
      </c>
      <c r="E27" s="2">
        <v>0</v>
      </c>
      <c r="F27" s="430">
        <v>0</v>
      </c>
      <c r="G27" s="2">
        <v>0</v>
      </c>
      <c r="H27" s="395">
        <f t="shared" si="0"/>
        <v>2778341.2956061969</v>
      </c>
      <c r="I27" s="157">
        <v>68786.678798076915</v>
      </c>
      <c r="J27" s="398">
        <f>'B) D RI'!U28</f>
        <v>79308.783786057698</v>
      </c>
      <c r="K27" s="66">
        <f t="shared" si="1"/>
        <v>40.390688199411535</v>
      </c>
      <c r="L27" s="34">
        <f>'B) D RI'!S28</f>
        <v>64</v>
      </c>
      <c r="M27" s="34">
        <f t="shared" si="2"/>
        <v>23.609311800588465</v>
      </c>
      <c r="N27" s="34">
        <f>'J) Plafonnement effort'!G26+'J) Plafonnement effort'!H26-'K) Plafonnement aide'!I26</f>
        <v>45</v>
      </c>
      <c r="O27" s="131">
        <f t="shared" si="3"/>
        <v>68.609311800588472</v>
      </c>
      <c r="P27" s="48">
        <f t="shared" si="4"/>
        <v>0</v>
      </c>
      <c r="Q27" s="58">
        <f t="shared" si="5"/>
        <v>0</v>
      </c>
      <c r="R27" s="152">
        <f t="shared" si="6"/>
        <v>68.609311800588472</v>
      </c>
      <c r="S27" s="131">
        <f t="shared" si="7"/>
        <v>4.6093118005884719</v>
      </c>
      <c r="T27" s="151">
        <f t="shared" si="8"/>
        <v>0</v>
      </c>
      <c r="V27" s="12"/>
    </row>
    <row r="28" spans="1:22" x14ac:dyDescent="0.25">
      <c r="A28" s="50">
        <f>'A) Base RI'!A29</f>
        <v>5428</v>
      </c>
      <c r="B28" s="392" t="str">
        <f>'A) Base RI'!B29</f>
        <v>Gimel</v>
      </c>
      <c r="C28" s="2">
        <v>1191700.9579992131</v>
      </c>
      <c r="D28" s="430">
        <v>48250.656527320389</v>
      </c>
      <c r="E28" s="2">
        <v>0</v>
      </c>
      <c r="F28" s="430">
        <v>0</v>
      </c>
      <c r="G28" s="2">
        <v>0</v>
      </c>
      <c r="H28" s="395">
        <f t="shared" si="0"/>
        <v>1239951.6145265335</v>
      </c>
      <c r="I28" s="157">
        <v>58004.622727272719</v>
      </c>
      <c r="J28" s="398">
        <f>'B) D RI'!U29</f>
        <v>61728.526853146868</v>
      </c>
      <c r="K28" s="66">
        <f t="shared" si="1"/>
        <v>21.376772336862917</v>
      </c>
      <c r="L28" s="34">
        <f>'B) D RI'!S29</f>
        <v>71.5</v>
      </c>
      <c r="M28" s="34">
        <f t="shared" si="2"/>
        <v>50.123227663137087</v>
      </c>
      <c r="N28" s="34">
        <f>'J) Plafonnement effort'!G27+'J) Plafonnement effort'!H27-'K) Plafonnement aide'!I27</f>
        <v>16.322755466867925</v>
      </c>
      <c r="O28" s="131">
        <f t="shared" si="3"/>
        <v>66.445983130005004</v>
      </c>
      <c r="P28" s="48">
        <f t="shared" si="4"/>
        <v>0</v>
      </c>
      <c r="Q28" s="58">
        <f t="shared" si="5"/>
        <v>0</v>
      </c>
      <c r="R28" s="152">
        <f t="shared" si="6"/>
        <v>66.445983130005004</v>
      </c>
      <c r="S28" s="131">
        <f t="shared" si="7"/>
        <v>-5.0540168699949959</v>
      </c>
      <c r="T28" s="151">
        <f t="shared" si="8"/>
        <v>0</v>
      </c>
      <c r="V28" s="12"/>
    </row>
    <row r="29" spans="1:22" x14ac:dyDescent="0.25">
      <c r="A29" s="50">
        <f>'A) Base RI'!A30</f>
        <v>5429</v>
      </c>
      <c r="B29" s="392" t="str">
        <f>'A) Base RI'!B30</f>
        <v>Longirod</v>
      </c>
      <c r="C29" s="2">
        <v>267512.75049324293</v>
      </c>
      <c r="D29" s="430">
        <v>-43328.504510470608</v>
      </c>
      <c r="E29" s="2">
        <v>0</v>
      </c>
      <c r="F29" s="430">
        <v>0</v>
      </c>
      <c r="G29" s="2">
        <v>0</v>
      </c>
      <c r="H29" s="395">
        <f t="shared" si="0"/>
        <v>224184.24598277232</v>
      </c>
      <c r="I29" s="157">
        <v>12171.349506172839</v>
      </c>
      <c r="J29" s="398">
        <f>'B) D RI'!U30</f>
        <v>14939.782716049382</v>
      </c>
      <c r="K29" s="66">
        <f t="shared" si="1"/>
        <v>18.419013098676913</v>
      </c>
      <c r="L29" s="34">
        <f>'B) D RI'!S30</f>
        <v>81</v>
      </c>
      <c r="M29" s="34">
        <f t="shared" si="2"/>
        <v>62.580986901323087</v>
      </c>
      <c r="N29" s="34">
        <f>'J) Plafonnement effort'!G28+'J) Plafonnement effort'!H28-'K) Plafonnement aide'!I28</f>
        <v>17.106780501453585</v>
      </c>
      <c r="O29" s="131">
        <f t="shared" si="3"/>
        <v>79.687767402776672</v>
      </c>
      <c r="P29" s="48">
        <f t="shared" si="4"/>
        <v>0</v>
      </c>
      <c r="Q29" s="58">
        <f t="shared" si="5"/>
        <v>0</v>
      </c>
      <c r="R29" s="152">
        <f t="shared" si="6"/>
        <v>79.687767402776672</v>
      </c>
      <c r="S29" s="131">
        <f t="shared" si="7"/>
        <v>-1.3122325972233284</v>
      </c>
      <c r="T29" s="151">
        <f t="shared" si="8"/>
        <v>0</v>
      </c>
      <c r="V29" s="12"/>
    </row>
    <row r="30" spans="1:22" x14ac:dyDescent="0.25">
      <c r="A30" s="50">
        <f>'A) Base RI'!A31</f>
        <v>5430</v>
      </c>
      <c r="B30" s="392" t="str">
        <f>'A) Base RI'!B31</f>
        <v>Marchissy</v>
      </c>
      <c r="C30" s="2">
        <v>207435.65992393947</v>
      </c>
      <c r="D30" s="430">
        <v>-65306.070505790762</v>
      </c>
      <c r="E30" s="2">
        <v>0</v>
      </c>
      <c r="F30" s="430">
        <v>0</v>
      </c>
      <c r="G30" s="2">
        <v>0</v>
      </c>
      <c r="H30" s="395">
        <f t="shared" si="0"/>
        <v>142129.58941814871</v>
      </c>
      <c r="I30" s="157">
        <v>10573.165189873416</v>
      </c>
      <c r="J30" s="398">
        <f>'B) D RI'!U31</f>
        <v>13613.731392405061</v>
      </c>
      <c r="K30" s="66">
        <f t="shared" si="1"/>
        <v>13.44248263086584</v>
      </c>
      <c r="L30" s="34">
        <f>'B) D RI'!S31</f>
        <v>79</v>
      </c>
      <c r="M30" s="34">
        <f t="shared" si="2"/>
        <v>65.55751736913416</v>
      </c>
      <c r="N30" s="34">
        <f>'J) Plafonnement effort'!G29+'J) Plafonnement effort'!H29-'K) Plafonnement aide'!I29</f>
        <v>7.3502408081497386</v>
      </c>
      <c r="O30" s="131">
        <f t="shared" si="3"/>
        <v>72.907758177283895</v>
      </c>
      <c r="P30" s="48">
        <f t="shared" si="4"/>
        <v>0</v>
      </c>
      <c r="Q30" s="58">
        <f t="shared" si="5"/>
        <v>0</v>
      </c>
      <c r="R30" s="152">
        <f t="shared" si="6"/>
        <v>72.907758177283895</v>
      </c>
      <c r="S30" s="131">
        <f t="shared" si="7"/>
        <v>-6.0922418227161046</v>
      </c>
      <c r="T30" s="151">
        <f t="shared" si="8"/>
        <v>0</v>
      </c>
      <c r="V30" s="12"/>
    </row>
    <row r="31" spans="1:22" x14ac:dyDescent="0.25">
      <c r="A31" s="50">
        <f>'A) Base RI'!A32</f>
        <v>5431</v>
      </c>
      <c r="B31" s="392" t="str">
        <f>'A) Base RI'!B32</f>
        <v>Mollens</v>
      </c>
      <c r="C31" s="2">
        <v>194294.84080726534</v>
      </c>
      <c r="D31" s="430">
        <v>134481.0227711047</v>
      </c>
      <c r="E31" s="2">
        <v>0</v>
      </c>
      <c r="F31" s="430">
        <v>0</v>
      </c>
      <c r="G31" s="2">
        <v>0</v>
      </c>
      <c r="H31" s="395">
        <f t="shared" si="0"/>
        <v>328775.86357837007</v>
      </c>
      <c r="I31" s="157">
        <v>11206.031081081082</v>
      </c>
      <c r="J31" s="398">
        <f>'B) D RI'!U32</f>
        <v>8973.9812162162179</v>
      </c>
      <c r="K31" s="66">
        <f t="shared" si="1"/>
        <v>29.339188977749291</v>
      </c>
      <c r="L31" s="34">
        <f>'B) D RI'!S32</f>
        <v>74</v>
      </c>
      <c r="M31" s="34">
        <f t="shared" si="2"/>
        <v>44.660811022250712</v>
      </c>
      <c r="N31" s="34">
        <f>'J) Plafonnement effort'!G30+'J) Plafonnement effort'!H30-'K) Plafonnement aide'!I30</f>
        <v>19.518766609863892</v>
      </c>
      <c r="O31" s="131">
        <f t="shared" si="3"/>
        <v>64.179577632114601</v>
      </c>
      <c r="P31" s="48">
        <f t="shared" si="4"/>
        <v>0</v>
      </c>
      <c r="Q31" s="58">
        <f t="shared" si="5"/>
        <v>0</v>
      </c>
      <c r="R31" s="152">
        <f t="shared" si="6"/>
        <v>64.179577632114601</v>
      </c>
      <c r="S31" s="131">
        <f t="shared" si="7"/>
        <v>-9.8204223678853992</v>
      </c>
      <c r="T31" s="151">
        <f t="shared" si="8"/>
        <v>0</v>
      </c>
      <c r="V31" s="12"/>
    </row>
    <row r="32" spans="1:22" x14ac:dyDescent="0.25">
      <c r="A32" s="50">
        <f>'A) Base RI'!A33</f>
        <v>5432</v>
      </c>
      <c r="B32" s="392" t="str">
        <f>'A) Base RI'!B33</f>
        <v>Montherod</v>
      </c>
      <c r="C32" s="2">
        <v>326822.10097195103</v>
      </c>
      <c r="D32" s="430">
        <v>138098.07719399768</v>
      </c>
      <c r="E32" s="2">
        <v>0</v>
      </c>
      <c r="F32" s="430">
        <v>0</v>
      </c>
      <c r="G32" s="2">
        <v>0</v>
      </c>
      <c r="H32" s="395">
        <f t="shared" si="0"/>
        <v>464920.17816594872</v>
      </c>
      <c r="I32" s="157">
        <v>17725.419230769232</v>
      </c>
      <c r="J32" s="398">
        <f>'B) D RI'!U33</f>
        <v>17887.262179487177</v>
      </c>
      <c r="K32" s="66">
        <f t="shared" si="1"/>
        <v>26.229008866481546</v>
      </c>
      <c r="L32" s="34">
        <f>'B) D RI'!S33</f>
        <v>78</v>
      </c>
      <c r="M32" s="34">
        <f t="shared" si="2"/>
        <v>51.77099113351845</v>
      </c>
      <c r="N32" s="34">
        <f>'J) Plafonnement effort'!G31+'J) Plafonnement effort'!H31-'K) Plafonnement aide'!I31</f>
        <v>26.98770930957469</v>
      </c>
      <c r="O32" s="131">
        <f t="shared" si="3"/>
        <v>78.758700443093147</v>
      </c>
      <c r="P32" s="48">
        <f t="shared" si="4"/>
        <v>0</v>
      </c>
      <c r="Q32" s="58">
        <f t="shared" si="5"/>
        <v>0</v>
      </c>
      <c r="R32" s="152">
        <f t="shared" si="6"/>
        <v>78.758700443093147</v>
      </c>
      <c r="S32" s="131">
        <f t="shared" si="7"/>
        <v>0.75870044309314721</v>
      </c>
      <c r="T32" s="151">
        <f t="shared" si="8"/>
        <v>0</v>
      </c>
      <c r="V32" s="12"/>
    </row>
    <row r="33" spans="1:22" x14ac:dyDescent="0.25">
      <c r="A33" s="50">
        <f>'A) Base RI'!A34</f>
        <v>5434</v>
      </c>
      <c r="B33" s="392" t="str">
        <f>'A) Base RI'!B34</f>
        <v>Saint-George</v>
      </c>
      <c r="C33" s="2">
        <v>646624.98454410268</v>
      </c>
      <c r="D33" s="430">
        <v>408834.13241734728</v>
      </c>
      <c r="E33" s="2">
        <v>0</v>
      </c>
      <c r="F33" s="430">
        <v>0</v>
      </c>
      <c r="G33" s="2">
        <v>0</v>
      </c>
      <c r="H33" s="395">
        <f t="shared" si="0"/>
        <v>1055459.1169614499</v>
      </c>
      <c r="I33" s="157">
        <v>35895.731094890507</v>
      </c>
      <c r="J33" s="398">
        <f>'B) D RI'!U34</f>
        <v>37133.404507042258</v>
      </c>
      <c r="K33" s="66">
        <f t="shared" si="1"/>
        <v>29.403471799232602</v>
      </c>
      <c r="L33" s="34">
        <f>'B) D RI'!S34</f>
        <v>71</v>
      </c>
      <c r="M33" s="34">
        <f t="shared" si="2"/>
        <v>41.596528200767395</v>
      </c>
      <c r="N33" s="34">
        <f>'J) Plafonnement effort'!G32+'J) Plafonnement effort'!H32-'K) Plafonnement aide'!I32</f>
        <v>31.317383564230855</v>
      </c>
      <c r="O33" s="131">
        <f t="shared" si="3"/>
        <v>72.913911764998247</v>
      </c>
      <c r="P33" s="48">
        <f t="shared" si="4"/>
        <v>0</v>
      </c>
      <c r="Q33" s="58">
        <f t="shared" si="5"/>
        <v>0</v>
      </c>
      <c r="R33" s="152">
        <f t="shared" si="6"/>
        <v>72.913911764998247</v>
      </c>
      <c r="S33" s="131">
        <f t="shared" si="7"/>
        <v>1.9139117649982467</v>
      </c>
      <c r="T33" s="151">
        <f t="shared" si="8"/>
        <v>0</v>
      </c>
      <c r="V33" s="12"/>
    </row>
    <row r="34" spans="1:22" x14ac:dyDescent="0.25">
      <c r="A34" s="50">
        <f>'A) Base RI'!A35</f>
        <v>5435</v>
      </c>
      <c r="B34" s="392" t="str">
        <f>'A) Base RI'!B35</f>
        <v>Saint-Livres</v>
      </c>
      <c r="C34" s="2">
        <v>348678.33798485994</v>
      </c>
      <c r="D34" s="430">
        <v>185832.09157411975</v>
      </c>
      <c r="E34" s="2">
        <v>0</v>
      </c>
      <c r="F34" s="430">
        <v>0</v>
      </c>
      <c r="G34" s="2">
        <v>0</v>
      </c>
      <c r="H34" s="395">
        <f t="shared" si="0"/>
        <v>534510.4295589797</v>
      </c>
      <c r="I34" s="157">
        <v>22398.12956521739</v>
      </c>
      <c r="J34" s="398">
        <f>'B) D RI'!U35</f>
        <v>25639.681014492751</v>
      </c>
      <c r="K34" s="66">
        <f t="shared" si="1"/>
        <v>23.864065434688538</v>
      </c>
      <c r="L34" s="34">
        <f>'B) D RI'!S35</f>
        <v>69</v>
      </c>
      <c r="M34" s="34">
        <f t="shared" si="2"/>
        <v>45.135934565311459</v>
      </c>
      <c r="N34" s="34">
        <f>'J) Plafonnement effort'!G33+'J) Plafonnement effort'!H33-'K) Plafonnement aide'!I33</f>
        <v>27.246744505191533</v>
      </c>
      <c r="O34" s="131">
        <f t="shared" si="3"/>
        <v>72.382679070502988</v>
      </c>
      <c r="P34" s="48">
        <f t="shared" si="4"/>
        <v>0</v>
      </c>
      <c r="Q34" s="58">
        <f t="shared" si="5"/>
        <v>0</v>
      </c>
      <c r="R34" s="152">
        <f t="shared" si="6"/>
        <v>72.382679070502988</v>
      </c>
      <c r="S34" s="131">
        <f t="shared" si="7"/>
        <v>3.3826790705029879</v>
      </c>
      <c r="T34" s="151">
        <f t="shared" si="8"/>
        <v>0</v>
      </c>
      <c r="V34" s="12"/>
    </row>
    <row r="35" spans="1:22" x14ac:dyDescent="0.25">
      <c r="A35" s="50">
        <f>'A) Base RI'!A36</f>
        <v>5436</v>
      </c>
      <c r="B35" s="392" t="str">
        <f>'A) Base RI'!B36</f>
        <v>Saint-Oyens</v>
      </c>
      <c r="C35" s="2">
        <v>190610.4554646324</v>
      </c>
      <c r="D35" s="430">
        <v>21616.722891637328</v>
      </c>
      <c r="E35" s="2">
        <v>0</v>
      </c>
      <c r="F35" s="430">
        <v>0</v>
      </c>
      <c r="G35" s="2">
        <v>0</v>
      </c>
      <c r="H35" s="395">
        <f t="shared" si="0"/>
        <v>212227.17835626972</v>
      </c>
      <c r="I35" s="157">
        <v>10474.604814814815</v>
      </c>
      <c r="J35" s="398">
        <f>'B) D RI'!U36</f>
        <v>11326.600185185187</v>
      </c>
      <c r="K35" s="66">
        <f t="shared" si="1"/>
        <v>20.261115536894057</v>
      </c>
      <c r="L35" s="34">
        <f>'B) D RI'!S36</f>
        <v>81</v>
      </c>
      <c r="M35" s="34">
        <f t="shared" si="2"/>
        <v>60.738884463105947</v>
      </c>
      <c r="N35" s="34">
        <f>'J) Plafonnement effort'!G34+'J) Plafonnement effort'!H34-'K) Plafonnement aide'!I34</f>
        <v>15.946600187653859</v>
      </c>
      <c r="O35" s="131">
        <f t="shared" si="3"/>
        <v>76.685484650759804</v>
      </c>
      <c r="P35" s="48">
        <f t="shared" si="4"/>
        <v>0</v>
      </c>
      <c r="Q35" s="58">
        <f t="shared" si="5"/>
        <v>0</v>
      </c>
      <c r="R35" s="152">
        <f t="shared" si="6"/>
        <v>76.685484650759804</v>
      </c>
      <c r="S35" s="131">
        <f t="shared" si="7"/>
        <v>-4.314515349240196</v>
      </c>
      <c r="T35" s="151">
        <f t="shared" si="8"/>
        <v>0</v>
      </c>
      <c r="V35" s="12"/>
    </row>
    <row r="36" spans="1:22" x14ac:dyDescent="0.25">
      <c r="A36" s="50">
        <f>'A) Base RI'!A37</f>
        <v>5437</v>
      </c>
      <c r="B36" s="392" t="str">
        <f>'A) Base RI'!B37</f>
        <v>Saubraz</v>
      </c>
      <c r="C36" s="2">
        <v>204937.26520195827</v>
      </c>
      <c r="D36" s="430">
        <v>-77660.669286602759</v>
      </c>
      <c r="E36" s="2">
        <v>0</v>
      </c>
      <c r="F36" s="430">
        <v>0</v>
      </c>
      <c r="G36" s="2">
        <v>0</v>
      </c>
      <c r="H36" s="395">
        <f t="shared" si="0"/>
        <v>127276.59591535552</v>
      </c>
      <c r="I36" s="157">
        <v>10138.793125</v>
      </c>
      <c r="J36" s="398">
        <f>'B) D RI'!U37</f>
        <v>9913.9082500000004</v>
      </c>
      <c r="K36" s="66">
        <f t="shared" si="1"/>
        <v>12.553426659975914</v>
      </c>
      <c r="L36" s="34">
        <f>'B) D RI'!S37</f>
        <v>80</v>
      </c>
      <c r="M36" s="34">
        <f t="shared" si="2"/>
        <v>67.446573340024088</v>
      </c>
      <c r="N36" s="34">
        <f>'J) Plafonnement effort'!G35+'J) Plafonnement effort'!H35-'K) Plafonnement aide'!I35</f>
        <v>2.528888176045986</v>
      </c>
      <c r="O36" s="131">
        <f>M36+N36</f>
        <v>69.975461516070069</v>
      </c>
      <c r="P36" s="48">
        <f t="shared" si="4"/>
        <v>0</v>
      </c>
      <c r="Q36" s="58">
        <f t="shared" si="5"/>
        <v>0</v>
      </c>
      <c r="R36" s="152">
        <f t="shared" si="6"/>
        <v>69.975461516070069</v>
      </c>
      <c r="S36" s="131">
        <f t="shared" si="7"/>
        <v>-10.024538483929931</v>
      </c>
      <c r="T36" s="151">
        <f t="shared" si="8"/>
        <v>0</v>
      </c>
      <c r="V36" s="12"/>
    </row>
    <row r="37" spans="1:22" x14ac:dyDescent="0.25">
      <c r="A37" s="50">
        <f>'A) Base RI'!A38</f>
        <v>5451</v>
      </c>
      <c r="B37" s="392" t="str">
        <f>'A) Base RI'!B38</f>
        <v>Avenches</v>
      </c>
      <c r="C37" s="2">
        <v>2236478.1333562289</v>
      </c>
      <c r="D37" s="430">
        <v>-727500.04195767408</v>
      </c>
      <c r="E37" s="2">
        <v>0</v>
      </c>
      <c r="F37" s="430">
        <v>0</v>
      </c>
      <c r="G37" s="2">
        <v>0</v>
      </c>
      <c r="H37" s="395">
        <f t="shared" si="0"/>
        <v>1508978.0913985549</v>
      </c>
      <c r="I37" s="157">
        <v>109207.82382352941</v>
      </c>
      <c r="J37" s="398">
        <f>'B) D RI'!U38</f>
        <v>95537.476225490187</v>
      </c>
      <c r="K37" s="66">
        <f t="shared" si="1"/>
        <v>13.817490712358993</v>
      </c>
      <c r="L37" s="34">
        <f>'B) D RI'!S38</f>
        <v>68</v>
      </c>
      <c r="M37" s="34">
        <f t="shared" si="2"/>
        <v>54.182509287641011</v>
      </c>
      <c r="N37" s="34">
        <f>'J) Plafonnement effort'!G36+'J) Plafonnement effort'!H36-'K) Plafonnement aide'!I36</f>
        <v>-9.4610076470146165</v>
      </c>
      <c r="O37" s="131">
        <f t="shared" si="3"/>
        <v>44.721501640626393</v>
      </c>
      <c r="P37" s="48">
        <f t="shared" si="4"/>
        <v>0</v>
      </c>
      <c r="Q37" s="58">
        <f t="shared" si="5"/>
        <v>0</v>
      </c>
      <c r="R37" s="152">
        <f t="shared" si="6"/>
        <v>44.721501640626393</v>
      </c>
      <c r="S37" s="131">
        <f t="shared" si="7"/>
        <v>-23.278498359373607</v>
      </c>
      <c r="T37" s="151">
        <f t="shared" si="8"/>
        <v>0</v>
      </c>
      <c r="V37" s="12"/>
    </row>
    <row r="38" spans="1:22" x14ac:dyDescent="0.25">
      <c r="A38" s="50">
        <f>'A) Base RI'!A39</f>
        <v>5456</v>
      </c>
      <c r="B38" s="392" t="str">
        <f>'A) Base RI'!B39</f>
        <v>Cudrefin</v>
      </c>
      <c r="C38" s="2">
        <v>863474.26668898389</v>
      </c>
      <c r="D38" s="430">
        <v>411146.17521479283</v>
      </c>
      <c r="E38" s="2">
        <v>0</v>
      </c>
      <c r="F38" s="430">
        <v>0</v>
      </c>
      <c r="G38" s="2">
        <v>0</v>
      </c>
      <c r="H38" s="395">
        <f t="shared" si="0"/>
        <v>1274620.4419037767</v>
      </c>
      <c r="I38" s="157">
        <v>51373.818644067804</v>
      </c>
      <c r="J38" s="398">
        <f>'B) D RI'!U39</f>
        <v>54725.941638418088</v>
      </c>
      <c r="K38" s="66">
        <f t="shared" si="1"/>
        <v>24.810700772210527</v>
      </c>
      <c r="L38" s="34">
        <f>'B) D RI'!S39</f>
        <v>59</v>
      </c>
      <c r="M38" s="34">
        <f t="shared" si="2"/>
        <v>34.189299227789476</v>
      </c>
      <c r="N38" s="34">
        <f>'J) Plafonnement effort'!G37+'J) Plafonnement effort'!H37-'K) Plafonnement aide'!I37</f>
        <v>23.249950665561443</v>
      </c>
      <c r="O38" s="131">
        <f t="shared" si="3"/>
        <v>57.439249893350919</v>
      </c>
      <c r="P38" s="48">
        <f t="shared" si="4"/>
        <v>0</v>
      </c>
      <c r="Q38" s="58">
        <f t="shared" si="5"/>
        <v>0</v>
      </c>
      <c r="R38" s="152">
        <f t="shared" si="6"/>
        <v>57.439249893350919</v>
      </c>
      <c r="S38" s="131">
        <f t="shared" si="7"/>
        <v>-1.5607501066490812</v>
      </c>
      <c r="T38" s="151">
        <f t="shared" si="8"/>
        <v>0</v>
      </c>
      <c r="V38" s="12"/>
    </row>
    <row r="39" spans="1:22" x14ac:dyDescent="0.25">
      <c r="A39" s="50">
        <f>'A) Base RI'!A40</f>
        <v>5458</v>
      </c>
      <c r="B39" s="392" t="str">
        <f>'A) Base RI'!B40</f>
        <v>Faoug</v>
      </c>
      <c r="C39" s="2">
        <v>552979.47068260692</v>
      </c>
      <c r="D39" s="430">
        <v>384014.3179686509</v>
      </c>
      <c r="E39" s="2">
        <v>0</v>
      </c>
      <c r="F39" s="430">
        <v>0</v>
      </c>
      <c r="G39" s="2">
        <v>0</v>
      </c>
      <c r="H39" s="395">
        <f t="shared" si="0"/>
        <v>936993.78865125775</v>
      </c>
      <c r="I39" s="157">
        <v>31692.092968750003</v>
      </c>
      <c r="J39" s="398">
        <f>'B) D RI'!U40</f>
        <v>34607.593906250004</v>
      </c>
      <c r="K39" s="66">
        <f t="shared" si="1"/>
        <v>29.565538305569806</v>
      </c>
      <c r="L39" s="34">
        <f>'B) D RI'!S40</f>
        <v>64</v>
      </c>
      <c r="M39" s="34">
        <f t="shared" si="2"/>
        <v>34.434461694430198</v>
      </c>
      <c r="N39" s="34">
        <f>'J) Plafonnement effort'!G38+'J) Plafonnement effort'!H38-'K) Plafonnement aide'!I38</f>
        <v>31.059530850429333</v>
      </c>
      <c r="O39" s="131">
        <f t="shared" si="3"/>
        <v>65.493992544859537</v>
      </c>
      <c r="P39" s="48">
        <f t="shared" si="4"/>
        <v>0</v>
      </c>
      <c r="Q39" s="58">
        <f t="shared" si="5"/>
        <v>0</v>
      </c>
      <c r="R39" s="152">
        <f t="shared" si="6"/>
        <v>65.493992544859537</v>
      </c>
      <c r="S39" s="131">
        <f t="shared" si="7"/>
        <v>1.4939925448595375</v>
      </c>
      <c r="T39" s="151">
        <f t="shared" si="8"/>
        <v>0</v>
      </c>
      <c r="V39" s="12"/>
    </row>
    <row r="40" spans="1:22" x14ac:dyDescent="0.25">
      <c r="A40" s="50">
        <f>'A) Base RI'!A41</f>
        <v>5464</v>
      </c>
      <c r="B40" s="392" t="str">
        <f>'A) Base RI'!B41</f>
        <v>Vully-les-Lacs</v>
      </c>
      <c r="C40" s="2">
        <v>1987687.0748046502</v>
      </c>
      <c r="D40" s="430">
        <v>388423.57269347296</v>
      </c>
      <c r="E40" s="2">
        <v>0</v>
      </c>
      <c r="F40" s="430">
        <v>0</v>
      </c>
      <c r="G40" s="2">
        <v>0</v>
      </c>
      <c r="H40" s="395">
        <f t="shared" si="0"/>
        <v>2376110.6474981233</v>
      </c>
      <c r="I40" s="157">
        <v>96310.385124378095</v>
      </c>
      <c r="J40" s="398">
        <f>'B) D RI'!U41</f>
        <v>98727.295671641783</v>
      </c>
      <c r="K40" s="66">
        <f t="shared" si="1"/>
        <v>24.671385587645023</v>
      </c>
      <c r="L40" s="34">
        <f>'B) D RI'!S41</f>
        <v>67</v>
      </c>
      <c r="M40" s="34">
        <f t="shared" si="2"/>
        <v>42.32861441235498</v>
      </c>
      <c r="N40" s="34">
        <f>'J) Plafonnement effort'!G39+'J) Plafonnement effort'!H39-'K) Plafonnement aide'!I39</f>
        <v>17.958325138325691</v>
      </c>
      <c r="O40" s="131">
        <f t="shared" si="3"/>
        <v>60.286939550680671</v>
      </c>
      <c r="P40" s="48">
        <f t="shared" si="4"/>
        <v>0</v>
      </c>
      <c r="Q40" s="58">
        <f t="shared" si="5"/>
        <v>0</v>
      </c>
      <c r="R40" s="152">
        <f t="shared" si="6"/>
        <v>60.286939550680671</v>
      </c>
      <c r="S40" s="131">
        <f t="shared" si="7"/>
        <v>-6.7130604493193289</v>
      </c>
      <c r="T40" s="151">
        <f t="shared" si="8"/>
        <v>0</v>
      </c>
      <c r="V40" s="12"/>
    </row>
    <row r="41" spans="1:22" x14ac:dyDescent="0.25">
      <c r="A41" s="50">
        <f>'A) Base RI'!A42</f>
        <v>5471</v>
      </c>
      <c r="B41" s="392" t="str">
        <f>'A) Base RI'!B42</f>
        <v>Bettens</v>
      </c>
      <c r="C41" s="2">
        <v>276510.45251795498</v>
      </c>
      <c r="D41" s="430">
        <v>56134.011122052209</v>
      </c>
      <c r="E41" s="2">
        <v>0</v>
      </c>
      <c r="F41" s="430">
        <v>0</v>
      </c>
      <c r="G41" s="2">
        <v>0</v>
      </c>
      <c r="H41" s="395">
        <f t="shared" si="0"/>
        <v>332644.46364000719</v>
      </c>
      <c r="I41" s="157">
        <v>16449.086587301586</v>
      </c>
      <c r="J41" s="398">
        <f>'B) D RI'!U42</f>
        <v>19145.941571428568</v>
      </c>
      <c r="K41" s="66">
        <f t="shared" si="1"/>
        <v>20.22267083795419</v>
      </c>
      <c r="L41" s="34">
        <f>'B) D RI'!S42</f>
        <v>70</v>
      </c>
      <c r="M41" s="34">
        <f t="shared" si="2"/>
        <v>49.77732916204581</v>
      </c>
      <c r="N41" s="34">
        <f>'J) Plafonnement effort'!G40+'J) Plafonnement effort'!H40-'K) Plafonnement aide'!I40</f>
        <v>30.755241459648062</v>
      </c>
      <c r="O41" s="131">
        <f t="shared" si="3"/>
        <v>80.532570621693878</v>
      </c>
      <c r="P41" s="48">
        <f t="shared" si="4"/>
        <v>0</v>
      </c>
      <c r="Q41" s="58">
        <f t="shared" si="5"/>
        <v>0</v>
      </c>
      <c r="R41" s="152">
        <f t="shared" si="6"/>
        <v>80.532570621693878</v>
      </c>
      <c r="S41" s="131">
        <f t="shared" si="7"/>
        <v>10.532570621693878</v>
      </c>
      <c r="T41" s="151">
        <f t="shared" si="8"/>
        <v>0</v>
      </c>
      <c r="V41" s="12"/>
    </row>
    <row r="42" spans="1:22" x14ac:dyDescent="0.25">
      <c r="A42" s="50">
        <f>'A) Base RI'!A43</f>
        <v>5472</v>
      </c>
      <c r="B42" s="392" t="str">
        <f>'A) Base RI'!B43</f>
        <v>Bournens</v>
      </c>
      <c r="C42" s="2">
        <v>269778.82912894071</v>
      </c>
      <c r="D42" s="430">
        <v>164748.79795794436</v>
      </c>
      <c r="E42" s="2">
        <v>0</v>
      </c>
      <c r="F42" s="430">
        <v>0</v>
      </c>
      <c r="G42" s="2">
        <v>0</v>
      </c>
      <c r="H42" s="395">
        <f t="shared" si="0"/>
        <v>434527.62708688504</v>
      </c>
      <c r="I42" s="157">
        <v>14191.801124999998</v>
      </c>
      <c r="J42" s="398">
        <f>'B) D RI'!U43</f>
        <v>14770.012375000002</v>
      </c>
      <c r="K42" s="66">
        <f t="shared" si="1"/>
        <v>30.618215634478538</v>
      </c>
      <c r="L42" s="34">
        <f>'B) D RI'!S43</f>
        <v>80</v>
      </c>
      <c r="M42" s="34">
        <f t="shared" si="2"/>
        <v>49.381784365521462</v>
      </c>
      <c r="N42" s="34">
        <f>'J) Plafonnement effort'!G41+'J) Plafonnement effort'!H41-'K) Plafonnement aide'!I41</f>
        <v>24.28868537286715</v>
      </c>
      <c r="O42" s="131">
        <f t="shared" si="3"/>
        <v>73.670469738388618</v>
      </c>
      <c r="P42" s="48">
        <f t="shared" si="4"/>
        <v>0</v>
      </c>
      <c r="Q42" s="58">
        <f t="shared" si="5"/>
        <v>0</v>
      </c>
      <c r="R42" s="152">
        <f t="shared" si="6"/>
        <v>73.670469738388618</v>
      </c>
      <c r="S42" s="131">
        <f t="shared" si="7"/>
        <v>-6.3295302616113815</v>
      </c>
      <c r="T42" s="151">
        <f t="shared" si="8"/>
        <v>0</v>
      </c>
      <c r="V42" s="12"/>
    </row>
    <row r="43" spans="1:22" x14ac:dyDescent="0.25">
      <c r="A43" s="50">
        <f>'A) Base RI'!A44</f>
        <v>5473</v>
      </c>
      <c r="B43" s="392" t="str">
        <f>'A) Base RI'!B44</f>
        <v>Boussens</v>
      </c>
      <c r="C43" s="2">
        <v>552131.16861878755</v>
      </c>
      <c r="D43" s="430">
        <v>298295.17859372677</v>
      </c>
      <c r="E43" s="2">
        <v>0</v>
      </c>
      <c r="F43" s="430">
        <v>0</v>
      </c>
      <c r="G43" s="2">
        <v>0</v>
      </c>
      <c r="H43" s="395">
        <f t="shared" si="0"/>
        <v>850426.34721251437</v>
      </c>
      <c r="I43" s="157">
        <v>32757.052898550723</v>
      </c>
      <c r="J43" s="398">
        <f>'B) D RI'!U44</f>
        <v>33002.569420289859</v>
      </c>
      <c r="K43" s="66">
        <f t="shared" si="1"/>
        <v>25.961625725192757</v>
      </c>
      <c r="L43" s="34">
        <f>'B) D RI'!S44</f>
        <v>69</v>
      </c>
      <c r="M43" s="34">
        <f t="shared" si="2"/>
        <v>43.038374274807239</v>
      </c>
      <c r="N43" s="34">
        <f>'J) Plafonnement effort'!G42+'J) Plafonnement effort'!H42-'K) Plafonnement aide'!I42</f>
        <v>26.985556065772734</v>
      </c>
      <c r="O43" s="131">
        <f t="shared" si="3"/>
        <v>70.023930340579966</v>
      </c>
      <c r="P43" s="48">
        <f t="shared" si="4"/>
        <v>0</v>
      </c>
      <c r="Q43" s="58">
        <f t="shared" si="5"/>
        <v>0</v>
      </c>
      <c r="R43" s="152">
        <f t="shared" si="6"/>
        <v>70.023930340579966</v>
      </c>
      <c r="S43" s="131">
        <f t="shared" si="7"/>
        <v>1.023930340579966</v>
      </c>
      <c r="T43" s="151">
        <f t="shared" si="8"/>
        <v>0</v>
      </c>
      <c r="V43" s="12"/>
    </row>
    <row r="44" spans="1:22" x14ac:dyDescent="0.25">
      <c r="A44" s="50">
        <f>'A) Base RI'!A45</f>
        <v>5474</v>
      </c>
      <c r="B44" s="392" t="str">
        <f>'A) Base RI'!B45</f>
        <v>La Chaux (Cossonay)</v>
      </c>
      <c r="C44" s="2">
        <v>246522.67299209847</v>
      </c>
      <c r="D44" s="430">
        <v>56137.18293340021</v>
      </c>
      <c r="E44" s="2">
        <v>0</v>
      </c>
      <c r="F44" s="430">
        <v>0</v>
      </c>
      <c r="G44" s="2">
        <v>0</v>
      </c>
      <c r="H44" s="395">
        <f t="shared" si="0"/>
        <v>302659.85592549865</v>
      </c>
      <c r="I44" s="157">
        <v>12924.858852813852</v>
      </c>
      <c r="J44" s="398">
        <f>'B) D RI'!U45</f>
        <v>13388.045367965367</v>
      </c>
      <c r="K44" s="66">
        <f t="shared" si="1"/>
        <v>23.416879005963537</v>
      </c>
      <c r="L44" s="34">
        <f>'B) D RI'!S45</f>
        <v>77</v>
      </c>
      <c r="M44" s="34">
        <f t="shared" si="2"/>
        <v>53.583120994036463</v>
      </c>
      <c r="N44" s="34">
        <f>'J) Plafonnement effort'!G43+'J) Plafonnement effort'!H43-'K) Plafonnement aide'!I43</f>
        <v>22.318010911962986</v>
      </c>
      <c r="O44" s="131">
        <f t="shared" si="3"/>
        <v>75.901131905999449</v>
      </c>
      <c r="P44" s="48">
        <f t="shared" si="4"/>
        <v>0</v>
      </c>
      <c r="Q44" s="58">
        <f t="shared" si="5"/>
        <v>0</v>
      </c>
      <c r="R44" s="152">
        <f t="shared" si="6"/>
        <v>75.901131905999449</v>
      </c>
      <c r="S44" s="131">
        <f t="shared" si="7"/>
        <v>-1.0988680940005509</v>
      </c>
      <c r="T44" s="151">
        <f t="shared" si="8"/>
        <v>0</v>
      </c>
      <c r="V44" s="12"/>
    </row>
    <row r="45" spans="1:22" x14ac:dyDescent="0.25">
      <c r="A45" s="50">
        <f>'A) Base RI'!A46</f>
        <v>5475</v>
      </c>
      <c r="B45" s="392" t="str">
        <f>'A) Base RI'!B46</f>
        <v>Chavannes-le-Veyron</v>
      </c>
      <c r="C45" s="2">
        <v>74452.110240418755</v>
      </c>
      <c r="D45" s="430">
        <v>-53833.12870070499</v>
      </c>
      <c r="E45" s="2">
        <v>0</v>
      </c>
      <c r="F45" s="430">
        <v>0</v>
      </c>
      <c r="G45" s="2">
        <v>0</v>
      </c>
      <c r="H45" s="395">
        <f t="shared" si="0"/>
        <v>20618.981539713765</v>
      </c>
      <c r="I45" s="157">
        <v>2672.7945454545452</v>
      </c>
      <c r="J45" s="398">
        <f>'B) D RI'!U46</f>
        <v>3775.6794805194804</v>
      </c>
      <c r="K45" s="66">
        <f t="shared" si="1"/>
        <v>7.7143907580847095</v>
      </c>
      <c r="L45" s="34">
        <f>'B) D RI'!S46</f>
        <v>77</v>
      </c>
      <c r="M45" s="34">
        <f t="shared" si="2"/>
        <v>69.285609241915296</v>
      </c>
      <c r="N45" s="34">
        <f>'J) Plafonnement effort'!G44+'J) Plafonnement effort'!H44-'K) Plafonnement aide'!I44</f>
        <v>4.3163546093868135</v>
      </c>
      <c r="O45" s="131">
        <f t="shared" si="3"/>
        <v>73.601963851302116</v>
      </c>
      <c r="P45" s="48">
        <f t="shared" si="4"/>
        <v>0</v>
      </c>
      <c r="Q45" s="58">
        <f t="shared" si="5"/>
        <v>0</v>
      </c>
      <c r="R45" s="152">
        <f t="shared" si="6"/>
        <v>73.601963851302116</v>
      </c>
      <c r="S45" s="131">
        <f t="shared" si="7"/>
        <v>-3.3980361486978836</v>
      </c>
      <c r="T45" s="151">
        <f t="shared" si="8"/>
        <v>0</v>
      </c>
      <c r="V45" s="12"/>
    </row>
    <row r="46" spans="1:22" x14ac:dyDescent="0.25">
      <c r="A46" s="50">
        <f>'A) Base RI'!A47</f>
        <v>5476</v>
      </c>
      <c r="B46" s="392" t="str">
        <f>'A) Base RI'!B47</f>
        <v>Chevilly</v>
      </c>
      <c r="C46" s="2">
        <v>181627.09810638143</v>
      </c>
      <c r="D46" s="430">
        <v>91189.614007700904</v>
      </c>
      <c r="E46" s="2">
        <v>0</v>
      </c>
      <c r="F46" s="430">
        <v>0</v>
      </c>
      <c r="G46" s="2">
        <v>0</v>
      </c>
      <c r="H46" s="395">
        <f t="shared" si="0"/>
        <v>272816.7121140823</v>
      </c>
      <c r="I46" s="157">
        <v>10247.952162162162</v>
      </c>
      <c r="J46" s="398">
        <f>'B) D RI'!U47</f>
        <v>10077.570765765768</v>
      </c>
      <c r="K46" s="66">
        <f t="shared" si="1"/>
        <v>26.621583297528012</v>
      </c>
      <c r="L46" s="34">
        <f>'B) D RI'!S47</f>
        <v>74</v>
      </c>
      <c r="M46" s="34">
        <f t="shared" si="2"/>
        <v>47.378416702471988</v>
      </c>
      <c r="N46" s="34">
        <f>'J) Plafonnement effort'!G45+'J) Plafonnement effort'!H45-'K) Plafonnement aide'!I45</f>
        <v>21.648706453634887</v>
      </c>
      <c r="O46" s="131">
        <f t="shared" si="3"/>
        <v>69.027123156106882</v>
      </c>
      <c r="P46" s="48">
        <f t="shared" si="4"/>
        <v>0</v>
      </c>
      <c r="Q46" s="58">
        <f t="shared" si="5"/>
        <v>0</v>
      </c>
      <c r="R46" s="152">
        <f t="shared" si="6"/>
        <v>69.027123156106882</v>
      </c>
      <c r="S46" s="131">
        <f t="shared" si="7"/>
        <v>-4.9728768438931183</v>
      </c>
      <c r="T46" s="151">
        <f t="shared" si="8"/>
        <v>0</v>
      </c>
      <c r="V46" s="12"/>
    </row>
    <row r="47" spans="1:22" x14ac:dyDescent="0.25">
      <c r="A47" s="50">
        <f>'A) Base RI'!A48</f>
        <v>5477</v>
      </c>
      <c r="B47" s="392" t="str">
        <f>'A) Base RI'!B48</f>
        <v>Cossonay</v>
      </c>
      <c r="C47" s="2">
        <v>2234039.9111241056</v>
      </c>
      <c r="D47" s="430">
        <v>528332.51048697392</v>
      </c>
      <c r="E47" s="2">
        <v>0</v>
      </c>
      <c r="F47" s="430">
        <v>0</v>
      </c>
      <c r="G47" s="2">
        <v>0</v>
      </c>
      <c r="H47" s="395">
        <f t="shared" si="0"/>
        <v>2762372.4216110795</v>
      </c>
      <c r="I47" s="157">
        <v>125937.08528138528</v>
      </c>
      <c r="J47" s="398">
        <f>'B) D RI'!U48</f>
        <v>123540.83633802818</v>
      </c>
      <c r="K47" s="66">
        <f t="shared" si="1"/>
        <v>21.934543073146578</v>
      </c>
      <c r="L47" s="34">
        <f>'B) D RI'!S48</f>
        <v>71</v>
      </c>
      <c r="M47" s="34">
        <f t="shared" si="2"/>
        <v>49.065456926853422</v>
      </c>
      <c r="N47" s="34">
        <f>'J) Plafonnement effort'!G46+'J) Plafonnement effort'!H46-'K) Plafonnement aide'!I46</f>
        <v>18.20328742278064</v>
      </c>
      <c r="O47" s="131">
        <f t="shared" si="3"/>
        <v>67.268744349634062</v>
      </c>
      <c r="P47" s="48">
        <f t="shared" si="4"/>
        <v>0</v>
      </c>
      <c r="Q47" s="58">
        <f t="shared" si="5"/>
        <v>0</v>
      </c>
      <c r="R47" s="152">
        <f t="shared" si="6"/>
        <v>67.268744349634062</v>
      </c>
      <c r="S47" s="131">
        <f t="shared" si="7"/>
        <v>-3.731255650365938</v>
      </c>
      <c r="T47" s="151">
        <f t="shared" si="8"/>
        <v>0</v>
      </c>
      <c r="V47" s="12"/>
    </row>
    <row r="48" spans="1:22" x14ac:dyDescent="0.25">
      <c r="A48" s="50">
        <f>'A) Base RI'!A49</f>
        <v>5478</v>
      </c>
      <c r="B48" s="392" t="str">
        <f>'A) Base RI'!B49</f>
        <v>Cottens</v>
      </c>
      <c r="C48" s="2">
        <v>228766.64378584054</v>
      </c>
      <c r="D48" s="430">
        <v>62400.12273354939</v>
      </c>
      <c r="E48" s="2">
        <v>0</v>
      </c>
      <c r="F48" s="430">
        <v>0</v>
      </c>
      <c r="G48" s="2">
        <v>0</v>
      </c>
      <c r="H48" s="395">
        <f t="shared" si="0"/>
        <v>291166.76651938993</v>
      </c>
      <c r="I48" s="157">
        <v>14465.317702702703</v>
      </c>
      <c r="J48" s="398">
        <f>'B) D RI'!U49</f>
        <v>16872.928378378379</v>
      </c>
      <c r="K48" s="66">
        <f t="shared" si="1"/>
        <v>20.12861193259435</v>
      </c>
      <c r="L48" s="34">
        <f>'B) D RI'!S49</f>
        <v>74</v>
      </c>
      <c r="M48" s="34">
        <f t="shared" si="2"/>
        <v>53.871388067405647</v>
      </c>
      <c r="N48" s="34">
        <f>'J) Plafonnement effort'!G47+'J) Plafonnement effort'!H47-'K) Plafonnement aide'!I47</f>
        <v>26.82127917730427</v>
      </c>
      <c r="O48" s="131">
        <f t="shared" si="3"/>
        <v>80.692667244709924</v>
      </c>
      <c r="P48" s="48">
        <f t="shared" si="4"/>
        <v>0</v>
      </c>
      <c r="Q48" s="58">
        <f t="shared" si="5"/>
        <v>0</v>
      </c>
      <c r="R48" s="152">
        <f t="shared" si="6"/>
        <v>80.692667244709924</v>
      </c>
      <c r="S48" s="131">
        <f t="shared" si="7"/>
        <v>6.6926672447099236</v>
      </c>
      <c r="T48" s="151">
        <f t="shared" si="8"/>
        <v>0</v>
      </c>
      <c r="V48" s="12"/>
    </row>
    <row r="49" spans="1:22" x14ac:dyDescent="0.25">
      <c r="A49" s="50">
        <f>'A) Base RI'!A50</f>
        <v>5479</v>
      </c>
      <c r="B49" s="392" t="str">
        <f>'A) Base RI'!B50</f>
        <v>Cuarnens</v>
      </c>
      <c r="C49" s="2">
        <v>225690.2008939918</v>
      </c>
      <c r="D49" s="430">
        <v>-71873.206183026399</v>
      </c>
      <c r="E49" s="2">
        <v>0</v>
      </c>
      <c r="F49" s="430">
        <v>0</v>
      </c>
      <c r="G49" s="2">
        <v>0</v>
      </c>
      <c r="H49" s="395">
        <f t="shared" si="0"/>
        <v>153816.9947109654</v>
      </c>
      <c r="I49" s="157">
        <v>11562.819350649352</v>
      </c>
      <c r="J49" s="398">
        <f>'B) D RI'!U50</f>
        <v>15098.323116883119</v>
      </c>
      <c r="K49" s="66">
        <f t="shared" si="1"/>
        <v>13.302724019668029</v>
      </c>
      <c r="L49" s="34">
        <f>'B) D RI'!S50</f>
        <v>77</v>
      </c>
      <c r="M49" s="34">
        <f t="shared" si="2"/>
        <v>63.697275980331973</v>
      </c>
      <c r="N49" s="34">
        <f>'J) Plafonnement effort'!G48+'J) Plafonnement effort'!H48-'K) Plafonnement aide'!I48</f>
        <v>16.41812013293314</v>
      </c>
      <c r="O49" s="131">
        <f t="shared" si="3"/>
        <v>80.11539611326512</v>
      </c>
      <c r="P49" s="48">
        <f t="shared" si="4"/>
        <v>0</v>
      </c>
      <c r="Q49" s="58">
        <f t="shared" si="5"/>
        <v>0</v>
      </c>
      <c r="R49" s="152">
        <f t="shared" si="6"/>
        <v>80.11539611326512</v>
      </c>
      <c r="S49" s="131">
        <f t="shared" si="7"/>
        <v>3.1153961132651204</v>
      </c>
      <c r="T49" s="151">
        <f t="shared" si="8"/>
        <v>0</v>
      </c>
      <c r="V49" s="12"/>
    </row>
    <row r="50" spans="1:22" x14ac:dyDescent="0.25">
      <c r="A50" s="50">
        <f>'A) Base RI'!A51</f>
        <v>5480</v>
      </c>
      <c r="B50" s="392" t="str">
        <f>'A) Base RI'!B51</f>
        <v>Daillens</v>
      </c>
      <c r="C50" s="2">
        <v>623422.50651606149</v>
      </c>
      <c r="D50" s="430">
        <v>389012.17611011845</v>
      </c>
      <c r="E50" s="2">
        <v>0</v>
      </c>
      <c r="F50" s="430">
        <v>0</v>
      </c>
      <c r="G50" s="2">
        <v>0</v>
      </c>
      <c r="H50" s="395">
        <f t="shared" si="0"/>
        <v>1012434.6826261799</v>
      </c>
      <c r="I50" s="157">
        <v>34852.093380281687</v>
      </c>
      <c r="J50" s="398">
        <f>'B) D RI'!U51</f>
        <v>41105.758873239436</v>
      </c>
      <c r="K50" s="66">
        <f t="shared" si="1"/>
        <v>29.049465453314387</v>
      </c>
      <c r="L50" s="34">
        <f>'B) D RI'!S51</f>
        <v>71</v>
      </c>
      <c r="M50" s="34">
        <f t="shared" si="2"/>
        <v>41.950534546685617</v>
      </c>
      <c r="N50" s="34">
        <f>'J) Plafonnement effort'!G49+'J) Plafonnement effort'!H49-'K) Plafonnement aide'!I49</f>
        <v>29.477854170813657</v>
      </c>
      <c r="O50" s="131">
        <f t="shared" si="3"/>
        <v>71.428388717499274</v>
      </c>
      <c r="P50" s="48">
        <f t="shared" si="4"/>
        <v>0</v>
      </c>
      <c r="Q50" s="58">
        <f t="shared" si="5"/>
        <v>0</v>
      </c>
      <c r="R50" s="152">
        <f t="shared" si="6"/>
        <v>71.428388717499274</v>
      </c>
      <c r="S50" s="131">
        <f t="shared" si="7"/>
        <v>0.42838871749927421</v>
      </c>
      <c r="T50" s="151">
        <f t="shared" si="8"/>
        <v>0</v>
      </c>
      <c r="V50" s="12"/>
    </row>
    <row r="51" spans="1:22" x14ac:dyDescent="0.25">
      <c r="A51" s="50">
        <f>'A) Base RI'!A52</f>
        <v>5481</v>
      </c>
      <c r="B51" s="392" t="str">
        <f>'A) Base RI'!B52</f>
        <v>Dizy</v>
      </c>
      <c r="C51" s="2">
        <v>146401.35845656387</v>
      </c>
      <c r="D51" s="430">
        <v>116657.79037000037</v>
      </c>
      <c r="E51" s="2">
        <v>0</v>
      </c>
      <c r="F51" s="430">
        <v>0</v>
      </c>
      <c r="G51" s="2">
        <v>0</v>
      </c>
      <c r="H51" s="395">
        <f t="shared" si="0"/>
        <v>263059.14882656425</v>
      </c>
      <c r="I51" s="157">
        <v>8900.2526582278479</v>
      </c>
      <c r="J51" s="398">
        <f>'B) D RI'!U52</f>
        <v>8417.6035443037963</v>
      </c>
      <c r="K51" s="66">
        <f t="shared" si="1"/>
        <v>29.556368670430828</v>
      </c>
      <c r="L51" s="34">
        <f>'B) D RI'!S52</f>
        <v>79</v>
      </c>
      <c r="M51" s="34">
        <f t="shared" si="2"/>
        <v>49.443631329569172</v>
      </c>
      <c r="N51" s="34">
        <f>'J) Plafonnement effort'!G50+'J) Plafonnement effort'!H50-'K) Plafonnement aide'!I50</f>
        <v>26.877953663853589</v>
      </c>
      <c r="O51" s="131">
        <f t="shared" si="3"/>
        <v>76.321584993422761</v>
      </c>
      <c r="P51" s="48">
        <f t="shared" si="4"/>
        <v>0</v>
      </c>
      <c r="Q51" s="58">
        <f t="shared" si="5"/>
        <v>0</v>
      </c>
      <c r="R51" s="152">
        <f t="shared" si="6"/>
        <v>76.321584993422761</v>
      </c>
      <c r="S51" s="131">
        <f t="shared" si="7"/>
        <v>-2.6784150065772394</v>
      </c>
      <c r="T51" s="151">
        <f t="shared" si="8"/>
        <v>0</v>
      </c>
      <c r="V51" s="12"/>
    </row>
    <row r="52" spans="1:22" x14ac:dyDescent="0.25">
      <c r="A52" s="50">
        <f>'A) Base RI'!A53</f>
        <v>5482</v>
      </c>
      <c r="B52" s="392" t="str">
        <f>'A) Base RI'!B53</f>
        <v>Eclépens</v>
      </c>
      <c r="C52" s="2">
        <v>598138.38767662155</v>
      </c>
      <c r="D52" s="430">
        <v>217736.37012479012</v>
      </c>
      <c r="E52" s="2">
        <v>0</v>
      </c>
      <c r="F52" s="430">
        <v>0</v>
      </c>
      <c r="G52" s="2">
        <v>0</v>
      </c>
      <c r="H52" s="395">
        <f t="shared" si="0"/>
        <v>815874.75780141167</v>
      </c>
      <c r="I52" s="157">
        <v>26792.007391304349</v>
      </c>
      <c r="J52" s="398">
        <f>'B) D RI'!U53</f>
        <v>48921.463913043473</v>
      </c>
      <c r="K52" s="66">
        <f t="shared" si="1"/>
        <v>30.452169779044368</v>
      </c>
      <c r="L52" s="34">
        <f>'B) D RI'!S53</f>
        <v>46</v>
      </c>
      <c r="M52" s="34">
        <f t="shared" si="2"/>
        <v>15.547830220955632</v>
      </c>
      <c r="N52" s="34">
        <f>'J) Plafonnement effort'!G51+'J) Plafonnement effort'!H51-'K) Plafonnement aide'!I51</f>
        <v>35.979082082481185</v>
      </c>
      <c r="O52" s="131">
        <f t="shared" si="3"/>
        <v>51.526912303436816</v>
      </c>
      <c r="P52" s="48">
        <f t="shared" si="4"/>
        <v>0</v>
      </c>
      <c r="Q52" s="58">
        <f t="shared" si="5"/>
        <v>0</v>
      </c>
      <c r="R52" s="152">
        <f t="shared" si="6"/>
        <v>51.526912303436816</v>
      </c>
      <c r="S52" s="131">
        <f t="shared" si="7"/>
        <v>5.5269123034368164</v>
      </c>
      <c r="T52" s="151">
        <f t="shared" si="8"/>
        <v>0</v>
      </c>
      <c r="V52" s="12"/>
    </row>
    <row r="53" spans="1:22" x14ac:dyDescent="0.25">
      <c r="A53" s="50">
        <f>'A) Base RI'!A54</f>
        <v>5483</v>
      </c>
      <c r="B53" s="392" t="str">
        <f>'A) Base RI'!B54</f>
        <v>Ferreyres</v>
      </c>
      <c r="C53" s="2">
        <v>152622.07403882308</v>
      </c>
      <c r="D53" s="430">
        <v>47987.961172169104</v>
      </c>
      <c r="E53" s="2">
        <v>0</v>
      </c>
      <c r="F53" s="430">
        <v>0</v>
      </c>
      <c r="G53" s="2">
        <v>0</v>
      </c>
      <c r="H53" s="395">
        <f t="shared" si="0"/>
        <v>200610.03521099218</v>
      </c>
      <c r="I53" s="157">
        <v>9773.8555263157887</v>
      </c>
      <c r="J53" s="398">
        <f>'B) D RI'!U54</f>
        <v>12338.918289473684</v>
      </c>
      <c r="K53" s="66">
        <f t="shared" si="1"/>
        <v>20.525168872289566</v>
      </c>
      <c r="L53" s="34">
        <f>'B) D RI'!S54</f>
        <v>76</v>
      </c>
      <c r="M53" s="34">
        <f t="shared" si="2"/>
        <v>55.474831127710431</v>
      </c>
      <c r="N53" s="34">
        <f>'J) Plafonnement effort'!G52+'J) Plafonnement effort'!H52-'K) Plafonnement aide'!I52</f>
        <v>28.918113697539738</v>
      </c>
      <c r="O53" s="131">
        <f t="shared" si="3"/>
        <v>84.392944825250169</v>
      </c>
      <c r="P53" s="48">
        <f t="shared" si="4"/>
        <v>0</v>
      </c>
      <c r="Q53" s="58">
        <f t="shared" si="5"/>
        <v>0</v>
      </c>
      <c r="R53" s="152">
        <f t="shared" si="6"/>
        <v>84.392944825250169</v>
      </c>
      <c r="S53" s="131">
        <f t="shared" si="7"/>
        <v>8.3929448252501686</v>
      </c>
      <c r="T53" s="151">
        <f t="shared" si="8"/>
        <v>0</v>
      </c>
      <c r="V53" s="12"/>
    </row>
    <row r="54" spans="1:22" x14ac:dyDescent="0.25">
      <c r="A54" s="50">
        <f>'A) Base RI'!A55</f>
        <v>5484</v>
      </c>
      <c r="B54" s="392" t="str">
        <f>'A) Base RI'!B55</f>
        <v>Gollion</v>
      </c>
      <c r="C54" s="2">
        <v>549756.07639007224</v>
      </c>
      <c r="D54" s="430">
        <v>199842.79413893633</v>
      </c>
      <c r="E54" s="2">
        <v>0</v>
      </c>
      <c r="F54" s="430">
        <v>0</v>
      </c>
      <c r="G54" s="2">
        <v>0</v>
      </c>
      <c r="H54" s="395">
        <f t="shared" si="0"/>
        <v>749598.87052900856</v>
      </c>
      <c r="I54" s="157">
        <v>29063.721351351356</v>
      </c>
      <c r="J54" s="398">
        <f>'B) D RI'!U55</f>
        <v>33965.841756756759</v>
      </c>
      <c r="K54" s="66">
        <f t="shared" si="1"/>
        <v>25.791565418175708</v>
      </c>
      <c r="L54" s="34">
        <f>'B) D RI'!S55</f>
        <v>74</v>
      </c>
      <c r="M54" s="34">
        <f t="shared" si="2"/>
        <v>48.208434581824292</v>
      </c>
      <c r="N54" s="34">
        <f>'J) Plafonnement effort'!G53+'J) Plafonnement effort'!H53-'K) Plafonnement aide'!I53</f>
        <v>28.692552585989315</v>
      </c>
      <c r="O54" s="131">
        <f t="shared" si="3"/>
        <v>76.900987167813611</v>
      </c>
      <c r="P54" s="48">
        <f t="shared" si="4"/>
        <v>0</v>
      </c>
      <c r="Q54" s="58">
        <f t="shared" si="5"/>
        <v>0</v>
      </c>
      <c r="R54" s="152">
        <f t="shared" si="6"/>
        <v>76.900987167813611</v>
      </c>
      <c r="S54" s="131">
        <f t="shared" si="7"/>
        <v>2.9009871678136108</v>
      </c>
      <c r="T54" s="151">
        <f t="shared" si="8"/>
        <v>0</v>
      </c>
      <c r="V54" s="12"/>
    </row>
    <row r="55" spans="1:22" x14ac:dyDescent="0.25">
      <c r="A55" s="50">
        <f>'A) Base RI'!A56</f>
        <v>5485</v>
      </c>
      <c r="B55" s="392" t="str">
        <f>'A) Base RI'!B56</f>
        <v>Grancy</v>
      </c>
      <c r="C55" s="2">
        <v>259994.23226107363</v>
      </c>
      <c r="D55" s="430">
        <v>176577.6844924438</v>
      </c>
      <c r="E55" s="2">
        <v>0</v>
      </c>
      <c r="F55" s="430">
        <v>0</v>
      </c>
      <c r="G55" s="2">
        <v>0</v>
      </c>
      <c r="H55" s="395">
        <f t="shared" si="0"/>
        <v>436571.91675351746</v>
      </c>
      <c r="I55" s="157">
        <v>15073.947999999999</v>
      </c>
      <c r="J55" s="398">
        <f>'B) D RI'!U56</f>
        <v>17740.37528571429</v>
      </c>
      <c r="K55" s="66">
        <f t="shared" si="1"/>
        <v>28.962015575051574</v>
      </c>
      <c r="L55" s="34">
        <f>'B) D RI'!S56</f>
        <v>70</v>
      </c>
      <c r="M55" s="34">
        <f t="shared" si="2"/>
        <v>41.037984424948426</v>
      </c>
      <c r="N55" s="34">
        <f>'J) Plafonnement effort'!G54+'J) Plafonnement effort'!H54-'K) Plafonnement aide'!I54</f>
        <v>32.960657811455981</v>
      </c>
      <c r="O55" s="131">
        <f t="shared" si="3"/>
        <v>73.998642236404407</v>
      </c>
      <c r="P55" s="48">
        <f t="shared" si="4"/>
        <v>0</v>
      </c>
      <c r="Q55" s="58">
        <f t="shared" si="5"/>
        <v>0</v>
      </c>
      <c r="R55" s="152">
        <f t="shared" si="6"/>
        <v>73.998642236404407</v>
      </c>
      <c r="S55" s="131">
        <f t="shared" si="7"/>
        <v>3.9986422364044074</v>
      </c>
      <c r="T55" s="151">
        <f t="shared" si="8"/>
        <v>0</v>
      </c>
      <c r="V55" s="12"/>
    </row>
    <row r="56" spans="1:22" x14ac:dyDescent="0.25">
      <c r="A56" s="50">
        <f>'A) Base RI'!A57</f>
        <v>5486</v>
      </c>
      <c r="B56" s="392" t="str">
        <f>'A) Base RI'!B57</f>
        <v>L'Isle</v>
      </c>
      <c r="C56" s="2">
        <v>569044.77046730672</v>
      </c>
      <c r="D56" s="430">
        <v>60205.024075456429</v>
      </c>
      <c r="E56" s="2">
        <v>0</v>
      </c>
      <c r="F56" s="430">
        <v>0</v>
      </c>
      <c r="G56" s="2">
        <v>0</v>
      </c>
      <c r="H56" s="395">
        <f t="shared" si="0"/>
        <v>629249.79454276315</v>
      </c>
      <c r="I56" s="157">
        <v>29834.586052631581</v>
      </c>
      <c r="J56" s="398">
        <f>'B) D RI'!U57</f>
        <v>25696.695921052633</v>
      </c>
      <c r="K56" s="66">
        <f t="shared" si="1"/>
        <v>21.091286248540381</v>
      </c>
      <c r="L56" s="34">
        <f>'B) D RI'!S57</f>
        <v>76</v>
      </c>
      <c r="M56" s="34">
        <f t="shared" si="2"/>
        <v>54.908713751459615</v>
      </c>
      <c r="N56" s="34">
        <f>'J) Plafonnement effort'!G55+'J) Plafonnement effort'!H55-'K) Plafonnement aide'!I55</f>
        <v>4.4972034673603734</v>
      </c>
      <c r="O56" s="131">
        <f t="shared" si="3"/>
        <v>59.405917218819987</v>
      </c>
      <c r="P56" s="48">
        <f t="shared" si="4"/>
        <v>0</v>
      </c>
      <c r="Q56" s="58">
        <f t="shared" si="5"/>
        <v>0</v>
      </c>
      <c r="R56" s="152">
        <f t="shared" si="6"/>
        <v>59.405917218819987</v>
      </c>
      <c r="S56" s="131">
        <f t="shared" si="7"/>
        <v>-16.594082781180013</v>
      </c>
      <c r="T56" s="151">
        <f t="shared" si="8"/>
        <v>0</v>
      </c>
      <c r="V56" s="12"/>
    </row>
    <row r="57" spans="1:22" x14ac:dyDescent="0.25">
      <c r="A57" s="50">
        <f>'A) Base RI'!A58</f>
        <v>5487</v>
      </c>
      <c r="B57" s="392" t="str">
        <f>'A) Base RI'!B58</f>
        <v>Lussery-Villars</v>
      </c>
      <c r="C57" s="2">
        <v>218911.59243544188</v>
      </c>
      <c r="D57" s="430">
        <v>58004.023213684472</v>
      </c>
      <c r="E57" s="2">
        <v>0</v>
      </c>
      <c r="F57" s="430">
        <v>0</v>
      </c>
      <c r="G57" s="2">
        <v>0</v>
      </c>
      <c r="H57" s="395">
        <f t="shared" si="0"/>
        <v>276915.61564912635</v>
      </c>
      <c r="I57" s="157">
        <v>13143.798970588234</v>
      </c>
      <c r="J57" s="398">
        <f>'B) D RI'!U58</f>
        <v>14347.116805555555</v>
      </c>
      <c r="K57" s="66">
        <f t="shared" si="1"/>
        <v>21.06815664700731</v>
      </c>
      <c r="L57" s="34">
        <f>'B) D RI'!S58</f>
        <v>72</v>
      </c>
      <c r="M57" s="34">
        <f t="shared" si="2"/>
        <v>50.931843352992686</v>
      </c>
      <c r="N57" s="34">
        <f>'J) Plafonnement effort'!G56+'J) Plafonnement effort'!H56-'K) Plafonnement aide'!I56</f>
        <v>24.885430919828714</v>
      </c>
      <c r="O57" s="131">
        <f t="shared" si="3"/>
        <v>75.817274272821408</v>
      </c>
      <c r="P57" s="48">
        <f t="shared" si="4"/>
        <v>0</v>
      </c>
      <c r="Q57" s="58">
        <f t="shared" si="5"/>
        <v>0</v>
      </c>
      <c r="R57" s="152">
        <f t="shared" si="6"/>
        <v>75.817274272821408</v>
      </c>
      <c r="S57" s="131">
        <f t="shared" si="7"/>
        <v>3.8172742728214075</v>
      </c>
      <c r="T57" s="151">
        <f t="shared" si="8"/>
        <v>0</v>
      </c>
      <c r="V57" s="12"/>
    </row>
    <row r="58" spans="1:22" x14ac:dyDescent="0.25">
      <c r="A58" s="50">
        <f>'A) Base RI'!A59</f>
        <v>5488</v>
      </c>
      <c r="B58" s="392" t="str">
        <f>'A) Base RI'!B59</f>
        <v>Mauraz</v>
      </c>
      <c r="C58" s="2">
        <v>24261.751772291955</v>
      </c>
      <c r="D58" s="430">
        <v>7562.7527601495312</v>
      </c>
      <c r="E58" s="2">
        <v>0</v>
      </c>
      <c r="F58" s="430">
        <v>0</v>
      </c>
      <c r="G58" s="2">
        <v>0</v>
      </c>
      <c r="H58" s="395">
        <f t="shared" si="0"/>
        <v>31824.504532441486</v>
      </c>
      <c r="I58" s="157">
        <v>1604.8968918918922</v>
      </c>
      <c r="J58" s="398">
        <f>'B) D RI'!U59</f>
        <v>1636.236081081081</v>
      </c>
      <c r="K58" s="66">
        <f t="shared" si="1"/>
        <v>19.829625624687935</v>
      </c>
      <c r="L58" s="34">
        <f>'B) D RI'!S59</f>
        <v>74</v>
      </c>
      <c r="M58" s="34">
        <f t="shared" si="2"/>
        <v>54.170374375312065</v>
      </c>
      <c r="N58" s="34">
        <f>'J) Plafonnement effort'!G57+'J) Plafonnement effort'!H57-'K) Plafonnement aide'!I57</f>
        <v>15.723794516342828</v>
      </c>
      <c r="O58" s="131">
        <f t="shared" si="3"/>
        <v>69.894168891654886</v>
      </c>
      <c r="P58" s="48">
        <f t="shared" si="4"/>
        <v>0</v>
      </c>
      <c r="Q58" s="58">
        <f t="shared" si="5"/>
        <v>0</v>
      </c>
      <c r="R58" s="152">
        <f t="shared" si="6"/>
        <v>69.894168891654886</v>
      </c>
      <c r="S58" s="131">
        <f t="shared" si="7"/>
        <v>-4.1058311083451144</v>
      </c>
      <c r="T58" s="151">
        <f t="shared" si="8"/>
        <v>0</v>
      </c>
      <c r="V58" s="12"/>
    </row>
    <row r="59" spans="1:22" x14ac:dyDescent="0.25">
      <c r="A59" s="50">
        <f>'A) Base RI'!A60</f>
        <v>5489</v>
      </c>
      <c r="B59" s="392" t="str">
        <f>'A) Base RI'!B60</f>
        <v>Mex</v>
      </c>
      <c r="C59" s="2">
        <v>971926.06684096903</v>
      </c>
      <c r="D59" s="430">
        <v>787695.78684305109</v>
      </c>
      <c r="E59" s="2">
        <v>0</v>
      </c>
      <c r="F59" s="430">
        <v>0</v>
      </c>
      <c r="G59" s="2">
        <v>0</v>
      </c>
      <c r="H59" s="395">
        <f t="shared" si="0"/>
        <v>1759621.8536840202</v>
      </c>
      <c r="I59" s="157">
        <v>46901.97049180328</v>
      </c>
      <c r="J59" s="398">
        <f>'B) D RI'!U60</f>
        <v>52928.292459016397</v>
      </c>
      <c r="K59" s="66">
        <f t="shared" si="1"/>
        <v>37.517013362829537</v>
      </c>
      <c r="L59" s="34">
        <f>'B) D RI'!S60</f>
        <v>61</v>
      </c>
      <c r="M59" s="34">
        <f t="shared" si="2"/>
        <v>23.482986637170463</v>
      </c>
      <c r="N59" s="34">
        <f>'J) Plafonnement effort'!G58+'J) Plafonnement effort'!H58-'K) Plafonnement aide'!I58</f>
        <v>43.889155386905756</v>
      </c>
      <c r="O59" s="131">
        <f t="shared" si="3"/>
        <v>67.372142024076226</v>
      </c>
      <c r="P59" s="48">
        <f t="shared" si="4"/>
        <v>0</v>
      </c>
      <c r="Q59" s="58">
        <f t="shared" si="5"/>
        <v>0</v>
      </c>
      <c r="R59" s="152">
        <f t="shared" si="6"/>
        <v>67.372142024076226</v>
      </c>
      <c r="S59" s="131">
        <f t="shared" si="7"/>
        <v>6.3721420240762257</v>
      </c>
      <c r="T59" s="151">
        <f t="shared" si="8"/>
        <v>0</v>
      </c>
      <c r="V59" s="12"/>
    </row>
    <row r="60" spans="1:22" x14ac:dyDescent="0.25">
      <c r="A60" s="50">
        <f>'A) Base RI'!A61</f>
        <v>5490</v>
      </c>
      <c r="B60" s="392" t="str">
        <f>'A) Base RI'!B61</f>
        <v>Moiry</v>
      </c>
      <c r="C60" s="2">
        <v>129193.32061451112</v>
      </c>
      <c r="D60" s="430">
        <v>-55515.024552078772</v>
      </c>
      <c r="E60" s="2">
        <v>0</v>
      </c>
      <c r="F60" s="430">
        <v>0</v>
      </c>
      <c r="G60" s="2">
        <v>0</v>
      </c>
      <c r="H60" s="395">
        <f t="shared" si="0"/>
        <v>73678.296062432346</v>
      </c>
      <c r="I60" s="157">
        <v>7445.9272839506175</v>
      </c>
      <c r="J60" s="398">
        <f>'B) D RI'!U61</f>
        <v>8175.9358024691346</v>
      </c>
      <c r="K60" s="66">
        <f t="shared" si="1"/>
        <v>9.8951135637924921</v>
      </c>
      <c r="L60" s="34">
        <f>'B) D RI'!S61</f>
        <v>81</v>
      </c>
      <c r="M60" s="34">
        <f t="shared" si="2"/>
        <v>71.104886436207508</v>
      </c>
      <c r="N60" s="34">
        <f>'J) Plafonnement effort'!G59+'J) Plafonnement effort'!H59-'K) Plafonnement aide'!I59</f>
        <v>6.8086227054987871</v>
      </c>
      <c r="O60" s="131">
        <f t="shared" si="3"/>
        <v>77.913509141706299</v>
      </c>
      <c r="P60" s="48">
        <f t="shared" si="4"/>
        <v>0</v>
      </c>
      <c r="Q60" s="58">
        <f t="shared" si="5"/>
        <v>0</v>
      </c>
      <c r="R60" s="152">
        <f t="shared" si="6"/>
        <v>77.913509141706299</v>
      </c>
      <c r="S60" s="131">
        <f t="shared" si="7"/>
        <v>-3.0864908582937005</v>
      </c>
      <c r="T60" s="151">
        <f t="shared" si="8"/>
        <v>0</v>
      </c>
      <c r="V60" s="12"/>
    </row>
    <row r="61" spans="1:22" x14ac:dyDescent="0.25">
      <c r="A61" s="50">
        <f>'A) Base RI'!A62</f>
        <v>5491</v>
      </c>
      <c r="B61" s="392" t="str">
        <f>'A) Base RI'!B62</f>
        <v>Mont-la-Ville</v>
      </c>
      <c r="C61" s="2">
        <v>190506.0100475084</v>
      </c>
      <c r="D61" s="430">
        <v>-92812.154114929872</v>
      </c>
      <c r="E61" s="2">
        <v>0</v>
      </c>
      <c r="F61" s="430">
        <v>0</v>
      </c>
      <c r="G61" s="2">
        <v>0</v>
      </c>
      <c r="H61" s="395">
        <f t="shared" si="0"/>
        <v>97693.855932578532</v>
      </c>
      <c r="I61" s="157">
        <v>8756.4323684210522</v>
      </c>
      <c r="J61" s="398">
        <f>'B) D RI'!U62</f>
        <v>10544.805394736843</v>
      </c>
      <c r="K61" s="66">
        <f t="shared" si="1"/>
        <v>11.156810424859657</v>
      </c>
      <c r="L61" s="34">
        <f>'B) D RI'!S62</f>
        <v>76</v>
      </c>
      <c r="M61" s="34">
        <f t="shared" ref="M61:M114" si="9">L61-K61</f>
        <v>64.843189575140343</v>
      </c>
      <c r="N61" s="34">
        <f>'J) Plafonnement effort'!G60+'J) Plafonnement effort'!H60-'K) Plafonnement aide'!I60</f>
        <v>5.967803181410412</v>
      </c>
      <c r="O61" s="131">
        <f t="shared" ref="O61:O114" si="10">M61+N61</f>
        <v>70.81099275655076</v>
      </c>
      <c r="P61" s="48">
        <f t="shared" ref="P61:P114" si="11">IF(O61&gt;$P$5,$P$5-O61,0)</f>
        <v>0</v>
      </c>
      <c r="Q61" s="58">
        <f t="shared" si="5"/>
        <v>0</v>
      </c>
      <c r="R61" s="152">
        <f t="shared" ref="R61:R114" si="12">O61+P61</f>
        <v>70.81099275655076</v>
      </c>
      <c r="S61" s="131">
        <f t="shared" ref="S61:S114" si="13">R61-L61</f>
        <v>-5.1890072434492396</v>
      </c>
      <c r="T61" s="151">
        <f t="shared" si="8"/>
        <v>0</v>
      </c>
      <c r="V61" s="12"/>
    </row>
    <row r="62" spans="1:22" x14ac:dyDescent="0.25">
      <c r="A62" s="50">
        <f>'A) Base RI'!A63</f>
        <v>5492</v>
      </c>
      <c r="B62" s="392" t="str">
        <f>'A) Base RI'!B63</f>
        <v>Montricher</v>
      </c>
      <c r="C62" s="2">
        <v>7926858.4090533834</v>
      </c>
      <c r="D62" s="430">
        <v>2900454.6909575979</v>
      </c>
      <c r="E62" s="2">
        <v>0</v>
      </c>
      <c r="F62" s="430">
        <v>0</v>
      </c>
      <c r="G62" s="2">
        <v>0</v>
      </c>
      <c r="H62" s="395">
        <f t="shared" si="0"/>
        <v>10827313.100010982</v>
      </c>
      <c r="I62" s="157">
        <v>201844.58625000002</v>
      </c>
      <c r="J62" s="398">
        <f>'B) D RI'!U63</f>
        <v>222873.70244791667</v>
      </c>
      <c r="K62" s="66">
        <f t="shared" ref="K62:K116" si="14">H62/I62</f>
        <v>53.641830584450368</v>
      </c>
      <c r="L62" s="34">
        <f>'B) D RI'!S63</f>
        <v>64</v>
      </c>
      <c r="M62" s="34">
        <f t="shared" si="9"/>
        <v>10.358169415549632</v>
      </c>
      <c r="N62" s="34">
        <f>'J) Plafonnement effort'!G61+'J) Plafonnement effort'!H61-'K) Plafonnement aide'!I61</f>
        <v>45</v>
      </c>
      <c r="O62" s="131">
        <f t="shared" si="10"/>
        <v>55.358169415549632</v>
      </c>
      <c r="P62" s="48">
        <f t="shared" si="11"/>
        <v>0</v>
      </c>
      <c r="Q62" s="58">
        <f t="shared" si="5"/>
        <v>0</v>
      </c>
      <c r="R62" s="152">
        <f t="shared" si="12"/>
        <v>55.358169415549632</v>
      </c>
      <c r="S62" s="131">
        <f t="shared" si="13"/>
        <v>-8.6418305844503678</v>
      </c>
      <c r="T62" s="151">
        <f t="shared" si="8"/>
        <v>0</v>
      </c>
      <c r="V62" s="12"/>
    </row>
    <row r="63" spans="1:22" x14ac:dyDescent="0.25">
      <c r="A63" s="50">
        <f>'A) Base RI'!A64</f>
        <v>5493</v>
      </c>
      <c r="B63" s="392" t="str">
        <f>'A) Base RI'!B64</f>
        <v>Orny</v>
      </c>
      <c r="C63" s="2">
        <v>264996.16247949679</v>
      </c>
      <c r="D63" s="430">
        <v>-30121.414429759723</v>
      </c>
      <c r="E63" s="2">
        <v>0</v>
      </c>
      <c r="F63" s="430">
        <v>0</v>
      </c>
      <c r="G63" s="2">
        <v>0</v>
      </c>
      <c r="H63" s="395">
        <f t="shared" si="0"/>
        <v>234874.74804973707</v>
      </c>
      <c r="I63" s="157">
        <v>9079.112581664911</v>
      </c>
      <c r="J63" s="398">
        <f>'B) D RI'!U64</f>
        <v>9896.3592518440455</v>
      </c>
      <c r="K63" s="66">
        <f t="shared" si="14"/>
        <v>25.869791341068069</v>
      </c>
      <c r="L63" s="34">
        <f>'B) D RI'!S64</f>
        <v>73</v>
      </c>
      <c r="M63" s="34">
        <f t="shared" si="9"/>
        <v>47.130208658931934</v>
      </c>
      <c r="N63" s="34">
        <f>'J) Plafonnement effort'!G62+'J) Plafonnement effort'!H62-'K) Plafonnement aide'!I62</f>
        <v>-9.54561058515635</v>
      </c>
      <c r="O63" s="131">
        <f t="shared" si="10"/>
        <v>37.584598073775581</v>
      </c>
      <c r="P63" s="48">
        <f t="shared" si="11"/>
        <v>0</v>
      </c>
      <c r="Q63" s="58">
        <f t="shared" ref="Q63:Q117" si="15">P63*J63</f>
        <v>0</v>
      </c>
      <c r="R63" s="152">
        <f t="shared" si="12"/>
        <v>37.584598073775581</v>
      </c>
      <c r="S63" s="131">
        <f t="shared" si="13"/>
        <v>-35.415401926224419</v>
      </c>
      <c r="T63" s="151">
        <f t="shared" si="8"/>
        <v>0</v>
      </c>
      <c r="V63" s="12"/>
    </row>
    <row r="64" spans="1:22" x14ac:dyDescent="0.25">
      <c r="A64" s="50">
        <f>'A) Base RI'!A65</f>
        <v>5494</v>
      </c>
      <c r="B64" s="392" t="str">
        <f>'A) Base RI'!B65</f>
        <v>Pampigny</v>
      </c>
      <c r="C64" s="2">
        <v>670911.58448577684</v>
      </c>
      <c r="D64" s="430">
        <v>244577.98587668774</v>
      </c>
      <c r="E64" s="2">
        <v>0</v>
      </c>
      <c r="F64" s="430">
        <v>0</v>
      </c>
      <c r="G64" s="2">
        <v>0</v>
      </c>
      <c r="H64" s="395">
        <f t="shared" si="0"/>
        <v>915489.57036246452</v>
      </c>
      <c r="I64" s="157">
        <v>36797.992425396827</v>
      </c>
      <c r="J64" s="398">
        <f>'B) D RI'!U65</f>
        <v>36998.378139682543</v>
      </c>
      <c r="K64" s="66">
        <f t="shared" si="14"/>
        <v>24.878791206300214</v>
      </c>
      <c r="L64" s="34">
        <f>'B) D RI'!S65</f>
        <v>75</v>
      </c>
      <c r="M64" s="34">
        <f t="shared" si="9"/>
        <v>50.121208793699786</v>
      </c>
      <c r="N64" s="34">
        <f>'J) Plafonnement effort'!G63+'J) Plafonnement effort'!H63-'K) Plafonnement aide'!I63</f>
        <v>17.569241988635262</v>
      </c>
      <c r="O64" s="131">
        <f t="shared" si="10"/>
        <v>67.690450782335049</v>
      </c>
      <c r="P64" s="48">
        <f t="shared" si="11"/>
        <v>0</v>
      </c>
      <c r="Q64" s="58">
        <f t="shared" si="15"/>
        <v>0</v>
      </c>
      <c r="R64" s="152">
        <f t="shared" si="12"/>
        <v>67.690450782335049</v>
      </c>
      <c r="S64" s="131">
        <f t="shared" si="13"/>
        <v>-7.3095492176649515</v>
      </c>
      <c r="T64" s="151">
        <f t="shared" si="8"/>
        <v>0</v>
      </c>
      <c r="V64" s="12"/>
    </row>
    <row r="65" spans="1:22" x14ac:dyDescent="0.25">
      <c r="A65" s="50">
        <f>'A) Base RI'!A66</f>
        <v>5495</v>
      </c>
      <c r="B65" s="392" t="str">
        <f>'A) Base RI'!B66</f>
        <v>Penthalaz</v>
      </c>
      <c r="C65" s="2">
        <v>1669096.2281530984</v>
      </c>
      <c r="D65" s="430">
        <v>-89201.177916786401</v>
      </c>
      <c r="E65" s="2">
        <v>0</v>
      </c>
      <c r="F65" s="430">
        <v>0</v>
      </c>
      <c r="G65" s="2">
        <v>0</v>
      </c>
      <c r="H65" s="395">
        <f t="shared" si="0"/>
        <v>1579895.050236312</v>
      </c>
      <c r="I65" s="157">
        <v>99436.02810810809</v>
      </c>
      <c r="J65" s="398">
        <f>'B) D RI'!U66</f>
        <v>92865.132567567576</v>
      </c>
      <c r="K65" s="66">
        <f t="shared" si="14"/>
        <v>15.888557500694118</v>
      </c>
      <c r="L65" s="34">
        <f>'B) D RI'!S66</f>
        <v>74</v>
      </c>
      <c r="M65" s="34">
        <f t="shared" si="9"/>
        <v>58.11144249930588</v>
      </c>
      <c r="N65" s="34">
        <f>'J) Plafonnement effort'!G64+'J) Plafonnement effort'!H64-'K) Plafonnement aide'!I64</f>
        <v>11.27497189824752</v>
      </c>
      <c r="O65" s="131">
        <f t="shared" si="10"/>
        <v>69.386414397553395</v>
      </c>
      <c r="P65" s="48">
        <f t="shared" si="11"/>
        <v>0</v>
      </c>
      <c r="Q65" s="58">
        <f t="shared" si="15"/>
        <v>0</v>
      </c>
      <c r="R65" s="152">
        <f t="shared" si="12"/>
        <v>69.386414397553395</v>
      </c>
      <c r="S65" s="131">
        <f t="shared" si="13"/>
        <v>-4.6135856024466051</v>
      </c>
      <c r="T65" s="151">
        <f t="shared" si="8"/>
        <v>0</v>
      </c>
      <c r="V65" s="12"/>
    </row>
    <row r="66" spans="1:22" x14ac:dyDescent="0.25">
      <c r="A66" s="50">
        <f>'A) Base RI'!A67</f>
        <v>5496</v>
      </c>
      <c r="B66" s="392" t="str">
        <f>'A) Base RI'!B67</f>
        <v>Penthaz</v>
      </c>
      <c r="C66" s="2">
        <v>880075.08237704483</v>
      </c>
      <c r="D66" s="430">
        <v>166151.73419324961</v>
      </c>
      <c r="E66" s="2">
        <v>0</v>
      </c>
      <c r="F66" s="430">
        <v>0</v>
      </c>
      <c r="G66" s="2">
        <v>0</v>
      </c>
      <c r="H66" s="395">
        <f t="shared" si="0"/>
        <v>1046226.8165702944</v>
      </c>
      <c r="I66" s="157">
        <v>52905.64732394366</v>
      </c>
      <c r="J66" s="398">
        <f>'B) D RI'!U67</f>
        <v>54824.850845070439</v>
      </c>
      <c r="K66" s="66">
        <f t="shared" si="14"/>
        <v>19.775333437736819</v>
      </c>
      <c r="L66" s="34">
        <f>'B) D RI'!S67</f>
        <v>71</v>
      </c>
      <c r="M66" s="34">
        <f t="shared" si="9"/>
        <v>51.224666562263181</v>
      </c>
      <c r="N66" s="34">
        <f>'J) Plafonnement effort'!G65+'J) Plafonnement effort'!H65-'K) Plafonnement aide'!I65</f>
        <v>18.636818372767742</v>
      </c>
      <c r="O66" s="131">
        <f t="shared" si="10"/>
        <v>69.861484935030916</v>
      </c>
      <c r="P66" s="48">
        <f t="shared" si="11"/>
        <v>0</v>
      </c>
      <c r="Q66" s="58">
        <f t="shared" si="15"/>
        <v>0</v>
      </c>
      <c r="R66" s="152">
        <f t="shared" si="12"/>
        <v>69.861484935030916</v>
      </c>
      <c r="S66" s="131">
        <f t="shared" si="13"/>
        <v>-1.1385150649690843</v>
      </c>
      <c r="T66" s="151">
        <f t="shared" si="8"/>
        <v>0</v>
      </c>
      <c r="V66" s="12"/>
    </row>
    <row r="67" spans="1:22" x14ac:dyDescent="0.25">
      <c r="A67" s="50">
        <f>'A) Base RI'!A68</f>
        <v>5497</v>
      </c>
      <c r="B67" s="392" t="str">
        <f>'A) Base RI'!B68</f>
        <v>Pompaples</v>
      </c>
      <c r="C67" s="2">
        <v>506895.47513519332</v>
      </c>
      <c r="D67" s="430">
        <v>44975.717548941378</v>
      </c>
      <c r="E67" s="2">
        <v>0</v>
      </c>
      <c r="F67" s="430">
        <v>0</v>
      </c>
      <c r="G67" s="2">
        <v>0</v>
      </c>
      <c r="H67" s="395">
        <f t="shared" si="0"/>
        <v>551871.1926841347</v>
      </c>
      <c r="I67" s="157">
        <v>22272.608181818188</v>
      </c>
      <c r="J67" s="398">
        <f>'B) D RI'!U68</f>
        <v>21718.90772727273</v>
      </c>
      <c r="K67" s="66">
        <f t="shared" si="14"/>
        <v>24.778022770348201</v>
      </c>
      <c r="L67" s="34">
        <f>'B) D RI'!S68</f>
        <v>66</v>
      </c>
      <c r="M67" s="34">
        <f t="shared" si="9"/>
        <v>41.221977229651799</v>
      </c>
      <c r="N67" s="34">
        <f>'J) Plafonnement effort'!G66+'J) Plafonnement effort'!H66-'K) Plafonnement aide'!I66</f>
        <v>20.673158387604406</v>
      </c>
      <c r="O67" s="131">
        <f t="shared" si="10"/>
        <v>61.895135617256201</v>
      </c>
      <c r="P67" s="48">
        <f t="shared" si="11"/>
        <v>0</v>
      </c>
      <c r="Q67" s="58">
        <f t="shared" si="15"/>
        <v>0</v>
      </c>
      <c r="R67" s="152">
        <f t="shared" si="12"/>
        <v>61.895135617256201</v>
      </c>
      <c r="S67" s="131">
        <f t="shared" si="13"/>
        <v>-4.1048643827437985</v>
      </c>
      <c r="T67" s="151">
        <f t="shared" si="8"/>
        <v>0</v>
      </c>
      <c r="V67" s="12"/>
    </row>
    <row r="68" spans="1:22" x14ac:dyDescent="0.25">
      <c r="A68" s="50">
        <f>'A) Base RI'!A69</f>
        <v>5498</v>
      </c>
      <c r="B68" s="392" t="str">
        <f>'A) Base RI'!B69</f>
        <v>La Sarraz</v>
      </c>
      <c r="C68" s="2">
        <v>1289514.4210880904</v>
      </c>
      <c r="D68" s="430">
        <v>10312.072727095336</v>
      </c>
      <c r="E68" s="2">
        <v>0</v>
      </c>
      <c r="F68" s="430">
        <v>0</v>
      </c>
      <c r="G68" s="2">
        <v>0</v>
      </c>
      <c r="H68" s="395">
        <f t="shared" si="0"/>
        <v>1299826.4938151857</v>
      </c>
      <c r="I68" s="157">
        <v>73804.61909090908</v>
      </c>
      <c r="J68" s="398">
        <f>'B) D RI'!U69</f>
        <v>70914.560303030303</v>
      </c>
      <c r="K68" s="66">
        <f t="shared" si="14"/>
        <v>17.61172281390844</v>
      </c>
      <c r="L68" s="34">
        <f>'B) D RI'!S69</f>
        <v>66</v>
      </c>
      <c r="M68" s="34">
        <f t="shared" si="9"/>
        <v>48.388277186091557</v>
      </c>
      <c r="N68" s="34">
        <f>'J) Plafonnement effort'!G67+'J) Plafonnement effort'!H67-'K) Plafonnement aide'!I67</f>
        <v>12.158367020808665</v>
      </c>
      <c r="O68" s="131">
        <f t="shared" si="10"/>
        <v>60.546644206900226</v>
      </c>
      <c r="P68" s="48">
        <f t="shared" si="11"/>
        <v>0</v>
      </c>
      <c r="Q68" s="58">
        <f t="shared" si="15"/>
        <v>0</v>
      </c>
      <c r="R68" s="152">
        <f t="shared" si="12"/>
        <v>60.546644206900226</v>
      </c>
      <c r="S68" s="131">
        <f t="shared" si="13"/>
        <v>-5.4533557930997745</v>
      </c>
      <c r="T68" s="151">
        <f t="shared" si="8"/>
        <v>0</v>
      </c>
      <c r="V68" s="12"/>
    </row>
    <row r="69" spans="1:22" x14ac:dyDescent="0.25">
      <c r="A69" s="50">
        <f>'A) Base RI'!A70</f>
        <v>5499</v>
      </c>
      <c r="B69" s="392" t="str">
        <f>'A) Base RI'!B70</f>
        <v>Senarclens</v>
      </c>
      <c r="C69" s="2">
        <v>339302.56163059</v>
      </c>
      <c r="D69" s="430">
        <v>262900.11111798533</v>
      </c>
      <c r="E69" s="2">
        <v>0</v>
      </c>
      <c r="F69" s="430">
        <v>0</v>
      </c>
      <c r="G69" s="2">
        <v>0</v>
      </c>
      <c r="H69" s="395">
        <f t="shared" si="0"/>
        <v>602202.67274857534</v>
      </c>
      <c r="I69" s="157">
        <v>18585.936788321167</v>
      </c>
      <c r="J69" s="398">
        <f>'B) D RI'!U70</f>
        <v>20155.097956204383</v>
      </c>
      <c r="K69" s="66">
        <f t="shared" si="14"/>
        <v>32.400985734923033</v>
      </c>
      <c r="L69" s="34">
        <f>'B) D RI'!S70</f>
        <v>68.5</v>
      </c>
      <c r="M69" s="34">
        <f t="shared" si="9"/>
        <v>36.099014265076967</v>
      </c>
      <c r="N69" s="34">
        <f>'J) Plafonnement effort'!G68+'J) Plafonnement effort'!H68-'K) Plafonnement aide'!I68</f>
        <v>37.814426311363157</v>
      </c>
      <c r="O69" s="131">
        <f t="shared" si="10"/>
        <v>73.913440576440124</v>
      </c>
      <c r="P69" s="48">
        <f t="shared" si="11"/>
        <v>0</v>
      </c>
      <c r="Q69" s="58">
        <f t="shared" si="15"/>
        <v>0</v>
      </c>
      <c r="R69" s="152">
        <f t="shared" si="12"/>
        <v>73.913440576440124</v>
      </c>
      <c r="S69" s="131">
        <f t="shared" si="13"/>
        <v>5.4134405764401237</v>
      </c>
      <c r="T69" s="151">
        <f t="shared" si="8"/>
        <v>0</v>
      </c>
      <c r="V69" s="12"/>
    </row>
    <row r="70" spans="1:22" x14ac:dyDescent="0.25">
      <c r="A70" s="50">
        <f>'A) Base RI'!A71</f>
        <v>5500</v>
      </c>
      <c r="B70" s="392" t="str">
        <f>'A) Base RI'!B71</f>
        <v>Sévery</v>
      </c>
      <c r="C70" s="2">
        <v>128577.3282113887</v>
      </c>
      <c r="D70" s="430">
        <v>58356.615060871467</v>
      </c>
      <c r="E70" s="2">
        <v>0</v>
      </c>
      <c r="F70" s="430">
        <v>0</v>
      </c>
      <c r="G70" s="2">
        <v>0</v>
      </c>
      <c r="H70" s="395">
        <f t="shared" si="0"/>
        <v>186933.94327226016</v>
      </c>
      <c r="I70" s="157">
        <v>8028.7526973684207</v>
      </c>
      <c r="J70" s="398">
        <f>'B) D RI'!U71</f>
        <v>8930.8127555555548</v>
      </c>
      <c r="K70" s="66">
        <f t="shared" si="14"/>
        <v>23.283061556190589</v>
      </c>
      <c r="L70" s="34">
        <f>'B) D RI'!S71</f>
        <v>75</v>
      </c>
      <c r="M70" s="34">
        <f t="shared" si="9"/>
        <v>51.716938443809411</v>
      </c>
      <c r="N70" s="34">
        <f>'J) Plafonnement effort'!G69+'J) Plafonnement effort'!H69-'K) Plafonnement aide'!I69</f>
        <v>29.57849687658144</v>
      </c>
      <c r="O70" s="131">
        <f t="shared" si="10"/>
        <v>81.295435320390851</v>
      </c>
      <c r="P70" s="48">
        <f t="shared" si="11"/>
        <v>0</v>
      </c>
      <c r="Q70" s="58">
        <f t="shared" si="15"/>
        <v>0</v>
      </c>
      <c r="R70" s="152">
        <f t="shared" si="12"/>
        <v>81.295435320390851</v>
      </c>
      <c r="S70" s="131">
        <f t="shared" si="13"/>
        <v>6.2954353203908511</v>
      </c>
      <c r="T70" s="151">
        <f t="shared" si="8"/>
        <v>0</v>
      </c>
      <c r="V70" s="12"/>
    </row>
    <row r="71" spans="1:22" x14ac:dyDescent="0.25">
      <c r="A71" s="50">
        <f>'A) Base RI'!A72</f>
        <v>5501</v>
      </c>
      <c r="B71" s="392" t="str">
        <f>'A) Base RI'!B72</f>
        <v>Sullens</v>
      </c>
      <c r="C71" s="2">
        <v>712587.88303510018</v>
      </c>
      <c r="D71" s="430">
        <v>408101.5537348428</v>
      </c>
      <c r="E71" s="2">
        <v>0</v>
      </c>
      <c r="F71" s="430">
        <v>0</v>
      </c>
      <c r="G71" s="2">
        <v>0</v>
      </c>
      <c r="H71" s="395">
        <f t="shared" ref="H71:H134" si="16">SUM(C71:G71)</f>
        <v>1120689.436769943</v>
      </c>
      <c r="I71" s="157">
        <v>35737.650142857143</v>
      </c>
      <c r="J71" s="398">
        <f>'B) D RI'!U72</f>
        <v>34225.937428571429</v>
      </c>
      <c r="K71" s="66">
        <f t="shared" si="14"/>
        <v>31.358789184238919</v>
      </c>
      <c r="L71" s="34">
        <f>'B) D RI'!S72</f>
        <v>70</v>
      </c>
      <c r="M71" s="34">
        <f t="shared" si="9"/>
        <v>38.641210815761085</v>
      </c>
      <c r="N71" s="34">
        <f>'J) Plafonnement effort'!G70+'J) Plafonnement effort'!H70-'K) Plafonnement aide'!I70</f>
        <v>26.548696442502191</v>
      </c>
      <c r="O71" s="131">
        <f t="shared" si="10"/>
        <v>65.189907258263275</v>
      </c>
      <c r="P71" s="48">
        <f t="shared" si="11"/>
        <v>0</v>
      </c>
      <c r="Q71" s="58">
        <f t="shared" si="15"/>
        <v>0</v>
      </c>
      <c r="R71" s="152">
        <f t="shared" si="12"/>
        <v>65.189907258263275</v>
      </c>
      <c r="S71" s="131">
        <f t="shared" si="13"/>
        <v>-4.8100927417367245</v>
      </c>
      <c r="T71" s="151">
        <f t="shared" ref="T71:T134" si="17">+C71+D71+E71+F71+G71-H71</f>
        <v>0</v>
      </c>
      <c r="V71" s="12"/>
    </row>
    <row r="72" spans="1:22" x14ac:dyDescent="0.25">
      <c r="A72" s="50">
        <f>'A) Base RI'!A73</f>
        <v>5503</v>
      </c>
      <c r="B72" s="392" t="str">
        <f>'A) Base RI'!B73</f>
        <v>Vufflens-la-Ville</v>
      </c>
      <c r="C72" s="2">
        <v>1296379.1760947427</v>
      </c>
      <c r="D72" s="430">
        <v>1035521.5479542027</v>
      </c>
      <c r="E72" s="2">
        <v>0</v>
      </c>
      <c r="F72" s="430">
        <v>0</v>
      </c>
      <c r="G72" s="2">
        <v>0</v>
      </c>
      <c r="H72" s="395">
        <f t="shared" si="16"/>
        <v>2331900.7240489456</v>
      </c>
      <c r="I72" s="157">
        <v>64927.66542288557</v>
      </c>
      <c r="J72" s="398">
        <f>'B) D RI'!U73</f>
        <v>64516.192437810947</v>
      </c>
      <c r="K72" s="66">
        <f t="shared" si="14"/>
        <v>35.915363795399948</v>
      </c>
      <c r="L72" s="34">
        <f>'B) D RI'!S73</f>
        <v>67</v>
      </c>
      <c r="M72" s="34">
        <f t="shared" si="9"/>
        <v>31.084636204600052</v>
      </c>
      <c r="N72" s="34">
        <f>'J) Plafonnement effort'!G71+'J) Plafonnement effort'!H71-'K) Plafonnement aide'!I71</f>
        <v>35.902358773052995</v>
      </c>
      <c r="O72" s="131">
        <f t="shared" si="10"/>
        <v>66.98699497765304</v>
      </c>
      <c r="P72" s="48">
        <f t="shared" si="11"/>
        <v>0</v>
      </c>
      <c r="Q72" s="58">
        <f t="shared" si="15"/>
        <v>0</v>
      </c>
      <c r="R72" s="152">
        <f t="shared" si="12"/>
        <v>66.98699497765304</v>
      </c>
      <c r="S72" s="131">
        <f t="shared" si="13"/>
        <v>-1.3005022346959549E-2</v>
      </c>
      <c r="T72" s="151">
        <f t="shared" si="17"/>
        <v>0</v>
      </c>
      <c r="V72" s="12"/>
    </row>
    <row r="73" spans="1:22" x14ac:dyDescent="0.25">
      <c r="A73" s="50">
        <f>'A) Base RI'!A74</f>
        <v>5511</v>
      </c>
      <c r="B73" s="392" t="str">
        <f>'A) Base RI'!B74</f>
        <v>Assens</v>
      </c>
      <c r="C73" s="2">
        <v>700608.8871391787</v>
      </c>
      <c r="D73" s="430">
        <v>475818.85809118929</v>
      </c>
      <c r="E73" s="2">
        <v>0</v>
      </c>
      <c r="F73" s="430">
        <v>0</v>
      </c>
      <c r="G73" s="2">
        <v>0</v>
      </c>
      <c r="H73" s="395">
        <f t="shared" si="16"/>
        <v>1176427.7452303679</v>
      </c>
      <c r="I73" s="157">
        <v>39993.346428571429</v>
      </c>
      <c r="J73" s="398">
        <f>'B) D RI'!U74</f>
        <v>48081.721857142853</v>
      </c>
      <c r="K73" s="66">
        <f t="shared" si="14"/>
        <v>29.415586598422845</v>
      </c>
      <c r="L73" s="34">
        <f>'B) D RI'!S74</f>
        <v>70</v>
      </c>
      <c r="M73" s="34">
        <f t="shared" si="9"/>
        <v>40.584413401577152</v>
      </c>
      <c r="N73" s="34">
        <f>'J) Plafonnement effort'!G72+'J) Plafonnement effort'!H72-'K) Plafonnement aide'!I72</f>
        <v>30.677189730001057</v>
      </c>
      <c r="O73" s="131">
        <f t="shared" si="10"/>
        <v>71.261603131578212</v>
      </c>
      <c r="P73" s="48">
        <f t="shared" si="11"/>
        <v>0</v>
      </c>
      <c r="Q73" s="58">
        <f t="shared" si="15"/>
        <v>0</v>
      </c>
      <c r="R73" s="152">
        <f t="shared" si="12"/>
        <v>71.261603131578212</v>
      </c>
      <c r="S73" s="131">
        <f t="shared" si="13"/>
        <v>1.2616031315782124</v>
      </c>
      <c r="T73" s="151">
        <f t="shared" si="17"/>
        <v>0</v>
      </c>
      <c r="V73" s="12"/>
    </row>
    <row r="74" spans="1:22" x14ac:dyDescent="0.25">
      <c r="A74" s="50">
        <f>'A) Base RI'!A75</f>
        <v>5512</v>
      </c>
      <c r="B74" s="392" t="str">
        <f>'A) Base RI'!B75</f>
        <v>Bercher</v>
      </c>
      <c r="C74" s="2">
        <v>685897.50769321667</v>
      </c>
      <c r="D74" s="430">
        <v>76018.963739017956</v>
      </c>
      <c r="E74" s="2">
        <v>0</v>
      </c>
      <c r="F74" s="430">
        <v>0</v>
      </c>
      <c r="G74" s="2">
        <v>0</v>
      </c>
      <c r="H74" s="395">
        <f t="shared" si="16"/>
        <v>761916.47143223463</v>
      </c>
      <c r="I74" s="157">
        <v>35096.262278481016</v>
      </c>
      <c r="J74" s="398">
        <f>'B) D RI'!U75</f>
        <v>37529.742911392401</v>
      </c>
      <c r="K74" s="66">
        <f t="shared" si="14"/>
        <v>21.70933375715617</v>
      </c>
      <c r="L74" s="34">
        <f>'B) D RI'!S75</f>
        <v>79</v>
      </c>
      <c r="M74" s="34">
        <f t="shared" si="9"/>
        <v>57.290666242843827</v>
      </c>
      <c r="N74" s="34">
        <f>'J) Plafonnement effort'!G73+'J) Plafonnement effort'!H73-'K) Plafonnement aide'!I73</f>
        <v>17.238879046656841</v>
      </c>
      <c r="O74" s="131">
        <f t="shared" si="10"/>
        <v>74.529545289500675</v>
      </c>
      <c r="P74" s="48">
        <f t="shared" si="11"/>
        <v>0</v>
      </c>
      <c r="Q74" s="58">
        <f t="shared" si="15"/>
        <v>0</v>
      </c>
      <c r="R74" s="152">
        <f t="shared" si="12"/>
        <v>74.529545289500675</v>
      </c>
      <c r="S74" s="131">
        <f t="shared" si="13"/>
        <v>-4.4704547104993253</v>
      </c>
      <c r="T74" s="151">
        <f t="shared" si="17"/>
        <v>0</v>
      </c>
      <c r="V74" s="12"/>
    </row>
    <row r="75" spans="1:22" x14ac:dyDescent="0.25">
      <c r="A75" s="50">
        <f>'A) Base RI'!A76</f>
        <v>5513</v>
      </c>
      <c r="B75" s="392" t="str">
        <f>'A) Base RI'!B76</f>
        <v>Bioley-Orjulaz</v>
      </c>
      <c r="C75" s="2">
        <v>387697.69659238163</v>
      </c>
      <c r="D75" s="430">
        <v>374424.24502683792</v>
      </c>
      <c r="E75" s="2">
        <v>0</v>
      </c>
      <c r="F75" s="430">
        <v>0</v>
      </c>
      <c r="G75" s="2">
        <v>0</v>
      </c>
      <c r="H75" s="395">
        <f t="shared" si="16"/>
        <v>762121.94161921949</v>
      </c>
      <c r="I75" s="157">
        <v>22441.228030303031</v>
      </c>
      <c r="J75" s="398">
        <f>'B) D RI'!U76</f>
        <v>21045.596470588232</v>
      </c>
      <c r="K75" s="66">
        <f t="shared" si="14"/>
        <v>33.960794863369529</v>
      </c>
      <c r="L75" s="34">
        <f>'B) D RI'!S76</f>
        <v>68</v>
      </c>
      <c r="M75" s="34">
        <f t="shared" si="9"/>
        <v>34.039205136630471</v>
      </c>
      <c r="N75" s="34">
        <f>'J) Plafonnement effort'!G74+'J) Plafonnement effort'!H74-'K) Plafonnement aide'!I74</f>
        <v>40.425272059165806</v>
      </c>
      <c r="O75" s="131">
        <f t="shared" si="10"/>
        <v>74.464477195796277</v>
      </c>
      <c r="P75" s="48">
        <f t="shared" si="11"/>
        <v>0</v>
      </c>
      <c r="Q75" s="58">
        <f t="shared" si="15"/>
        <v>0</v>
      </c>
      <c r="R75" s="152">
        <f t="shared" si="12"/>
        <v>74.464477195796277</v>
      </c>
      <c r="S75" s="131">
        <f t="shared" si="13"/>
        <v>6.4644771957962774</v>
      </c>
      <c r="T75" s="151">
        <f t="shared" si="17"/>
        <v>0</v>
      </c>
      <c r="V75" s="12"/>
    </row>
    <row r="76" spans="1:22" x14ac:dyDescent="0.25">
      <c r="A76" s="50">
        <f>'A) Base RI'!A77</f>
        <v>5514</v>
      </c>
      <c r="B76" s="392" t="str">
        <f>'A) Base RI'!B77</f>
        <v>Bottens</v>
      </c>
      <c r="C76" s="2">
        <v>743346.59870561224</v>
      </c>
      <c r="D76" s="430">
        <v>285485.66047408979</v>
      </c>
      <c r="E76" s="2">
        <v>0</v>
      </c>
      <c r="F76" s="430">
        <v>0</v>
      </c>
      <c r="G76" s="2">
        <v>0</v>
      </c>
      <c r="H76" s="395">
        <f t="shared" si="16"/>
        <v>1028832.259179702</v>
      </c>
      <c r="I76" s="157">
        <v>40579.944927536235</v>
      </c>
      <c r="J76" s="398">
        <f>'B) D RI'!U77</f>
        <v>40912.963623188407</v>
      </c>
      <c r="K76" s="66">
        <f t="shared" si="14"/>
        <v>25.35321970044296</v>
      </c>
      <c r="L76" s="34">
        <f>'B) D RI'!S77</f>
        <v>69</v>
      </c>
      <c r="M76" s="34">
        <f t="shared" si="9"/>
        <v>43.646780299557037</v>
      </c>
      <c r="N76" s="34">
        <f>'J) Plafonnement effort'!G75+'J) Plafonnement effort'!H75-'K) Plafonnement aide'!I75</f>
        <v>24.565586072224594</v>
      </c>
      <c r="O76" s="131">
        <f t="shared" si="10"/>
        <v>68.212366371781627</v>
      </c>
      <c r="P76" s="48">
        <f t="shared" si="11"/>
        <v>0</v>
      </c>
      <c r="Q76" s="58">
        <f t="shared" si="15"/>
        <v>0</v>
      </c>
      <c r="R76" s="152">
        <f t="shared" si="12"/>
        <v>68.212366371781627</v>
      </c>
      <c r="S76" s="131">
        <f t="shared" si="13"/>
        <v>-0.78763362821837291</v>
      </c>
      <c r="T76" s="151">
        <f t="shared" si="17"/>
        <v>0</v>
      </c>
      <c r="V76" s="12"/>
    </row>
    <row r="77" spans="1:22" x14ac:dyDescent="0.25">
      <c r="A77" s="50">
        <f>'A) Base RI'!A78</f>
        <v>5515</v>
      </c>
      <c r="B77" s="392" t="str">
        <f>'A) Base RI'!B78</f>
        <v>Bretigny-sur-Morrens</v>
      </c>
      <c r="C77" s="2">
        <v>429251.86354196089</v>
      </c>
      <c r="D77" s="430">
        <v>160444.44008874579</v>
      </c>
      <c r="E77" s="2">
        <v>0</v>
      </c>
      <c r="F77" s="430">
        <v>0</v>
      </c>
      <c r="G77" s="2">
        <v>0</v>
      </c>
      <c r="H77" s="395">
        <f t="shared" si="16"/>
        <v>589696.30363070662</v>
      </c>
      <c r="I77" s="157">
        <v>25654.980410958906</v>
      </c>
      <c r="J77" s="398">
        <f>'B) D RI'!U78</f>
        <v>27693.425342465755</v>
      </c>
      <c r="K77" s="66">
        <f t="shared" si="14"/>
        <v>22.985646224809006</v>
      </c>
      <c r="L77" s="34">
        <f>'B) D RI'!S78</f>
        <v>73</v>
      </c>
      <c r="M77" s="34">
        <f t="shared" si="9"/>
        <v>50.014353775190997</v>
      </c>
      <c r="N77" s="34">
        <f>'J) Plafonnement effort'!G76+'J) Plafonnement effort'!H76-'K) Plafonnement aide'!I76</f>
        <v>25.110062038143965</v>
      </c>
      <c r="O77" s="131">
        <f t="shared" si="10"/>
        <v>75.124415813334963</v>
      </c>
      <c r="P77" s="48">
        <f t="shared" si="11"/>
        <v>0</v>
      </c>
      <c r="Q77" s="58">
        <f t="shared" si="15"/>
        <v>0</v>
      </c>
      <c r="R77" s="152">
        <f t="shared" si="12"/>
        <v>75.124415813334963</v>
      </c>
      <c r="S77" s="131">
        <f t="shared" si="13"/>
        <v>2.1244158133349629</v>
      </c>
      <c r="T77" s="151">
        <f t="shared" si="17"/>
        <v>0</v>
      </c>
      <c r="V77" s="12"/>
    </row>
    <row r="78" spans="1:22" x14ac:dyDescent="0.25">
      <c r="A78" s="50">
        <f>'A) Base RI'!A79</f>
        <v>5516</v>
      </c>
      <c r="B78" s="392" t="str">
        <f>'A) Base RI'!B79</f>
        <v>Cugy</v>
      </c>
      <c r="C78" s="2">
        <v>1867095.2278269618</v>
      </c>
      <c r="D78" s="430">
        <v>1006705.9127935739</v>
      </c>
      <c r="E78" s="2">
        <v>0</v>
      </c>
      <c r="F78" s="430">
        <v>0</v>
      </c>
      <c r="G78" s="2">
        <v>0</v>
      </c>
      <c r="H78" s="395">
        <f t="shared" si="16"/>
        <v>2873801.1406205357</v>
      </c>
      <c r="I78" s="157">
        <v>107712.55485714282</v>
      </c>
      <c r="J78" s="398">
        <f>'B) D RI'!U79</f>
        <v>110018.3817142857</v>
      </c>
      <c r="K78" s="66">
        <f t="shared" si="14"/>
        <v>26.680280162623617</v>
      </c>
      <c r="L78" s="34">
        <f>'B) D RI'!S79</f>
        <v>70</v>
      </c>
      <c r="M78" s="34">
        <f t="shared" si="9"/>
        <v>43.319719837376383</v>
      </c>
      <c r="N78" s="34">
        <f>'J) Plafonnement effort'!G77+'J) Plafonnement effort'!H77-'K) Plafonnement aide'!I77</f>
        <v>27.037907247063945</v>
      </c>
      <c r="O78" s="131">
        <f t="shared" si="10"/>
        <v>70.357627084440324</v>
      </c>
      <c r="P78" s="48">
        <f t="shared" si="11"/>
        <v>0</v>
      </c>
      <c r="Q78" s="58">
        <f t="shared" si="15"/>
        <v>0</v>
      </c>
      <c r="R78" s="152">
        <f t="shared" si="12"/>
        <v>70.357627084440324</v>
      </c>
      <c r="S78" s="131">
        <f t="shared" si="13"/>
        <v>0.35762708444032398</v>
      </c>
      <c r="T78" s="151">
        <f t="shared" si="17"/>
        <v>0</v>
      </c>
      <c r="V78" s="12"/>
    </row>
    <row r="79" spans="1:22" x14ac:dyDescent="0.25">
      <c r="A79" s="50">
        <f>'A) Base RI'!A80</f>
        <v>5518</v>
      </c>
      <c r="B79" s="392" t="str">
        <f>'A) Base RI'!B80</f>
        <v>Echallens</v>
      </c>
      <c r="C79" s="2">
        <v>3526061.1337132086</v>
      </c>
      <c r="D79" s="430">
        <v>-181000.41836786503</v>
      </c>
      <c r="E79" s="2">
        <v>0</v>
      </c>
      <c r="F79" s="430">
        <v>0</v>
      </c>
      <c r="G79" s="2">
        <v>0</v>
      </c>
      <c r="H79" s="395">
        <f t="shared" si="16"/>
        <v>3345060.7153453436</v>
      </c>
      <c r="I79" s="157">
        <v>187267.45324324328</v>
      </c>
      <c r="J79" s="398">
        <f>'B) D RI'!U80</f>
        <v>186251.15094594596</v>
      </c>
      <c r="K79" s="66">
        <f t="shared" si="14"/>
        <v>17.862477741929965</v>
      </c>
      <c r="L79" s="34">
        <f>'B) D RI'!S80</f>
        <v>74</v>
      </c>
      <c r="M79" s="34">
        <f t="shared" si="9"/>
        <v>56.137522258070035</v>
      </c>
      <c r="N79" s="34">
        <f>'J) Plafonnement effort'!G78+'J) Plafonnement effort'!H78-'K) Plafonnement aide'!I78</f>
        <v>11.239479581386338</v>
      </c>
      <c r="O79" s="131">
        <f t="shared" si="10"/>
        <v>67.377001839456369</v>
      </c>
      <c r="P79" s="48">
        <f t="shared" si="11"/>
        <v>0</v>
      </c>
      <c r="Q79" s="58">
        <f t="shared" si="15"/>
        <v>0</v>
      </c>
      <c r="R79" s="152">
        <f t="shared" si="12"/>
        <v>67.377001839456369</v>
      </c>
      <c r="S79" s="131">
        <f t="shared" si="13"/>
        <v>-6.6229981605436308</v>
      </c>
      <c r="T79" s="151">
        <f t="shared" si="17"/>
        <v>0</v>
      </c>
      <c r="V79" s="12"/>
    </row>
    <row r="80" spans="1:22" x14ac:dyDescent="0.25">
      <c r="A80" s="50">
        <f>'A) Base RI'!A81</f>
        <v>5520</v>
      </c>
      <c r="B80" s="392" t="str">
        <f>'A) Base RI'!B81</f>
        <v>Essertines-sur-Yverdon</v>
      </c>
      <c r="C80" s="2">
        <v>485288.44277312397</v>
      </c>
      <c r="D80" s="430">
        <v>124499.73815160483</v>
      </c>
      <c r="E80" s="2">
        <v>0</v>
      </c>
      <c r="F80" s="430">
        <v>0</v>
      </c>
      <c r="G80" s="2">
        <v>0</v>
      </c>
      <c r="H80" s="395">
        <f t="shared" si="16"/>
        <v>609788.18092472875</v>
      </c>
      <c r="I80" s="157">
        <v>28096.496575342466</v>
      </c>
      <c r="J80" s="398">
        <f>'B) D RI'!U81</f>
        <v>32026.22082191781</v>
      </c>
      <c r="K80" s="66">
        <f t="shared" si="14"/>
        <v>21.703352917668742</v>
      </c>
      <c r="L80" s="34">
        <f>'B) D RI'!S81</f>
        <v>73</v>
      </c>
      <c r="M80" s="34">
        <f t="shared" si="9"/>
        <v>51.296647082331262</v>
      </c>
      <c r="N80" s="34">
        <f>'J) Plafonnement effort'!G79+'J) Plafonnement effort'!H79-'K) Plafonnement aide'!I79</f>
        <v>19.719623569879698</v>
      </c>
      <c r="O80" s="131">
        <f t="shared" si="10"/>
        <v>71.016270652210963</v>
      </c>
      <c r="P80" s="48">
        <f t="shared" si="11"/>
        <v>0</v>
      </c>
      <c r="Q80" s="58">
        <f t="shared" si="15"/>
        <v>0</v>
      </c>
      <c r="R80" s="152">
        <f t="shared" si="12"/>
        <v>71.016270652210963</v>
      </c>
      <c r="S80" s="131">
        <f t="shared" si="13"/>
        <v>-1.983729347789037</v>
      </c>
      <c r="T80" s="151">
        <f t="shared" si="17"/>
        <v>0</v>
      </c>
      <c r="V80" s="12"/>
    </row>
    <row r="81" spans="1:22" x14ac:dyDescent="0.25">
      <c r="A81" s="50">
        <f>'A) Base RI'!A82</f>
        <v>5521</v>
      </c>
      <c r="B81" s="392" t="str">
        <f>'A) Base RI'!B82</f>
        <v>Etagnières</v>
      </c>
      <c r="C81" s="2">
        <v>669351.28224100918</v>
      </c>
      <c r="D81" s="430">
        <v>412836.35020133376</v>
      </c>
      <c r="E81" s="2">
        <v>0</v>
      </c>
      <c r="F81" s="430">
        <v>0</v>
      </c>
      <c r="G81" s="2">
        <v>0</v>
      </c>
      <c r="H81" s="395">
        <f t="shared" si="16"/>
        <v>1082187.632442343</v>
      </c>
      <c r="I81" s="157">
        <v>40658.047260273968</v>
      </c>
      <c r="J81" s="398">
        <f>'B) D RI'!U82</f>
        <v>40939.440821917808</v>
      </c>
      <c r="K81" s="66">
        <f t="shared" si="14"/>
        <v>26.616812792672494</v>
      </c>
      <c r="L81" s="34">
        <f>'B) D RI'!S82</f>
        <v>73</v>
      </c>
      <c r="M81" s="34">
        <f t="shared" si="9"/>
        <v>46.383187207327509</v>
      </c>
      <c r="N81" s="34">
        <f>'J) Plafonnement effort'!G80+'J) Plafonnement effort'!H80-'K) Plafonnement aide'!I80</f>
        <v>28.906859373771596</v>
      </c>
      <c r="O81" s="131">
        <f t="shared" si="10"/>
        <v>75.290046581099105</v>
      </c>
      <c r="P81" s="48">
        <f t="shared" si="11"/>
        <v>0</v>
      </c>
      <c r="Q81" s="58">
        <f t="shared" si="15"/>
        <v>0</v>
      </c>
      <c r="R81" s="152">
        <f t="shared" si="12"/>
        <v>75.290046581099105</v>
      </c>
      <c r="S81" s="131">
        <f t="shared" si="13"/>
        <v>2.2900465810991051</v>
      </c>
      <c r="T81" s="151">
        <f t="shared" si="17"/>
        <v>0</v>
      </c>
      <c r="V81" s="12"/>
    </row>
    <row r="82" spans="1:22" x14ac:dyDescent="0.25">
      <c r="A82" s="50">
        <f>'A) Base RI'!A83</f>
        <v>5522</v>
      </c>
      <c r="B82" s="392" t="str">
        <f>'A) Base RI'!B83</f>
        <v>Fey</v>
      </c>
      <c r="C82" s="2">
        <v>367444.34815126867</v>
      </c>
      <c r="D82" s="430">
        <v>12007.43410061422</v>
      </c>
      <c r="E82" s="2">
        <v>0</v>
      </c>
      <c r="F82" s="430">
        <v>0</v>
      </c>
      <c r="G82" s="2">
        <v>0</v>
      </c>
      <c r="H82" s="395">
        <f t="shared" si="16"/>
        <v>379451.78225188289</v>
      </c>
      <c r="I82" s="157">
        <v>19109.159333333333</v>
      </c>
      <c r="J82" s="398">
        <f>'B) D RI'!U83</f>
        <v>20215.813200000001</v>
      </c>
      <c r="K82" s="66">
        <f t="shared" si="14"/>
        <v>19.857063078121957</v>
      </c>
      <c r="L82" s="34">
        <f>'B) D RI'!S83</f>
        <v>75</v>
      </c>
      <c r="M82" s="34">
        <f t="shared" si="9"/>
        <v>55.142936921878047</v>
      </c>
      <c r="N82" s="34">
        <f>'J) Plafonnement effort'!G81+'J) Plafonnement effort'!H81-'K) Plafonnement aide'!I81</f>
        <v>21.132580383960736</v>
      </c>
      <c r="O82" s="131">
        <f t="shared" si="10"/>
        <v>76.275517305838775</v>
      </c>
      <c r="P82" s="48">
        <f t="shared" si="11"/>
        <v>0</v>
      </c>
      <c r="Q82" s="58">
        <f t="shared" si="15"/>
        <v>0</v>
      </c>
      <c r="R82" s="152">
        <f t="shared" si="12"/>
        <v>76.275517305838775</v>
      </c>
      <c r="S82" s="131">
        <f t="shared" si="13"/>
        <v>1.2755173058387754</v>
      </c>
      <c r="T82" s="151">
        <f t="shared" si="17"/>
        <v>0</v>
      </c>
      <c r="V82" s="12"/>
    </row>
    <row r="83" spans="1:22" x14ac:dyDescent="0.25">
      <c r="A83" s="50">
        <f>'A) Base RI'!A84</f>
        <v>5523</v>
      </c>
      <c r="B83" s="392" t="str">
        <f>'A) Base RI'!B84</f>
        <v>Froideville</v>
      </c>
      <c r="C83" s="2">
        <v>1470494.4515820872</v>
      </c>
      <c r="D83" s="430">
        <v>61567.207601548173</v>
      </c>
      <c r="E83" s="2">
        <v>0</v>
      </c>
      <c r="F83" s="430">
        <v>0</v>
      </c>
      <c r="G83" s="2">
        <v>0</v>
      </c>
      <c r="H83" s="395">
        <f t="shared" si="16"/>
        <v>1532061.6591836354</v>
      </c>
      <c r="I83" s="157">
        <v>77198.057236842113</v>
      </c>
      <c r="J83" s="398">
        <f>'B) D RI'!U84</f>
        <v>83831.156184210529</v>
      </c>
      <c r="K83" s="66">
        <f t="shared" si="14"/>
        <v>19.845857707057323</v>
      </c>
      <c r="L83" s="34">
        <f>'B) D RI'!S84</f>
        <v>76</v>
      </c>
      <c r="M83" s="34">
        <f t="shared" si="9"/>
        <v>56.15414229294268</v>
      </c>
      <c r="N83" s="34">
        <f>'J) Plafonnement effort'!G82+'J) Plafonnement effort'!H82-'K) Plafonnement aide'!I82</f>
        <v>19.054826716614969</v>
      </c>
      <c r="O83" s="131">
        <f t="shared" si="10"/>
        <v>75.208969009557649</v>
      </c>
      <c r="P83" s="48">
        <f t="shared" si="11"/>
        <v>0</v>
      </c>
      <c r="Q83" s="58">
        <f t="shared" si="15"/>
        <v>0</v>
      </c>
      <c r="R83" s="152">
        <f t="shared" si="12"/>
        <v>75.208969009557649</v>
      </c>
      <c r="S83" s="131">
        <f t="shared" si="13"/>
        <v>-0.79103099044235137</v>
      </c>
      <c r="T83" s="151">
        <f t="shared" si="17"/>
        <v>0</v>
      </c>
      <c r="V83" s="12"/>
    </row>
    <row r="84" spans="1:22" x14ac:dyDescent="0.25">
      <c r="A84" s="50">
        <f>'A) Base RI'!A85</f>
        <v>5527</v>
      </c>
      <c r="B84" s="392" t="str">
        <f>'A) Base RI'!B85</f>
        <v>Morrens</v>
      </c>
      <c r="C84" s="2">
        <v>604379.06150004664</v>
      </c>
      <c r="D84" s="430">
        <v>359067.80032500857</v>
      </c>
      <c r="E84" s="2">
        <v>0</v>
      </c>
      <c r="F84" s="430">
        <v>0</v>
      </c>
      <c r="G84" s="2">
        <v>0</v>
      </c>
      <c r="H84" s="395">
        <f t="shared" si="16"/>
        <v>963446.86182505521</v>
      </c>
      <c r="I84" s="157">
        <v>37560.717323943667</v>
      </c>
      <c r="J84" s="398">
        <f>'B) D RI'!U85</f>
        <v>39666.797042253522</v>
      </c>
      <c r="K84" s="66">
        <f t="shared" si="14"/>
        <v>25.650385042324285</v>
      </c>
      <c r="L84" s="34">
        <f>'B) D RI'!S85</f>
        <v>71</v>
      </c>
      <c r="M84" s="34">
        <f t="shared" si="9"/>
        <v>45.349614957675712</v>
      </c>
      <c r="N84" s="34">
        <f>'J) Plafonnement effort'!G83+'J) Plafonnement effort'!H83-'K) Plafonnement aide'!I83</f>
        <v>28.269093050492291</v>
      </c>
      <c r="O84" s="131">
        <f t="shared" si="10"/>
        <v>73.618708008167999</v>
      </c>
      <c r="P84" s="48">
        <f t="shared" si="11"/>
        <v>0</v>
      </c>
      <c r="Q84" s="58">
        <f t="shared" si="15"/>
        <v>0</v>
      </c>
      <c r="R84" s="152">
        <f t="shared" si="12"/>
        <v>73.618708008167999</v>
      </c>
      <c r="S84" s="131">
        <f t="shared" si="13"/>
        <v>2.6187080081679994</v>
      </c>
      <c r="T84" s="151">
        <f t="shared" si="17"/>
        <v>0</v>
      </c>
      <c r="V84" s="12"/>
    </row>
    <row r="85" spans="1:22" x14ac:dyDescent="0.25">
      <c r="A85" s="50">
        <f>'A) Base RI'!A86</f>
        <v>5529</v>
      </c>
      <c r="B85" s="392" t="str">
        <f>'A) Base RI'!B86</f>
        <v>Oulens-sous-Echallens</v>
      </c>
      <c r="C85" s="2">
        <v>337536.35202291672</v>
      </c>
      <c r="D85" s="430">
        <v>208022.30452380539</v>
      </c>
      <c r="E85" s="2">
        <v>0</v>
      </c>
      <c r="F85" s="430">
        <v>0</v>
      </c>
      <c r="G85" s="2">
        <v>0</v>
      </c>
      <c r="H85" s="395">
        <f t="shared" si="16"/>
        <v>545558.65654672217</v>
      </c>
      <c r="I85" s="157">
        <v>19874.862394366199</v>
      </c>
      <c r="J85" s="398">
        <f>'B) D RI'!U86</f>
        <v>20224.362535211272</v>
      </c>
      <c r="K85" s="66">
        <f t="shared" si="14"/>
        <v>27.449682202648518</v>
      </c>
      <c r="L85" s="34">
        <f>'B) D RI'!S86</f>
        <v>71</v>
      </c>
      <c r="M85" s="34">
        <f t="shared" si="9"/>
        <v>43.550317797351482</v>
      </c>
      <c r="N85" s="34">
        <f>'J) Plafonnement effort'!G84+'J) Plafonnement effort'!H84-'K) Plafonnement aide'!I84</f>
        <v>22.989775488957619</v>
      </c>
      <c r="O85" s="131">
        <f t="shared" si="10"/>
        <v>66.540093286309101</v>
      </c>
      <c r="P85" s="48">
        <f t="shared" si="11"/>
        <v>0</v>
      </c>
      <c r="Q85" s="58">
        <f t="shared" si="15"/>
        <v>0</v>
      </c>
      <c r="R85" s="152">
        <f t="shared" si="12"/>
        <v>66.540093286309101</v>
      </c>
      <c r="S85" s="131">
        <f t="shared" si="13"/>
        <v>-4.4599067136908985</v>
      </c>
      <c r="T85" s="151">
        <f t="shared" si="17"/>
        <v>0</v>
      </c>
      <c r="V85" s="12"/>
    </row>
    <row r="86" spans="1:22" x14ac:dyDescent="0.25">
      <c r="A86" s="50">
        <f>'A) Base RI'!A87</f>
        <v>5530</v>
      </c>
      <c r="B86" s="392" t="str">
        <f>'A) Base RI'!B87</f>
        <v>Pailly</v>
      </c>
      <c r="C86" s="2">
        <v>236797.99227257207</v>
      </c>
      <c r="D86" s="430">
        <v>20828.593436870608</v>
      </c>
      <c r="E86" s="2">
        <v>0</v>
      </c>
      <c r="F86" s="430">
        <v>0</v>
      </c>
      <c r="G86" s="2">
        <v>0</v>
      </c>
      <c r="H86" s="395">
        <f t="shared" si="16"/>
        <v>257626.58570944268</v>
      </c>
      <c r="I86" s="157">
        <v>15272.027655913982</v>
      </c>
      <c r="J86" s="398">
        <f>'B) D RI'!U87</f>
        <v>16275.145870967741</v>
      </c>
      <c r="K86" s="66">
        <f t="shared" si="14"/>
        <v>16.86918014515765</v>
      </c>
      <c r="L86" s="34">
        <f>'B) D RI'!S87</f>
        <v>77.5</v>
      </c>
      <c r="M86" s="34">
        <f t="shared" si="9"/>
        <v>60.63081985484235</v>
      </c>
      <c r="N86" s="34">
        <f>'J) Plafonnement effort'!G85+'J) Plafonnement effort'!H85-'K) Plafonnement aide'!I85</f>
        <v>-10.78757931214119</v>
      </c>
      <c r="O86" s="131">
        <f t="shared" si="10"/>
        <v>49.84324054270116</v>
      </c>
      <c r="P86" s="48">
        <f t="shared" si="11"/>
        <v>0</v>
      </c>
      <c r="Q86" s="58">
        <f t="shared" si="15"/>
        <v>0</v>
      </c>
      <c r="R86" s="152">
        <f t="shared" si="12"/>
        <v>49.84324054270116</v>
      </c>
      <c r="S86" s="131">
        <f t="shared" si="13"/>
        <v>-27.65675945729884</v>
      </c>
      <c r="T86" s="151">
        <f t="shared" si="17"/>
        <v>0</v>
      </c>
      <c r="V86" s="12"/>
    </row>
    <row r="87" spans="1:22" x14ac:dyDescent="0.25">
      <c r="A87" s="50">
        <f>'A) Base RI'!A88</f>
        <v>5531</v>
      </c>
      <c r="B87" s="392" t="str">
        <f>'A) Base RI'!B88</f>
        <v>Penthéréaz</v>
      </c>
      <c r="C87" s="2">
        <v>211120.45804267723</v>
      </c>
      <c r="D87" s="430">
        <v>28862.597411852214</v>
      </c>
      <c r="E87" s="2">
        <v>0</v>
      </c>
      <c r="F87" s="430">
        <v>0</v>
      </c>
      <c r="G87" s="2">
        <v>0</v>
      </c>
      <c r="H87" s="395">
        <f t="shared" si="16"/>
        <v>239983.05545452944</v>
      </c>
      <c r="I87" s="157">
        <v>12101.700128205126</v>
      </c>
      <c r="J87" s="398">
        <f>'B) D RI'!U88</f>
        <v>13115.607307692309</v>
      </c>
      <c r="K87" s="66">
        <f t="shared" si="14"/>
        <v>19.830524051344408</v>
      </c>
      <c r="L87" s="34">
        <f>'B) D RI'!S88</f>
        <v>78</v>
      </c>
      <c r="M87" s="34">
        <f t="shared" si="9"/>
        <v>58.169475948655588</v>
      </c>
      <c r="N87" s="34">
        <f>'J) Plafonnement effort'!G86+'J) Plafonnement effort'!H86-'K) Plafonnement aide'!I86</f>
        <v>18.748860623109241</v>
      </c>
      <c r="O87" s="131">
        <f t="shared" si="10"/>
        <v>76.918336571764826</v>
      </c>
      <c r="P87" s="48">
        <f t="shared" si="11"/>
        <v>0</v>
      </c>
      <c r="Q87" s="58">
        <f t="shared" si="15"/>
        <v>0</v>
      </c>
      <c r="R87" s="152">
        <f t="shared" si="12"/>
        <v>76.918336571764826</v>
      </c>
      <c r="S87" s="131">
        <f t="shared" si="13"/>
        <v>-1.0816634282351743</v>
      </c>
      <c r="T87" s="151">
        <f t="shared" si="17"/>
        <v>0</v>
      </c>
      <c r="V87" s="12"/>
    </row>
    <row r="88" spans="1:22" x14ac:dyDescent="0.25">
      <c r="A88" s="50">
        <f>'A) Base RI'!A89</f>
        <v>5533</v>
      </c>
      <c r="B88" s="392" t="str">
        <f>'A) Base RI'!B89</f>
        <v>Poliez-Pittet</v>
      </c>
      <c r="C88" s="2">
        <v>433378.5296243779</v>
      </c>
      <c r="D88" s="430">
        <v>200331.21807647339</v>
      </c>
      <c r="E88" s="2">
        <v>0</v>
      </c>
      <c r="F88" s="430">
        <v>0</v>
      </c>
      <c r="G88" s="2">
        <v>0</v>
      </c>
      <c r="H88" s="395">
        <f t="shared" si="16"/>
        <v>633709.74770085129</v>
      </c>
      <c r="I88" s="157">
        <v>27045.170985915491</v>
      </c>
      <c r="J88" s="398">
        <f>'B) D RI'!U89</f>
        <v>27509.250422535213</v>
      </c>
      <c r="K88" s="66">
        <f t="shared" si="14"/>
        <v>23.431530458094457</v>
      </c>
      <c r="L88" s="34">
        <f>'B) D RI'!S89</f>
        <v>71</v>
      </c>
      <c r="M88" s="34">
        <f t="shared" si="9"/>
        <v>47.568469541905543</v>
      </c>
      <c r="N88" s="34">
        <f>'J) Plafonnement effort'!G87+'J) Plafonnement effort'!H87-'K) Plafonnement aide'!I87</f>
        <v>23.049379881665896</v>
      </c>
      <c r="O88" s="131">
        <f t="shared" si="10"/>
        <v>70.617849423571442</v>
      </c>
      <c r="P88" s="48">
        <f t="shared" si="11"/>
        <v>0</v>
      </c>
      <c r="Q88" s="58">
        <f t="shared" si="15"/>
        <v>0</v>
      </c>
      <c r="R88" s="152">
        <f t="shared" si="12"/>
        <v>70.617849423571442</v>
      </c>
      <c r="S88" s="131">
        <f t="shared" si="13"/>
        <v>-0.38215057642855754</v>
      </c>
      <c r="T88" s="151">
        <f t="shared" si="17"/>
        <v>0</v>
      </c>
      <c r="V88" s="12"/>
    </row>
    <row r="89" spans="1:22" x14ac:dyDescent="0.25">
      <c r="A89" s="50">
        <f>'A) Base RI'!A90</f>
        <v>5534</v>
      </c>
      <c r="B89" s="392" t="str">
        <f>'A) Base RI'!B90</f>
        <v>Rueyres</v>
      </c>
      <c r="C89" s="2">
        <v>307495.54059854336</v>
      </c>
      <c r="D89" s="430">
        <v>150332.31096823316</v>
      </c>
      <c r="E89" s="2">
        <v>0</v>
      </c>
      <c r="F89" s="430">
        <v>0</v>
      </c>
      <c r="G89" s="2">
        <v>0</v>
      </c>
      <c r="H89" s="395">
        <f t="shared" si="16"/>
        <v>457827.85156677652</v>
      </c>
      <c r="I89" s="157">
        <v>10934.157945205479</v>
      </c>
      <c r="J89" s="398">
        <f>'B) D RI'!U90</f>
        <v>9282.5224657534254</v>
      </c>
      <c r="K89" s="66">
        <f t="shared" si="14"/>
        <v>41.871340606299682</v>
      </c>
      <c r="L89" s="34">
        <f>'B) D RI'!S90</f>
        <v>73</v>
      </c>
      <c r="M89" s="34">
        <f t="shared" si="9"/>
        <v>31.128659393700318</v>
      </c>
      <c r="N89" s="34">
        <f>'J) Plafonnement effort'!G88+'J) Plafonnement effort'!H88-'K) Plafonnement aide'!I88</f>
        <v>25.964217903835195</v>
      </c>
      <c r="O89" s="131">
        <f t="shared" si="10"/>
        <v>57.092877297535509</v>
      </c>
      <c r="P89" s="48">
        <f t="shared" si="11"/>
        <v>0</v>
      </c>
      <c r="Q89" s="58">
        <f t="shared" si="15"/>
        <v>0</v>
      </c>
      <c r="R89" s="152">
        <f t="shared" si="12"/>
        <v>57.092877297535509</v>
      </c>
      <c r="S89" s="131">
        <f t="shared" si="13"/>
        <v>-15.907122702464491</v>
      </c>
      <c r="T89" s="151">
        <f t="shared" si="17"/>
        <v>0</v>
      </c>
      <c r="V89" s="12"/>
    </row>
    <row r="90" spans="1:22" x14ac:dyDescent="0.25">
      <c r="A90" s="50">
        <f>'A) Base RI'!A91</f>
        <v>5535</v>
      </c>
      <c r="B90" s="392" t="str">
        <f>'A) Base RI'!B91</f>
        <v>Saint-Barthélemy</v>
      </c>
      <c r="C90" s="2">
        <v>333997.3175840287</v>
      </c>
      <c r="D90" s="430">
        <v>-12802.385506632912</v>
      </c>
      <c r="E90" s="2">
        <v>0</v>
      </c>
      <c r="F90" s="430">
        <v>0</v>
      </c>
      <c r="G90" s="2">
        <v>0</v>
      </c>
      <c r="H90" s="395">
        <f t="shared" si="16"/>
        <v>321194.93207739579</v>
      </c>
      <c r="I90" s="157">
        <v>20697.547200000001</v>
      </c>
      <c r="J90" s="398">
        <f>'B) D RI'!U91</f>
        <v>23206.167922077926</v>
      </c>
      <c r="K90" s="66">
        <f t="shared" si="14"/>
        <v>15.518502215441053</v>
      </c>
      <c r="L90" s="34">
        <f>'B) D RI'!S91</f>
        <v>77</v>
      </c>
      <c r="M90" s="34">
        <f t="shared" si="9"/>
        <v>61.481497784558947</v>
      </c>
      <c r="N90" s="34">
        <f>'J) Plafonnement effort'!G89+'J) Plafonnement effort'!H89-'K) Plafonnement aide'!I89</f>
        <v>21.062967452083782</v>
      </c>
      <c r="O90" s="131">
        <f t="shared" si="10"/>
        <v>82.544465236642736</v>
      </c>
      <c r="P90" s="48">
        <f t="shared" si="11"/>
        <v>0</v>
      </c>
      <c r="Q90" s="58">
        <f t="shared" si="15"/>
        <v>0</v>
      </c>
      <c r="R90" s="152">
        <f t="shared" si="12"/>
        <v>82.544465236642736</v>
      </c>
      <c r="S90" s="131">
        <f t="shared" si="13"/>
        <v>5.5444652366427363</v>
      </c>
      <c r="T90" s="151">
        <f t="shared" si="17"/>
        <v>0</v>
      </c>
      <c r="V90" s="12"/>
    </row>
    <row r="91" spans="1:22" x14ac:dyDescent="0.25">
      <c r="A91" s="50">
        <f>'A) Base RI'!A92</f>
        <v>5537</v>
      </c>
      <c r="B91" s="392" t="str">
        <f>'A) Base RI'!B92</f>
        <v>Villars-le-Terroir</v>
      </c>
      <c r="C91" s="2">
        <v>512555.29323144577</v>
      </c>
      <c r="D91" s="430">
        <v>55568.554771467985</v>
      </c>
      <c r="E91" s="2">
        <v>0</v>
      </c>
      <c r="F91" s="430">
        <v>0</v>
      </c>
      <c r="G91" s="2">
        <v>0</v>
      </c>
      <c r="H91" s="395">
        <f t="shared" si="16"/>
        <v>568123.84800291376</v>
      </c>
      <c r="I91" s="157">
        <v>30041.138287671231</v>
      </c>
      <c r="J91" s="398">
        <f>'B) D RI'!U92</f>
        <v>33504.625479452057</v>
      </c>
      <c r="K91" s="66">
        <f t="shared" si="14"/>
        <v>18.911528669872993</v>
      </c>
      <c r="L91" s="34">
        <f>'B) D RI'!S92</f>
        <v>73</v>
      </c>
      <c r="M91" s="34">
        <f t="shared" si="9"/>
        <v>54.088471330127007</v>
      </c>
      <c r="N91" s="34">
        <f>'J) Plafonnement effort'!G90+'J) Plafonnement effort'!H90-'K) Plafonnement aide'!I90</f>
        <v>19.586963129158626</v>
      </c>
      <c r="O91" s="131">
        <f t="shared" si="10"/>
        <v>73.67543445928564</v>
      </c>
      <c r="P91" s="48">
        <f t="shared" si="11"/>
        <v>0</v>
      </c>
      <c r="Q91" s="58">
        <f t="shared" si="15"/>
        <v>0</v>
      </c>
      <c r="R91" s="152">
        <f t="shared" si="12"/>
        <v>73.67543445928564</v>
      </c>
      <c r="S91" s="131">
        <f t="shared" si="13"/>
        <v>0.67543445928563983</v>
      </c>
      <c r="T91" s="151">
        <f t="shared" si="17"/>
        <v>0</v>
      </c>
      <c r="V91" s="12"/>
    </row>
    <row r="92" spans="1:22" x14ac:dyDescent="0.25">
      <c r="A92" s="50">
        <f>'A) Base RI'!A93</f>
        <v>5539</v>
      </c>
      <c r="B92" s="392" t="str">
        <f>'A) Base RI'!B93</f>
        <v>Vuarrens</v>
      </c>
      <c r="C92" s="2">
        <v>392833.48222621856</v>
      </c>
      <c r="D92" s="430">
        <v>-169940.2765870851</v>
      </c>
      <c r="E92" s="2">
        <v>0</v>
      </c>
      <c r="F92" s="430">
        <v>0</v>
      </c>
      <c r="G92" s="2">
        <v>0</v>
      </c>
      <c r="H92" s="395">
        <f t="shared" si="16"/>
        <v>222893.20563913346</v>
      </c>
      <c r="I92" s="157">
        <v>22727.031566666661</v>
      </c>
      <c r="J92" s="398">
        <f>'B) D RI'!U93</f>
        <v>26926.432233333333</v>
      </c>
      <c r="K92" s="66">
        <f t="shared" si="14"/>
        <v>9.8074051151513792</v>
      </c>
      <c r="L92" s="34">
        <f>'B) D RI'!S93</f>
        <v>75</v>
      </c>
      <c r="M92" s="34">
        <f t="shared" si="9"/>
        <v>65.192594884848617</v>
      </c>
      <c r="N92" s="34">
        <f>'J) Plafonnement effort'!G91+'J) Plafonnement effort'!H91-'K) Plafonnement aide'!I91</f>
        <v>16.103964206835872</v>
      </c>
      <c r="O92" s="131">
        <f t="shared" si="10"/>
        <v>81.296559091684486</v>
      </c>
      <c r="P92" s="48">
        <f t="shared" si="11"/>
        <v>0</v>
      </c>
      <c r="Q92" s="58">
        <f t="shared" si="15"/>
        <v>0</v>
      </c>
      <c r="R92" s="152">
        <f t="shared" si="12"/>
        <v>81.296559091684486</v>
      </c>
      <c r="S92" s="131">
        <f t="shared" si="13"/>
        <v>6.296559091684486</v>
      </c>
      <c r="T92" s="151">
        <f t="shared" si="17"/>
        <v>0</v>
      </c>
      <c r="V92" s="12"/>
    </row>
    <row r="93" spans="1:22" x14ac:dyDescent="0.25">
      <c r="A93" s="50">
        <f>'A) Base RI'!A94</f>
        <v>5540</v>
      </c>
      <c r="B93" s="392" t="str">
        <f>'A) Base RI'!B94</f>
        <v>Montilliez</v>
      </c>
      <c r="C93" s="2">
        <v>969162.03656765807</v>
      </c>
      <c r="D93" s="430">
        <v>210811.85361886816</v>
      </c>
      <c r="E93" s="2">
        <v>0</v>
      </c>
      <c r="F93" s="430">
        <v>0</v>
      </c>
      <c r="G93" s="2">
        <v>0</v>
      </c>
      <c r="H93" s="395">
        <f t="shared" si="16"/>
        <v>1179973.8901865263</v>
      </c>
      <c r="I93" s="157">
        <v>54875.674391891895</v>
      </c>
      <c r="J93" s="398">
        <f>'B) D RI'!U94</f>
        <v>56983.650067567571</v>
      </c>
      <c r="K93" s="66">
        <f>H93/I93</f>
        <v>21.502676791902395</v>
      </c>
      <c r="L93" s="34">
        <f>'B) D RI'!S94</f>
        <v>74</v>
      </c>
      <c r="M93" s="34">
        <f>L93-K93</f>
        <v>52.497323208097605</v>
      </c>
      <c r="N93" s="34">
        <f>'J) Plafonnement effort'!G92+'J) Plafonnement effort'!H92-'K) Plafonnement aide'!I92</f>
        <v>17.654921185779674</v>
      </c>
      <c r="O93" s="131">
        <f>M93+N93</f>
        <v>70.152244393877282</v>
      </c>
      <c r="P93" s="48">
        <f t="shared" si="11"/>
        <v>0</v>
      </c>
      <c r="Q93" s="58">
        <f>P93*J93</f>
        <v>0</v>
      </c>
      <c r="R93" s="152">
        <f>O93+P93</f>
        <v>70.152244393877282</v>
      </c>
      <c r="S93" s="131">
        <f>R93-L93</f>
        <v>-3.8477556061227176</v>
      </c>
      <c r="T93" s="151">
        <f t="shared" si="17"/>
        <v>0</v>
      </c>
      <c r="V93" s="12"/>
    </row>
    <row r="94" spans="1:22" x14ac:dyDescent="0.25">
      <c r="A94" s="50">
        <f>'A) Base RI'!A95</f>
        <v>5541</v>
      </c>
      <c r="B94" s="392" t="str">
        <f>'A) Base RI'!B95</f>
        <v>Goumoëns</v>
      </c>
      <c r="C94" s="2">
        <v>669023.4622012414</v>
      </c>
      <c r="D94" s="430">
        <v>137419.70679434919</v>
      </c>
      <c r="E94" s="2">
        <v>0</v>
      </c>
      <c r="F94" s="430">
        <v>0</v>
      </c>
      <c r="G94" s="2">
        <v>0</v>
      </c>
      <c r="H94" s="395">
        <f t="shared" si="16"/>
        <v>806443.16899559065</v>
      </c>
      <c r="I94" s="157">
        <v>32498.070519480509</v>
      </c>
      <c r="J94" s="398">
        <f>'B) D RI'!U95</f>
        <v>38548.273636363643</v>
      </c>
      <c r="K94" s="66">
        <f>H94/I94</f>
        <v>24.815109208166056</v>
      </c>
      <c r="L94" s="34">
        <f>'B) D RI'!S95</f>
        <v>77</v>
      </c>
      <c r="M94" s="34">
        <f>L94-K94</f>
        <v>52.184890791833944</v>
      </c>
      <c r="N94" s="34">
        <f>'J) Plafonnement effort'!G93+'J) Plafonnement effort'!H93-'K) Plafonnement aide'!I93</f>
        <v>25.808752028188678</v>
      </c>
      <c r="O94" s="131">
        <f>M94+N94</f>
        <v>77.993642820022615</v>
      </c>
      <c r="P94" s="48">
        <f t="shared" si="11"/>
        <v>0</v>
      </c>
      <c r="Q94" s="58">
        <f>P94*J94</f>
        <v>0</v>
      </c>
      <c r="R94" s="152">
        <f>O94+P94</f>
        <v>77.993642820022615</v>
      </c>
      <c r="S94" s="131">
        <f>R94-L94</f>
        <v>0.99364282002261461</v>
      </c>
      <c r="T94" s="151">
        <f t="shared" si="17"/>
        <v>0</v>
      </c>
      <c r="V94" s="12"/>
    </row>
    <row r="95" spans="1:22" x14ac:dyDescent="0.25">
      <c r="A95" s="50">
        <f>'A) Base RI'!A96</f>
        <v>5551</v>
      </c>
      <c r="B95" s="392" t="str">
        <f>'A) Base RI'!B96</f>
        <v>Bonvillars</v>
      </c>
      <c r="C95" s="2">
        <v>311842.16981317103</v>
      </c>
      <c r="D95" s="430">
        <v>276173.86144055525</v>
      </c>
      <c r="E95" s="2">
        <v>0</v>
      </c>
      <c r="F95" s="430">
        <v>0</v>
      </c>
      <c r="G95" s="2">
        <v>0</v>
      </c>
      <c r="H95" s="395">
        <f t="shared" si="16"/>
        <v>588016.03125372622</v>
      </c>
      <c r="I95" s="157">
        <v>19291.965896103895</v>
      </c>
      <c r="J95" s="398">
        <f>'B) D RI'!U96</f>
        <v>18775.330727272729</v>
      </c>
      <c r="K95" s="66">
        <f t="shared" si="14"/>
        <v>30.479839868080987</v>
      </c>
      <c r="L95" s="34">
        <f>'B) D RI'!S96</f>
        <v>55</v>
      </c>
      <c r="M95" s="34">
        <f>L95-K95</f>
        <v>24.520160131919013</v>
      </c>
      <c r="N95" s="34">
        <f>'J) Plafonnement effort'!G94+'J) Plafonnement effort'!H94-'K) Plafonnement aide'!I94</f>
        <v>29.301650112235635</v>
      </c>
      <c r="O95" s="131">
        <f>M95+N95</f>
        <v>53.821810244154648</v>
      </c>
      <c r="P95" s="48">
        <f t="shared" si="11"/>
        <v>0</v>
      </c>
      <c r="Q95" s="58">
        <f>P95*J95</f>
        <v>0</v>
      </c>
      <c r="R95" s="152">
        <f>O95+P95</f>
        <v>53.821810244154648</v>
      </c>
      <c r="S95" s="131">
        <f>R95-L95</f>
        <v>-1.1781897558453522</v>
      </c>
      <c r="T95" s="151">
        <f t="shared" si="17"/>
        <v>0</v>
      </c>
      <c r="V95" s="12"/>
    </row>
    <row r="96" spans="1:22" x14ac:dyDescent="0.25">
      <c r="A96" s="50">
        <f>'A) Base RI'!A97</f>
        <v>5552</v>
      </c>
      <c r="B96" s="392" t="str">
        <f>'A) Base RI'!B97</f>
        <v>Bullet</v>
      </c>
      <c r="C96" s="2">
        <v>330498.63842268812</v>
      </c>
      <c r="D96" s="430">
        <v>-15505.604453407286</v>
      </c>
      <c r="E96" s="2">
        <v>0</v>
      </c>
      <c r="F96" s="430">
        <v>0</v>
      </c>
      <c r="G96" s="2">
        <v>0</v>
      </c>
      <c r="H96" s="395">
        <f t="shared" si="16"/>
        <v>314993.03396928083</v>
      </c>
      <c r="I96" s="157">
        <v>15735.537571428569</v>
      </c>
      <c r="J96" s="398">
        <f>'B) D RI'!U97</f>
        <v>17788.918428571429</v>
      </c>
      <c r="K96" s="66">
        <f t="shared" si="14"/>
        <v>20.017939173633444</v>
      </c>
      <c r="L96" s="34">
        <f>'B) D RI'!S97</f>
        <v>70</v>
      </c>
      <c r="M96" s="34">
        <f t="shared" si="9"/>
        <v>49.982060826366556</v>
      </c>
      <c r="N96" s="34">
        <f>'J) Plafonnement effort'!G95+'J) Plafonnement effort'!H95-'K) Plafonnement aide'!I95</f>
        <v>10.721750800299715</v>
      </c>
      <c r="O96" s="131">
        <f t="shared" si="10"/>
        <v>60.703811626666273</v>
      </c>
      <c r="P96" s="48">
        <f t="shared" si="11"/>
        <v>0</v>
      </c>
      <c r="Q96" s="58">
        <f t="shared" si="15"/>
        <v>0</v>
      </c>
      <c r="R96" s="152">
        <f t="shared" si="12"/>
        <v>60.703811626666273</v>
      </c>
      <c r="S96" s="131">
        <f t="shared" si="13"/>
        <v>-9.2961883733337274</v>
      </c>
      <c r="T96" s="151">
        <f t="shared" si="17"/>
        <v>0</v>
      </c>
      <c r="V96" s="12"/>
    </row>
    <row r="97" spans="1:22" x14ac:dyDescent="0.25">
      <c r="A97" s="50">
        <f>'A) Base RI'!A98</f>
        <v>5553</v>
      </c>
      <c r="B97" s="392" t="str">
        <f>'A) Base RI'!B98</f>
        <v>Champagne</v>
      </c>
      <c r="C97" s="2">
        <v>668621.69001395931</v>
      </c>
      <c r="D97" s="430">
        <v>311308.18077455112</v>
      </c>
      <c r="E97" s="2">
        <v>0</v>
      </c>
      <c r="F97" s="430">
        <v>0</v>
      </c>
      <c r="G97" s="2">
        <v>0</v>
      </c>
      <c r="H97" s="395">
        <f t="shared" si="16"/>
        <v>979929.87078851042</v>
      </c>
      <c r="I97" s="157">
        <v>33369.783650793652</v>
      </c>
      <c r="J97" s="398">
        <f>'B) D RI'!U98</f>
        <v>34060.380307692314</v>
      </c>
      <c r="K97" s="66">
        <f t="shared" si="14"/>
        <v>29.365784358784843</v>
      </c>
      <c r="L97" s="34">
        <f>'B) D RI'!S98</f>
        <v>65</v>
      </c>
      <c r="M97" s="34">
        <f t="shared" si="9"/>
        <v>35.634215641215157</v>
      </c>
      <c r="N97" s="34">
        <f>'J) Plafonnement effort'!G96+'J) Plafonnement effort'!H96-'K) Plafonnement aide'!I96</f>
        <v>21.452018639957718</v>
      </c>
      <c r="O97" s="131">
        <f t="shared" si="10"/>
        <v>57.086234281172878</v>
      </c>
      <c r="P97" s="48">
        <f t="shared" si="11"/>
        <v>0</v>
      </c>
      <c r="Q97" s="58">
        <f t="shared" si="15"/>
        <v>0</v>
      </c>
      <c r="R97" s="152">
        <f t="shared" si="12"/>
        <v>57.086234281172878</v>
      </c>
      <c r="S97" s="131">
        <f t="shared" si="13"/>
        <v>-7.913765718827122</v>
      </c>
      <c r="T97" s="151">
        <f t="shared" si="17"/>
        <v>0</v>
      </c>
      <c r="V97" s="12"/>
    </row>
    <row r="98" spans="1:22" x14ac:dyDescent="0.25">
      <c r="A98" s="50">
        <f>'A) Base RI'!A99</f>
        <v>5554</v>
      </c>
      <c r="B98" s="392" t="str">
        <f>'A) Base RI'!B99</f>
        <v>Concise</v>
      </c>
      <c r="C98" s="2">
        <v>515180.95743669727</v>
      </c>
      <c r="D98" s="430">
        <v>124984.99961965083</v>
      </c>
      <c r="E98" s="2">
        <v>0</v>
      </c>
      <c r="F98" s="430">
        <v>0</v>
      </c>
      <c r="G98" s="2">
        <v>0</v>
      </c>
      <c r="H98" s="395">
        <f t="shared" si="16"/>
        <v>640165.9570563481</v>
      </c>
      <c r="I98" s="157">
        <v>28986.7088</v>
      </c>
      <c r="J98" s="398">
        <f>'B) D RI'!U99</f>
        <v>31701.023466666669</v>
      </c>
      <c r="K98" s="66">
        <f t="shared" si="14"/>
        <v>22.084810023563215</v>
      </c>
      <c r="L98" s="34">
        <f>'B) D RI'!S99</f>
        <v>75</v>
      </c>
      <c r="M98" s="34">
        <f t="shared" si="9"/>
        <v>52.915189976436785</v>
      </c>
      <c r="N98" s="34">
        <f>'J) Plafonnement effort'!G97+'J) Plafonnement effort'!H97-'K) Plafonnement aide'!I97</f>
        <v>20.548436004030162</v>
      </c>
      <c r="O98" s="131">
        <f t="shared" si="10"/>
        <v>73.463625980466944</v>
      </c>
      <c r="P98" s="48">
        <f t="shared" si="11"/>
        <v>0</v>
      </c>
      <c r="Q98" s="58">
        <f t="shared" si="15"/>
        <v>0</v>
      </c>
      <c r="R98" s="152">
        <f t="shared" si="12"/>
        <v>73.463625980466944</v>
      </c>
      <c r="S98" s="131">
        <f t="shared" si="13"/>
        <v>-1.5363740195330564</v>
      </c>
      <c r="T98" s="151">
        <f t="shared" si="17"/>
        <v>0</v>
      </c>
      <c r="V98" s="12"/>
    </row>
    <row r="99" spans="1:22" x14ac:dyDescent="0.25">
      <c r="A99" s="50">
        <f>'A) Base RI'!A100</f>
        <v>5555</v>
      </c>
      <c r="B99" s="392" t="str">
        <f>'A) Base RI'!B100</f>
        <v>Corcelles-près-Concise</v>
      </c>
      <c r="C99" s="2">
        <v>208259.80920206429</v>
      </c>
      <c r="D99" s="430">
        <v>46991.774157283944</v>
      </c>
      <c r="E99" s="2">
        <v>0</v>
      </c>
      <c r="F99" s="430">
        <v>0</v>
      </c>
      <c r="G99" s="2">
        <v>0</v>
      </c>
      <c r="H99" s="395">
        <f t="shared" si="16"/>
        <v>255251.58335934824</v>
      </c>
      <c r="I99" s="157">
        <v>11040.372394366199</v>
      </c>
      <c r="J99" s="398">
        <f>'B) D RI'!U100</f>
        <v>13631.876197183097</v>
      </c>
      <c r="K99" s="66">
        <f t="shared" si="14"/>
        <v>23.119834570942626</v>
      </c>
      <c r="L99" s="34">
        <f>'B) D RI'!S100</f>
        <v>71</v>
      </c>
      <c r="M99" s="34">
        <f t="shared" si="9"/>
        <v>47.880165429057371</v>
      </c>
      <c r="N99" s="34">
        <f>'J) Plafonnement effort'!G98+'J) Plafonnement effort'!H98-'K) Plafonnement aide'!I98</f>
        <v>24.415524238500169</v>
      </c>
      <c r="O99" s="131">
        <f t="shared" si="10"/>
        <v>72.295689667557539</v>
      </c>
      <c r="P99" s="48">
        <f t="shared" si="11"/>
        <v>0</v>
      </c>
      <c r="Q99" s="58">
        <f t="shared" si="15"/>
        <v>0</v>
      </c>
      <c r="R99" s="152">
        <f t="shared" si="12"/>
        <v>72.295689667557539</v>
      </c>
      <c r="S99" s="131">
        <f t="shared" si="13"/>
        <v>1.2956896675575393</v>
      </c>
      <c r="T99" s="151">
        <f t="shared" si="17"/>
        <v>0</v>
      </c>
      <c r="V99" s="12"/>
    </row>
    <row r="100" spans="1:22" x14ac:dyDescent="0.25">
      <c r="A100" s="50">
        <f>'A) Base RI'!A101</f>
        <v>5556</v>
      </c>
      <c r="B100" s="392" t="str">
        <f>'A) Base RI'!B101</f>
        <v>Fiez</v>
      </c>
      <c r="C100" s="2">
        <v>213480.60897623253</v>
      </c>
      <c r="D100" s="430">
        <v>61947.438988641778</v>
      </c>
      <c r="E100" s="2">
        <v>0</v>
      </c>
      <c r="F100" s="430">
        <v>0</v>
      </c>
      <c r="G100" s="2">
        <v>0</v>
      </c>
      <c r="H100" s="395">
        <f t="shared" si="16"/>
        <v>275428.04796487431</v>
      </c>
      <c r="I100" s="157">
        <v>12472.754202898552</v>
      </c>
      <c r="J100" s="398">
        <f>'B) D RI'!U101</f>
        <v>12908.608502415458</v>
      </c>
      <c r="K100" s="66">
        <f t="shared" si="14"/>
        <v>22.082375992053734</v>
      </c>
      <c r="L100" s="34">
        <f>'B) D RI'!S101</f>
        <v>69</v>
      </c>
      <c r="M100" s="34">
        <f t="shared" si="9"/>
        <v>46.917624007946266</v>
      </c>
      <c r="N100" s="34">
        <f>'J) Plafonnement effort'!G99+'J) Plafonnement effort'!H99-'K) Plafonnement aide'!I99</f>
        <v>31.50017120081742</v>
      </c>
      <c r="O100" s="131">
        <f t="shared" si="10"/>
        <v>78.417795208763692</v>
      </c>
      <c r="P100" s="48">
        <f t="shared" si="11"/>
        <v>0</v>
      </c>
      <c r="Q100" s="58">
        <f t="shared" si="15"/>
        <v>0</v>
      </c>
      <c r="R100" s="152">
        <f t="shared" si="12"/>
        <v>78.417795208763692</v>
      </c>
      <c r="S100" s="131">
        <f t="shared" si="13"/>
        <v>9.4177952087636925</v>
      </c>
      <c r="T100" s="151">
        <f t="shared" si="17"/>
        <v>0</v>
      </c>
      <c r="V100" s="12"/>
    </row>
    <row r="101" spans="1:22" x14ac:dyDescent="0.25">
      <c r="A101" s="50">
        <f>'A) Base RI'!A102</f>
        <v>5557</v>
      </c>
      <c r="B101" s="392" t="str">
        <f>'A) Base RI'!B102</f>
        <v>Fontaines-sur-Grandson</v>
      </c>
      <c r="C101" s="2">
        <v>78506.011855483273</v>
      </c>
      <c r="D101" s="430">
        <v>-39454.423184995539</v>
      </c>
      <c r="E101" s="2">
        <v>0</v>
      </c>
      <c r="F101" s="430">
        <v>0</v>
      </c>
      <c r="G101" s="2">
        <v>0</v>
      </c>
      <c r="H101" s="395">
        <f t="shared" si="16"/>
        <v>39051.588670487734</v>
      </c>
      <c r="I101" s="157">
        <v>4030.2872463768117</v>
      </c>
      <c r="J101" s="398">
        <f>'B) D RI'!U102</f>
        <v>4431.6020289855087</v>
      </c>
      <c r="K101" s="66">
        <f t="shared" si="14"/>
        <v>9.6895298729872721</v>
      </c>
      <c r="L101" s="34">
        <f>'B) D RI'!S102</f>
        <v>69</v>
      </c>
      <c r="M101" s="34">
        <f t="shared" si="9"/>
        <v>59.310470127012728</v>
      </c>
      <c r="N101" s="34">
        <f>'J) Plafonnement effort'!G100+'J) Plafonnement effort'!H100-'K) Plafonnement aide'!I100</f>
        <v>3.1329311805222577</v>
      </c>
      <c r="O101" s="131">
        <f t="shared" si="10"/>
        <v>62.443401307534984</v>
      </c>
      <c r="P101" s="48">
        <f t="shared" si="11"/>
        <v>0</v>
      </c>
      <c r="Q101" s="58">
        <f t="shared" si="15"/>
        <v>0</v>
      </c>
      <c r="R101" s="152">
        <f t="shared" si="12"/>
        <v>62.443401307534984</v>
      </c>
      <c r="S101" s="131">
        <f t="shared" si="13"/>
        <v>-6.5565986924650161</v>
      </c>
      <c r="T101" s="151">
        <f t="shared" si="17"/>
        <v>0</v>
      </c>
      <c r="V101" s="12"/>
    </row>
    <row r="102" spans="1:22" x14ac:dyDescent="0.25">
      <c r="A102" s="50">
        <f>'A) Base RI'!A103</f>
        <v>5559</v>
      </c>
      <c r="B102" s="392" t="str">
        <f>'A) Base RI'!B103</f>
        <v>Giez</v>
      </c>
      <c r="C102" s="2">
        <v>441965.99366533163</v>
      </c>
      <c r="D102" s="430">
        <v>295232.26268252189</v>
      </c>
      <c r="E102" s="2">
        <v>0</v>
      </c>
      <c r="F102" s="430">
        <v>0</v>
      </c>
      <c r="G102" s="2">
        <v>0</v>
      </c>
      <c r="H102" s="395">
        <f t="shared" si="16"/>
        <v>737198.25634785346</v>
      </c>
      <c r="I102" s="157">
        <v>18149.138484848489</v>
      </c>
      <c r="J102" s="398">
        <f>'B) D RI'!U103</f>
        <v>15789.686212121214</v>
      </c>
      <c r="K102" s="66">
        <f t="shared" si="14"/>
        <v>40.61891185431702</v>
      </c>
      <c r="L102" s="34">
        <f>'B) D RI'!S103</f>
        <v>66</v>
      </c>
      <c r="M102" s="34">
        <f t="shared" si="9"/>
        <v>25.38108814568298</v>
      </c>
      <c r="N102" s="34">
        <f>'J) Plafonnement effort'!G101+'J) Plafonnement effort'!H101-'K) Plafonnement aide'!I101</f>
        <v>29.991860497206215</v>
      </c>
      <c r="O102" s="131">
        <f t="shared" si="10"/>
        <v>55.372948642889199</v>
      </c>
      <c r="P102" s="48">
        <f t="shared" si="11"/>
        <v>0</v>
      </c>
      <c r="Q102" s="58">
        <f t="shared" si="15"/>
        <v>0</v>
      </c>
      <c r="R102" s="152">
        <f t="shared" si="12"/>
        <v>55.372948642889199</v>
      </c>
      <c r="S102" s="131">
        <f t="shared" si="13"/>
        <v>-10.627051357110801</v>
      </c>
      <c r="T102" s="151">
        <f t="shared" si="17"/>
        <v>0</v>
      </c>
      <c r="V102" s="12"/>
    </row>
    <row r="103" spans="1:22" x14ac:dyDescent="0.25">
      <c r="A103" s="50">
        <f>'A) Base RI'!A104</f>
        <v>5560</v>
      </c>
      <c r="B103" s="392" t="str">
        <f>'A) Base RI'!B104</f>
        <v>Grandevent</v>
      </c>
      <c r="C103" s="2">
        <v>103392.22637772764</v>
      </c>
      <c r="D103" s="430">
        <v>23402.093160385135</v>
      </c>
      <c r="E103" s="2">
        <v>0</v>
      </c>
      <c r="F103" s="430">
        <v>0</v>
      </c>
      <c r="G103" s="2">
        <v>0</v>
      </c>
      <c r="H103" s="395">
        <f t="shared" si="16"/>
        <v>126794.31953811277</v>
      </c>
      <c r="I103" s="157">
        <v>6446.6273529411765</v>
      </c>
      <c r="J103" s="398">
        <f>'B) D RI'!U104</f>
        <v>6263.3176470588232</v>
      </c>
      <c r="K103" s="66">
        <f t="shared" si="14"/>
        <v>19.66831842393756</v>
      </c>
      <c r="L103" s="34">
        <f>'B) D RI'!S104</f>
        <v>68</v>
      </c>
      <c r="M103" s="34">
        <f t="shared" si="9"/>
        <v>48.331681576062437</v>
      </c>
      <c r="N103" s="34">
        <f>'J) Plafonnement effort'!G102+'J) Plafonnement effort'!H102-'K) Plafonnement aide'!I102</f>
        <v>18.446528461588521</v>
      </c>
      <c r="O103" s="131">
        <f t="shared" si="10"/>
        <v>66.77821003765095</v>
      </c>
      <c r="P103" s="48">
        <f t="shared" si="11"/>
        <v>0</v>
      </c>
      <c r="Q103" s="58">
        <f t="shared" si="15"/>
        <v>0</v>
      </c>
      <c r="R103" s="152">
        <f t="shared" si="12"/>
        <v>66.77821003765095</v>
      </c>
      <c r="S103" s="131">
        <f t="shared" si="13"/>
        <v>-1.2217899623490496</v>
      </c>
      <c r="T103" s="151">
        <f t="shared" si="17"/>
        <v>0</v>
      </c>
      <c r="V103" s="12"/>
    </row>
    <row r="104" spans="1:22" x14ac:dyDescent="0.25">
      <c r="A104" s="50">
        <f>'A) Base RI'!A105</f>
        <v>5561</v>
      </c>
      <c r="B104" s="392" t="str">
        <f>'A) Base RI'!B105</f>
        <v>Grandson</v>
      </c>
      <c r="C104" s="2">
        <v>2182204.8343348298</v>
      </c>
      <c r="D104" s="430">
        <v>559501.18819028046</v>
      </c>
      <c r="E104" s="2">
        <v>0</v>
      </c>
      <c r="F104" s="430">
        <v>0</v>
      </c>
      <c r="G104" s="2">
        <v>0</v>
      </c>
      <c r="H104" s="395">
        <f t="shared" si="16"/>
        <v>2741706.0225251103</v>
      </c>
      <c r="I104" s="157">
        <v>115170.40130434782</v>
      </c>
      <c r="J104" s="398">
        <f>'B) D RI'!U105</f>
        <v>115658.41101449275</v>
      </c>
      <c r="K104" s="66">
        <f t="shared" si="14"/>
        <v>23.805647904967469</v>
      </c>
      <c r="L104" s="34">
        <f>'B) D RI'!S105</f>
        <v>69</v>
      </c>
      <c r="M104" s="34">
        <f t="shared" si="9"/>
        <v>45.194352095032528</v>
      </c>
      <c r="N104" s="34">
        <f>'J) Plafonnement effort'!G103+'J) Plafonnement effort'!H103-'K) Plafonnement aide'!I103</f>
        <v>16.884871529202925</v>
      </c>
      <c r="O104" s="131">
        <f t="shared" si="10"/>
        <v>62.079223624235453</v>
      </c>
      <c r="P104" s="48">
        <f t="shared" si="11"/>
        <v>0</v>
      </c>
      <c r="Q104" s="58">
        <f t="shared" si="15"/>
        <v>0</v>
      </c>
      <c r="R104" s="152">
        <f t="shared" si="12"/>
        <v>62.079223624235453</v>
      </c>
      <c r="S104" s="131">
        <f t="shared" si="13"/>
        <v>-6.9207763757645466</v>
      </c>
      <c r="T104" s="151">
        <f t="shared" si="17"/>
        <v>0</v>
      </c>
      <c r="V104" s="12"/>
    </row>
    <row r="105" spans="1:22" x14ac:dyDescent="0.25">
      <c r="A105" s="50">
        <f>'A) Base RI'!A106</f>
        <v>5562</v>
      </c>
      <c r="B105" s="392" t="str">
        <f>'A) Base RI'!B106</f>
        <v>Mauborget</v>
      </c>
      <c r="C105" s="2">
        <v>63392.48660933182</v>
      </c>
      <c r="D105" s="430">
        <v>19419.382262072642</v>
      </c>
      <c r="E105" s="2">
        <v>0</v>
      </c>
      <c r="F105" s="430">
        <v>0</v>
      </c>
      <c r="G105" s="2">
        <v>0</v>
      </c>
      <c r="H105" s="395">
        <f t="shared" si="16"/>
        <v>82811.868871404469</v>
      </c>
      <c r="I105" s="157">
        <v>3662.5545714285713</v>
      </c>
      <c r="J105" s="398">
        <f>'B) D RI'!U106</f>
        <v>5902.7637857142863</v>
      </c>
      <c r="K105" s="66">
        <f t="shared" si="14"/>
        <v>22.610412283660221</v>
      </c>
      <c r="L105" s="34">
        <f>'B) D RI'!S106</f>
        <v>70</v>
      </c>
      <c r="M105" s="34">
        <f t="shared" si="9"/>
        <v>47.389587716339776</v>
      </c>
      <c r="N105" s="34">
        <f>'J) Plafonnement effort'!G104+'J) Plafonnement effort'!H104-'K) Plafonnement aide'!I104</f>
        <v>33.923734058592316</v>
      </c>
      <c r="O105" s="131">
        <f t="shared" si="10"/>
        <v>81.313321774932092</v>
      </c>
      <c r="P105" s="48">
        <f t="shared" si="11"/>
        <v>0</v>
      </c>
      <c r="Q105" s="58">
        <f t="shared" si="15"/>
        <v>0</v>
      </c>
      <c r="R105" s="152">
        <f t="shared" si="12"/>
        <v>81.313321774932092</v>
      </c>
      <c r="S105" s="131">
        <f t="shared" si="13"/>
        <v>11.313321774932092</v>
      </c>
      <c r="T105" s="151">
        <f t="shared" si="17"/>
        <v>0</v>
      </c>
      <c r="V105" s="12"/>
    </row>
    <row r="106" spans="1:22" x14ac:dyDescent="0.25">
      <c r="A106" s="50">
        <f>'A) Base RI'!A107</f>
        <v>5563</v>
      </c>
      <c r="B106" s="392" t="str">
        <f>'A) Base RI'!B107</f>
        <v>Mutrux</v>
      </c>
      <c r="C106" s="2">
        <v>78044.999398174492</v>
      </c>
      <c r="D106" s="430">
        <v>-10891.731074937954</v>
      </c>
      <c r="E106" s="2">
        <v>0</v>
      </c>
      <c r="F106" s="430">
        <v>0</v>
      </c>
      <c r="G106" s="2">
        <v>0</v>
      </c>
      <c r="H106" s="395">
        <f t="shared" si="16"/>
        <v>67153.268323236538</v>
      </c>
      <c r="I106" s="157">
        <v>4275.1686624203812</v>
      </c>
      <c r="J106" s="398">
        <f>'B) D RI'!U107</f>
        <v>3109.2766878980892</v>
      </c>
      <c r="K106" s="66">
        <f t="shared" si="14"/>
        <v>15.70774713838256</v>
      </c>
      <c r="L106" s="34">
        <f>'B) D RI'!S107</f>
        <v>78.5</v>
      </c>
      <c r="M106" s="34">
        <f t="shared" si="9"/>
        <v>62.792252861617442</v>
      </c>
      <c r="N106" s="34">
        <f>'J) Plafonnement effort'!G105+'J) Plafonnement effort'!H105-'K) Plafonnement aide'!I105</f>
        <v>-13.769057289142619</v>
      </c>
      <c r="O106" s="131">
        <f t="shared" si="10"/>
        <v>49.023195572474819</v>
      </c>
      <c r="P106" s="48">
        <f t="shared" si="11"/>
        <v>0</v>
      </c>
      <c r="Q106" s="58">
        <f t="shared" si="15"/>
        <v>0</v>
      </c>
      <c r="R106" s="152">
        <f t="shared" si="12"/>
        <v>49.023195572474819</v>
      </c>
      <c r="S106" s="131">
        <f t="shared" si="13"/>
        <v>-29.476804427525181</v>
      </c>
      <c r="T106" s="151">
        <f t="shared" si="17"/>
        <v>0</v>
      </c>
      <c r="V106" s="12"/>
    </row>
    <row r="107" spans="1:22" x14ac:dyDescent="0.25">
      <c r="A107" s="50">
        <f>'A) Base RI'!A108</f>
        <v>5564</v>
      </c>
      <c r="B107" s="392" t="str">
        <f>'A) Base RI'!B108</f>
        <v>Novalles</v>
      </c>
      <c r="C107" s="2">
        <v>46157.290294648425</v>
      </c>
      <c r="D107" s="430">
        <v>-29050.113465528724</v>
      </c>
      <c r="E107" s="2">
        <v>0</v>
      </c>
      <c r="F107" s="430">
        <v>0</v>
      </c>
      <c r="G107" s="2">
        <v>0</v>
      </c>
      <c r="H107" s="395">
        <f t="shared" si="16"/>
        <v>17107.1768291197</v>
      </c>
      <c r="I107" s="157">
        <v>2063.0078618421053</v>
      </c>
      <c r="J107" s="398">
        <f>'B) D RI'!U108</f>
        <v>2625.7898355263155</v>
      </c>
      <c r="K107" s="66">
        <f t="shared" si="14"/>
        <v>8.2923468909344464</v>
      </c>
      <c r="L107" s="34">
        <f>'B) D RI'!S108</f>
        <v>76</v>
      </c>
      <c r="M107" s="34">
        <f t="shared" si="9"/>
        <v>67.707653109065546</v>
      </c>
      <c r="N107" s="34">
        <f>'J) Plafonnement effort'!G106+'J) Plafonnement effort'!H106-'K) Plafonnement aide'!I106</f>
        <v>12.935467376641014</v>
      </c>
      <c r="O107" s="131">
        <f t="shared" si="10"/>
        <v>80.643120485706561</v>
      </c>
      <c r="P107" s="48">
        <f t="shared" si="11"/>
        <v>0</v>
      </c>
      <c r="Q107" s="58">
        <f t="shared" si="15"/>
        <v>0</v>
      </c>
      <c r="R107" s="152">
        <f t="shared" si="12"/>
        <v>80.643120485706561</v>
      </c>
      <c r="S107" s="131">
        <f t="shared" si="13"/>
        <v>4.6431204857065609</v>
      </c>
      <c r="T107" s="151">
        <f t="shared" si="17"/>
        <v>0</v>
      </c>
      <c r="V107" s="12"/>
    </row>
    <row r="108" spans="1:22" x14ac:dyDescent="0.25">
      <c r="A108" s="50">
        <f>'A) Base RI'!A109</f>
        <v>5565</v>
      </c>
      <c r="B108" s="392" t="str">
        <f>'A) Base RI'!B109</f>
        <v>Onnens</v>
      </c>
      <c r="C108" s="2">
        <v>288305.00604240404</v>
      </c>
      <c r="D108" s="430">
        <v>207323.07012476315</v>
      </c>
      <c r="E108" s="2">
        <v>0</v>
      </c>
      <c r="F108" s="430">
        <v>0</v>
      </c>
      <c r="G108" s="2">
        <v>0</v>
      </c>
      <c r="H108" s="395">
        <f t="shared" si="16"/>
        <v>495628.07616716716</v>
      </c>
      <c r="I108" s="157">
        <v>17902.806410256413</v>
      </c>
      <c r="J108" s="398">
        <f>'B) D RI'!U109</f>
        <v>18487.846307692304</v>
      </c>
      <c r="K108" s="66">
        <f t="shared" si="14"/>
        <v>27.684378907388773</v>
      </c>
      <c r="L108" s="34">
        <f>'B) D RI'!S109</f>
        <v>65</v>
      </c>
      <c r="M108" s="34">
        <f t="shared" si="9"/>
        <v>37.315621092611224</v>
      </c>
      <c r="N108" s="34">
        <f>'J) Plafonnement effort'!G107+'J) Plafonnement effort'!H107-'K) Plafonnement aide'!I107</f>
        <v>29.803351265687041</v>
      </c>
      <c r="O108" s="131">
        <f t="shared" si="10"/>
        <v>67.118972358298265</v>
      </c>
      <c r="P108" s="48">
        <f t="shared" si="11"/>
        <v>0</v>
      </c>
      <c r="Q108" s="58">
        <f t="shared" si="15"/>
        <v>0</v>
      </c>
      <c r="R108" s="152">
        <f t="shared" si="12"/>
        <v>67.118972358298265</v>
      </c>
      <c r="S108" s="131">
        <f t="shared" si="13"/>
        <v>2.1189723582982651</v>
      </c>
      <c r="T108" s="151">
        <f t="shared" si="17"/>
        <v>0</v>
      </c>
      <c r="V108" s="12"/>
    </row>
    <row r="109" spans="1:22" x14ac:dyDescent="0.25">
      <c r="A109" s="50">
        <f>'A) Base RI'!A110</f>
        <v>5566</v>
      </c>
      <c r="B109" s="392" t="str">
        <f>'A) Base RI'!B110</f>
        <v>Provence</v>
      </c>
      <c r="C109" s="2">
        <v>177842.89924823426</v>
      </c>
      <c r="D109" s="430">
        <v>-113817.2140037581</v>
      </c>
      <c r="E109" s="2">
        <v>0</v>
      </c>
      <c r="F109" s="430">
        <v>0</v>
      </c>
      <c r="G109" s="2">
        <v>0</v>
      </c>
      <c r="H109" s="395">
        <f t="shared" si="16"/>
        <v>64025.685244476161</v>
      </c>
      <c r="I109" s="157">
        <v>8605.0976954732487</v>
      </c>
      <c r="J109" s="398">
        <f>'B) D RI'!U110</f>
        <v>7938.210164609055</v>
      </c>
      <c r="K109" s="66">
        <f t="shared" si="14"/>
        <v>7.4404367632173622</v>
      </c>
      <c r="L109" s="34">
        <f>'B) D RI'!S110</f>
        <v>81</v>
      </c>
      <c r="M109" s="34">
        <f t="shared" si="9"/>
        <v>73.559563236782637</v>
      </c>
      <c r="N109" s="34">
        <f>'J) Plafonnement effort'!G108+'J) Plafonnement effort'!H108-'K) Plafonnement aide'!I108</f>
        <v>-25.813245184024041</v>
      </c>
      <c r="O109" s="131">
        <f t="shared" si="10"/>
        <v>47.746318052758596</v>
      </c>
      <c r="P109" s="48">
        <f t="shared" si="11"/>
        <v>0</v>
      </c>
      <c r="Q109" s="58">
        <f t="shared" si="15"/>
        <v>0</v>
      </c>
      <c r="R109" s="152">
        <f t="shared" si="12"/>
        <v>47.746318052758596</v>
      </c>
      <c r="S109" s="131">
        <f t="shared" si="13"/>
        <v>-33.253681947241404</v>
      </c>
      <c r="T109" s="151">
        <f t="shared" si="17"/>
        <v>0</v>
      </c>
      <c r="V109" s="12"/>
    </row>
    <row r="110" spans="1:22" x14ac:dyDescent="0.25">
      <c r="A110" s="50">
        <f>'A) Base RI'!A111</f>
        <v>5568</v>
      </c>
      <c r="B110" s="392" t="str">
        <f>'A) Base RI'!B111</f>
        <v>Sainte-Croix</v>
      </c>
      <c r="C110" s="2">
        <v>2332946.2998052933</v>
      </c>
      <c r="D110" s="430">
        <v>-2306035.2513580378</v>
      </c>
      <c r="E110" s="2">
        <v>0</v>
      </c>
      <c r="F110" s="430">
        <v>0</v>
      </c>
      <c r="G110" s="2">
        <v>0</v>
      </c>
      <c r="H110" s="395">
        <f t="shared" si="16"/>
        <v>26911.048447255511</v>
      </c>
      <c r="I110" s="157">
        <v>96229.339714285714</v>
      </c>
      <c r="J110" s="398">
        <f>'B) D RI'!U111</f>
        <v>99640.524428571414</v>
      </c>
      <c r="K110" s="66">
        <f t="shared" si="14"/>
        <v>0.27965533720959779</v>
      </c>
      <c r="L110" s="34">
        <f>'B) D RI'!S111</f>
        <v>70</v>
      </c>
      <c r="M110" s="34">
        <f t="shared" si="9"/>
        <v>69.720344662790396</v>
      </c>
      <c r="N110" s="34">
        <f>'J) Plafonnement effort'!G109+'J) Plafonnement effort'!H109-'K) Plafonnement aide'!I109</f>
        <v>-8.9636236526447117</v>
      </c>
      <c r="O110" s="131">
        <f t="shared" si="10"/>
        <v>60.756721010145682</v>
      </c>
      <c r="P110" s="48">
        <f t="shared" si="11"/>
        <v>0</v>
      </c>
      <c r="Q110" s="58">
        <f t="shared" si="15"/>
        <v>0</v>
      </c>
      <c r="R110" s="152">
        <f t="shared" si="12"/>
        <v>60.756721010145682</v>
      </c>
      <c r="S110" s="131">
        <f t="shared" si="13"/>
        <v>-9.2432789898543177</v>
      </c>
      <c r="T110" s="151">
        <f t="shared" si="17"/>
        <v>0</v>
      </c>
      <c r="V110" s="12"/>
    </row>
    <row r="111" spans="1:22" x14ac:dyDescent="0.25">
      <c r="A111" s="50">
        <f>'A) Base RI'!A112</f>
        <v>5571</v>
      </c>
      <c r="B111" s="392" t="str">
        <f>'A) Base RI'!B112</f>
        <v>Tévenon</v>
      </c>
      <c r="C111" s="2">
        <v>515073.76611054526</v>
      </c>
      <c r="D111" s="430">
        <v>114.80876377411187</v>
      </c>
      <c r="E111" s="2">
        <v>0</v>
      </c>
      <c r="F111" s="430">
        <v>0</v>
      </c>
      <c r="G111" s="2">
        <v>0</v>
      </c>
      <c r="H111" s="395">
        <f t="shared" si="16"/>
        <v>515188.57487431937</v>
      </c>
      <c r="I111" s="157">
        <v>20963.465799086756</v>
      </c>
      <c r="J111" s="398">
        <f>'B) D RI'!U112</f>
        <v>21324.629931506846</v>
      </c>
      <c r="K111" s="66">
        <f t="shared" si="14"/>
        <v>24.575543939722163</v>
      </c>
      <c r="L111" s="34">
        <f>'B) D RI'!S112</f>
        <v>73</v>
      </c>
      <c r="M111" s="34">
        <f t="shared" si="9"/>
        <v>48.424456060277834</v>
      </c>
      <c r="N111" s="34">
        <f>'J) Plafonnement effort'!G110+'J) Plafonnement effort'!H110-'K) Plafonnement aide'!I110</f>
        <v>8.2169488893302365</v>
      </c>
      <c r="O111" s="131">
        <f t="shared" si="10"/>
        <v>56.641404949608074</v>
      </c>
      <c r="P111" s="48">
        <f t="shared" si="11"/>
        <v>0</v>
      </c>
      <c r="Q111" s="58">
        <f t="shared" si="15"/>
        <v>0</v>
      </c>
      <c r="R111" s="152">
        <f t="shared" si="12"/>
        <v>56.641404949608074</v>
      </c>
      <c r="S111" s="131">
        <f t="shared" si="13"/>
        <v>-16.358595050391926</v>
      </c>
      <c r="T111" s="151">
        <f t="shared" si="17"/>
        <v>0</v>
      </c>
      <c r="V111" s="12"/>
    </row>
    <row r="112" spans="1:22" x14ac:dyDescent="0.25">
      <c r="A112" s="50">
        <f>'A) Base RI'!A113</f>
        <v>5581</v>
      </c>
      <c r="B112" s="392" t="str">
        <f>'A) Base RI'!B113</f>
        <v>Belmont-sur-Lausanne</v>
      </c>
      <c r="C112" s="2">
        <v>3150862.8495600861</v>
      </c>
      <c r="D112" s="430">
        <v>2450887.1714229435</v>
      </c>
      <c r="E112" s="2">
        <v>0</v>
      </c>
      <c r="F112" s="430">
        <v>0</v>
      </c>
      <c r="G112" s="2">
        <v>0</v>
      </c>
      <c r="H112" s="395">
        <f t="shared" si="16"/>
        <v>5601750.0209830292</v>
      </c>
      <c r="I112" s="157">
        <v>187042.91923261393</v>
      </c>
      <c r="J112" s="398">
        <f>'B) D RI'!U113</f>
        <v>192051.94455635498</v>
      </c>
      <c r="K112" s="66">
        <f t="shared" si="14"/>
        <v>29.949008730004223</v>
      </c>
      <c r="L112" s="34">
        <f>'B) D RI'!S113</f>
        <v>69.5</v>
      </c>
      <c r="M112" s="34">
        <f t="shared" si="9"/>
        <v>39.550991269995777</v>
      </c>
      <c r="N112" s="34">
        <f>'J) Plafonnement effort'!G111+'J) Plafonnement effort'!H111-'K) Plafonnement aide'!I111</f>
        <v>32.228164074237107</v>
      </c>
      <c r="O112" s="131">
        <f t="shared" si="10"/>
        <v>71.77915534423289</v>
      </c>
      <c r="P112" s="48">
        <f t="shared" si="11"/>
        <v>0</v>
      </c>
      <c r="Q112" s="58">
        <f t="shared" si="15"/>
        <v>0</v>
      </c>
      <c r="R112" s="152">
        <f t="shared" si="12"/>
        <v>71.77915534423289</v>
      </c>
      <c r="S112" s="131">
        <f t="shared" si="13"/>
        <v>2.2791553442328905</v>
      </c>
      <c r="T112" s="151">
        <f t="shared" si="17"/>
        <v>0</v>
      </c>
      <c r="V112" s="12"/>
    </row>
    <row r="113" spans="1:22" x14ac:dyDescent="0.25">
      <c r="A113" s="50">
        <f>'A) Base RI'!A114</f>
        <v>5582</v>
      </c>
      <c r="B113" s="392" t="str">
        <f>'A) Base RI'!B114</f>
        <v>Cheseaux-sur-Lausanne</v>
      </c>
      <c r="C113" s="2">
        <v>3528663.4510750086</v>
      </c>
      <c r="D113" s="430">
        <v>2376607.3937137197</v>
      </c>
      <c r="E113" s="2">
        <v>0</v>
      </c>
      <c r="F113" s="430">
        <v>0</v>
      </c>
      <c r="G113" s="2">
        <v>0</v>
      </c>
      <c r="H113" s="395">
        <f t="shared" si="16"/>
        <v>5905270.8447887283</v>
      </c>
      <c r="I113" s="157">
        <v>203617.184295302</v>
      </c>
      <c r="J113" s="398">
        <f>'B) D RI'!U114</f>
        <v>179002.65087248324</v>
      </c>
      <c r="K113" s="66">
        <f t="shared" si="14"/>
        <v>29.001829414478252</v>
      </c>
      <c r="L113" s="34">
        <f>'B) D RI'!S114</f>
        <v>74.5</v>
      </c>
      <c r="M113" s="34">
        <f t="shared" si="9"/>
        <v>45.498170585521748</v>
      </c>
      <c r="N113" s="34">
        <f>'J) Plafonnement effort'!G112+'J) Plafonnement effort'!H112-'K) Plafonnement aide'!I112</f>
        <v>24.071808143206493</v>
      </c>
      <c r="O113" s="131">
        <f t="shared" si="10"/>
        <v>69.569978728728245</v>
      </c>
      <c r="P113" s="48">
        <f t="shared" si="11"/>
        <v>0</v>
      </c>
      <c r="Q113" s="58">
        <f t="shared" si="15"/>
        <v>0</v>
      </c>
      <c r="R113" s="152">
        <f t="shared" si="12"/>
        <v>69.569978728728245</v>
      </c>
      <c r="S113" s="131">
        <f t="shared" si="13"/>
        <v>-4.9300212712717553</v>
      </c>
      <c r="T113" s="151">
        <f t="shared" si="17"/>
        <v>0</v>
      </c>
      <c r="V113" s="12"/>
    </row>
    <row r="114" spans="1:22" x14ac:dyDescent="0.25">
      <c r="A114" s="50">
        <f>'A) Base RI'!A115</f>
        <v>5583</v>
      </c>
      <c r="B114" s="392" t="str">
        <f>'A) Base RI'!B115</f>
        <v>Crissier</v>
      </c>
      <c r="C114" s="2">
        <v>5553587.0135514196</v>
      </c>
      <c r="D114" s="430">
        <v>1951734.1030768054</v>
      </c>
      <c r="E114" s="2">
        <v>0</v>
      </c>
      <c r="F114" s="430">
        <v>0</v>
      </c>
      <c r="G114" s="2">
        <v>0</v>
      </c>
      <c r="H114" s="395">
        <f t="shared" si="16"/>
        <v>7505321.116628225</v>
      </c>
      <c r="I114" s="157">
        <v>311741.22092307697</v>
      </c>
      <c r="J114" s="398">
        <f>'B) D RI'!U115</f>
        <v>294545.40292307688</v>
      </c>
      <c r="K114" s="66">
        <f t="shared" si="14"/>
        <v>24.075485091142902</v>
      </c>
      <c r="L114" s="34">
        <f>'B) D RI'!S115</f>
        <v>65</v>
      </c>
      <c r="M114" s="34">
        <f t="shared" si="9"/>
        <v>40.924514908857098</v>
      </c>
      <c r="N114" s="34">
        <f>'J) Plafonnement effort'!G113+'J) Plafonnement effort'!H113-'K) Plafonnement aide'!I113</f>
        <v>15.035771914535184</v>
      </c>
      <c r="O114" s="131">
        <f t="shared" si="10"/>
        <v>55.960286823392281</v>
      </c>
      <c r="P114" s="48">
        <f t="shared" si="11"/>
        <v>0</v>
      </c>
      <c r="Q114" s="58">
        <f t="shared" si="15"/>
        <v>0</v>
      </c>
      <c r="R114" s="152">
        <f t="shared" si="12"/>
        <v>55.960286823392281</v>
      </c>
      <c r="S114" s="131">
        <f t="shared" si="13"/>
        <v>-9.0397131766077194</v>
      </c>
      <c r="T114" s="151">
        <f t="shared" si="17"/>
        <v>0</v>
      </c>
      <c r="V114" s="12"/>
    </row>
    <row r="115" spans="1:22" x14ac:dyDescent="0.25">
      <c r="A115" s="50">
        <f>'A) Base RI'!A116</f>
        <v>5584</v>
      </c>
      <c r="B115" s="392" t="str">
        <f>'A) Base RI'!B116</f>
        <v>Epalinges</v>
      </c>
      <c r="C115" s="2">
        <v>9152085.4364637248</v>
      </c>
      <c r="D115" s="430">
        <v>4180302.8410822526</v>
      </c>
      <c r="E115" s="2">
        <v>0</v>
      </c>
      <c r="F115" s="430">
        <v>0</v>
      </c>
      <c r="G115" s="2">
        <v>0</v>
      </c>
      <c r="H115" s="395">
        <f t="shared" si="16"/>
        <v>13332388.277545977</v>
      </c>
      <c r="I115" s="157">
        <v>455692.51</v>
      </c>
      <c r="J115" s="398">
        <f>'B) D RI'!U116</f>
        <v>414398.09409090912</v>
      </c>
      <c r="K115" s="66">
        <f t="shared" si="14"/>
        <v>29.257422461356622</v>
      </c>
      <c r="L115" s="34">
        <f>'B) D RI'!S116</f>
        <v>66</v>
      </c>
      <c r="M115" s="34">
        <f t="shared" ref="M115:M166" si="18">L115-K115</f>
        <v>36.742577538643374</v>
      </c>
      <c r="N115" s="34">
        <f>'J) Plafonnement effort'!G114+'J) Plafonnement effort'!H114-'K) Plafonnement aide'!I114</f>
        <v>19.596280446117156</v>
      </c>
      <c r="O115" s="131">
        <f t="shared" ref="O115:O166" si="19">M115+N115</f>
        <v>56.33885798476053</v>
      </c>
      <c r="P115" s="48">
        <f t="shared" ref="P115:P166" si="20">IF(O115&gt;$P$5,$P$5-O115,0)</f>
        <v>0</v>
      </c>
      <c r="Q115" s="58">
        <f t="shared" si="15"/>
        <v>0</v>
      </c>
      <c r="R115" s="152">
        <f t="shared" ref="R115:R166" si="21">O115+P115</f>
        <v>56.33885798476053</v>
      </c>
      <c r="S115" s="131">
        <f t="shared" ref="S115:S166" si="22">R115-L115</f>
        <v>-9.66114201523947</v>
      </c>
      <c r="T115" s="151">
        <f t="shared" si="17"/>
        <v>0</v>
      </c>
      <c r="V115" s="12"/>
    </row>
    <row r="116" spans="1:22" x14ac:dyDescent="0.25">
      <c r="A116" s="50">
        <f>'A) Base RI'!A117</f>
        <v>5585</v>
      </c>
      <c r="B116" s="392" t="str">
        <f>'A) Base RI'!B117</f>
        <v>Jouxtens-Mézery</v>
      </c>
      <c r="C116" s="2">
        <v>6391322.2221203959</v>
      </c>
      <c r="D116" s="430">
        <v>2972080.2347928728</v>
      </c>
      <c r="E116" s="2">
        <v>0</v>
      </c>
      <c r="F116" s="430">
        <v>-293825.10408308031</v>
      </c>
      <c r="G116" s="2">
        <v>0</v>
      </c>
      <c r="H116" s="395">
        <f t="shared" si="16"/>
        <v>9069577.3528301883</v>
      </c>
      <c r="I116" s="157">
        <v>201546.16339622639</v>
      </c>
      <c r="J116" s="398">
        <f>'B) D RI'!U117</f>
        <v>171586.66471698115</v>
      </c>
      <c r="K116" s="66">
        <f t="shared" si="14"/>
        <v>45.000000000000007</v>
      </c>
      <c r="L116" s="34">
        <f>'B) D RI'!S117</f>
        <v>53</v>
      </c>
      <c r="M116" s="34">
        <f t="shared" si="18"/>
        <v>7.9999999999999929</v>
      </c>
      <c r="N116" s="34">
        <f>'J) Plafonnement effort'!G115+'J) Plafonnement effort'!H115-'K) Plafonnement aide'!I115</f>
        <v>45</v>
      </c>
      <c r="O116" s="131">
        <f t="shared" si="19"/>
        <v>52.999999999999993</v>
      </c>
      <c r="P116" s="48">
        <f t="shared" si="20"/>
        <v>0</v>
      </c>
      <c r="Q116" s="58">
        <f t="shared" si="15"/>
        <v>0</v>
      </c>
      <c r="R116" s="152">
        <f t="shared" si="21"/>
        <v>52.999999999999993</v>
      </c>
      <c r="S116" s="131">
        <f t="shared" si="22"/>
        <v>0</v>
      </c>
      <c r="T116" s="151">
        <f t="shared" si="17"/>
        <v>0</v>
      </c>
      <c r="V116" s="12"/>
    </row>
    <row r="117" spans="1:22" x14ac:dyDescent="0.25">
      <c r="A117" s="50">
        <f>'A) Base RI'!A118</f>
        <v>5586</v>
      </c>
      <c r="B117" s="392" t="str">
        <f>'A) Base RI'!B118</f>
        <v>Lausanne</v>
      </c>
      <c r="C117" s="2">
        <v>107536585.06442791</v>
      </c>
      <c r="D117" s="430">
        <v>-25054113.208478138</v>
      </c>
      <c r="E117" s="2">
        <v>0</v>
      </c>
      <c r="F117" s="430">
        <v>0</v>
      </c>
      <c r="G117" s="2">
        <v>0</v>
      </c>
      <c r="H117" s="395">
        <f t="shared" si="16"/>
        <v>82482471.855949774</v>
      </c>
      <c r="I117" s="157">
        <v>6075429.3645991571</v>
      </c>
      <c r="J117" s="398">
        <f>'B) D RI'!U118</f>
        <v>5871810.1056962032</v>
      </c>
      <c r="K117" s="66">
        <f t="shared" ref="K117:K167" si="23">H117/I117</f>
        <v>13.576402078932206</v>
      </c>
      <c r="L117" s="34">
        <f>'B) D RI'!S118</f>
        <v>79</v>
      </c>
      <c r="M117" s="34">
        <f t="shared" si="18"/>
        <v>65.423597921067795</v>
      </c>
      <c r="N117" s="34">
        <f>'J) Plafonnement effort'!G116+'J) Plafonnement effort'!H116-'K) Plafonnement aide'!I116</f>
        <v>5.5455079817095339</v>
      </c>
      <c r="O117" s="131">
        <f t="shared" si="19"/>
        <v>70.969105902777329</v>
      </c>
      <c r="P117" s="48">
        <f t="shared" si="20"/>
        <v>0</v>
      </c>
      <c r="Q117" s="58">
        <f t="shared" si="15"/>
        <v>0</v>
      </c>
      <c r="R117" s="152">
        <f t="shared" si="21"/>
        <v>70.969105902777329</v>
      </c>
      <c r="S117" s="131">
        <f t="shared" si="22"/>
        <v>-8.0308940972226708</v>
      </c>
      <c r="T117" s="151">
        <f t="shared" si="17"/>
        <v>0</v>
      </c>
      <c r="V117" s="12"/>
    </row>
    <row r="118" spans="1:22" x14ac:dyDescent="0.25">
      <c r="A118" s="50">
        <f>'A) Base RI'!A119</f>
        <v>5587</v>
      </c>
      <c r="B118" s="392" t="str">
        <f>'A) Base RI'!B119</f>
        <v>Le Mont-sur-Lausanne</v>
      </c>
      <c r="C118" s="2">
        <v>7348713.6283689076</v>
      </c>
      <c r="D118" s="430">
        <v>4294704.2289357213</v>
      </c>
      <c r="E118" s="2">
        <v>0</v>
      </c>
      <c r="F118" s="430">
        <v>0</v>
      </c>
      <c r="G118" s="2">
        <v>0</v>
      </c>
      <c r="H118" s="395">
        <f t="shared" si="16"/>
        <v>11643417.857304629</v>
      </c>
      <c r="I118" s="157">
        <v>413343.80273333337</v>
      </c>
      <c r="J118" s="398">
        <f>'B) D RI'!U119</f>
        <v>415945.64633333334</v>
      </c>
      <c r="K118" s="66">
        <f t="shared" si="23"/>
        <v>28.168845838040347</v>
      </c>
      <c r="L118" s="34">
        <f>'B) D RI'!S119</f>
        <v>75</v>
      </c>
      <c r="M118" s="34">
        <f t="shared" si="18"/>
        <v>46.831154161959653</v>
      </c>
      <c r="N118" s="34">
        <f>'J) Plafonnement effort'!G117+'J) Plafonnement effort'!H117-'K) Plafonnement aide'!I117</f>
        <v>25.767086209752218</v>
      </c>
      <c r="O118" s="131">
        <f t="shared" si="19"/>
        <v>72.598240371711867</v>
      </c>
      <c r="P118" s="48">
        <f t="shared" si="20"/>
        <v>0</v>
      </c>
      <c r="Q118" s="58">
        <f t="shared" ref="Q118:Q167" si="24">P118*J118</f>
        <v>0</v>
      </c>
      <c r="R118" s="152">
        <f t="shared" si="21"/>
        <v>72.598240371711867</v>
      </c>
      <c r="S118" s="131">
        <f t="shared" si="22"/>
        <v>-2.4017596282881328</v>
      </c>
      <c r="T118" s="151">
        <f t="shared" si="17"/>
        <v>0</v>
      </c>
      <c r="V118" s="12"/>
    </row>
    <row r="119" spans="1:22" x14ac:dyDescent="0.25">
      <c r="A119" s="50">
        <f>'A) Base RI'!A120</f>
        <v>5588</v>
      </c>
      <c r="B119" s="392" t="str">
        <f>'A) Base RI'!B120</f>
        <v>Paudex</v>
      </c>
      <c r="C119" s="2">
        <v>4636858.973893242</v>
      </c>
      <c r="D119" s="430">
        <v>2409460.4773391462</v>
      </c>
      <c r="E119" s="2">
        <v>0</v>
      </c>
      <c r="F119" s="430">
        <v>0</v>
      </c>
      <c r="G119" s="2">
        <v>0</v>
      </c>
      <c r="H119" s="395">
        <f t="shared" si="16"/>
        <v>7046319.4512323886</v>
      </c>
      <c r="I119" s="157">
        <v>160000.57716608592</v>
      </c>
      <c r="J119" s="398">
        <f>'B) D RI'!U120</f>
        <v>147210.22826945415</v>
      </c>
      <c r="K119" s="66">
        <f t="shared" si="23"/>
        <v>44.039337707626359</v>
      </c>
      <c r="L119" s="34">
        <f>'B) D RI'!S120</f>
        <v>61.5</v>
      </c>
      <c r="M119" s="34">
        <f t="shared" si="18"/>
        <v>17.460662292373641</v>
      </c>
      <c r="N119" s="34">
        <f>'J) Plafonnement effort'!G118+'J) Plafonnement effort'!H118-'K) Plafonnement aide'!I118</f>
        <v>45</v>
      </c>
      <c r="O119" s="131">
        <f t="shared" si="19"/>
        <v>62.460662292373641</v>
      </c>
      <c r="P119" s="48">
        <f t="shared" si="20"/>
        <v>0</v>
      </c>
      <c r="Q119" s="58">
        <f t="shared" si="24"/>
        <v>0</v>
      </c>
      <c r="R119" s="152">
        <f t="shared" si="21"/>
        <v>62.460662292373641</v>
      </c>
      <c r="S119" s="131">
        <f t="shared" si="22"/>
        <v>0.96066229237364098</v>
      </c>
      <c r="T119" s="151">
        <f t="shared" si="17"/>
        <v>0</v>
      </c>
      <c r="V119" s="12"/>
    </row>
    <row r="120" spans="1:22" x14ac:dyDescent="0.25">
      <c r="A120" s="50">
        <f>'A) Base RI'!A121</f>
        <v>5589</v>
      </c>
      <c r="B120" s="392" t="str">
        <f>'A) Base RI'!B121</f>
        <v>Prilly</v>
      </c>
      <c r="C120" s="2">
        <v>8202721.6966108289</v>
      </c>
      <c r="D120" s="430">
        <v>-478492.10070765112</v>
      </c>
      <c r="E120" s="2">
        <v>0</v>
      </c>
      <c r="F120" s="430">
        <v>0</v>
      </c>
      <c r="G120" s="2">
        <v>0</v>
      </c>
      <c r="H120" s="395">
        <f t="shared" si="16"/>
        <v>7724229.5959031777</v>
      </c>
      <c r="I120" s="157">
        <v>437574.2323809524</v>
      </c>
      <c r="J120" s="398">
        <f>'B) D RI'!U121</f>
        <v>397261.42585034011</v>
      </c>
      <c r="K120" s="66">
        <f t="shared" si="23"/>
        <v>17.652386782177928</v>
      </c>
      <c r="L120" s="34">
        <f>'B) D RI'!S121</f>
        <v>73.5</v>
      </c>
      <c r="M120" s="34">
        <f t="shared" si="18"/>
        <v>55.847613217822072</v>
      </c>
      <c r="N120" s="34">
        <f>'J) Plafonnement effort'!G119+'J) Plafonnement effort'!H119-'K) Plafonnement aide'!I119</f>
        <v>7.9364777288371409</v>
      </c>
      <c r="O120" s="131">
        <f t="shared" si="19"/>
        <v>63.784090946659212</v>
      </c>
      <c r="P120" s="48">
        <f t="shared" si="20"/>
        <v>0</v>
      </c>
      <c r="Q120" s="58">
        <f t="shared" si="24"/>
        <v>0</v>
      </c>
      <c r="R120" s="152">
        <f t="shared" si="21"/>
        <v>63.784090946659212</v>
      </c>
      <c r="S120" s="131">
        <f t="shared" si="22"/>
        <v>-9.7159090533407877</v>
      </c>
      <c r="T120" s="151">
        <f t="shared" si="17"/>
        <v>0</v>
      </c>
      <c r="V120" s="12"/>
    </row>
    <row r="121" spans="1:22" x14ac:dyDescent="0.25">
      <c r="A121" s="50">
        <f>'A) Base RI'!A122</f>
        <v>5590</v>
      </c>
      <c r="B121" s="392" t="str">
        <f>'A) Base RI'!B122</f>
        <v>Pully</v>
      </c>
      <c r="C121" s="2">
        <v>34357053.464080453</v>
      </c>
      <c r="D121" s="430">
        <v>12484946.515926488</v>
      </c>
      <c r="E121" s="2">
        <v>0</v>
      </c>
      <c r="F121" s="430">
        <v>0</v>
      </c>
      <c r="G121" s="2">
        <v>0</v>
      </c>
      <c r="H121" s="395">
        <f t="shared" si="16"/>
        <v>46841999.980006941</v>
      </c>
      <c r="I121" s="157">
        <v>1422298.2200936768</v>
      </c>
      <c r="J121" s="398">
        <f>'B) D RI'!U122</f>
        <v>1436103.5918735364</v>
      </c>
      <c r="K121" s="66">
        <f t="shared" si="23"/>
        <v>32.934021373465391</v>
      </c>
      <c r="L121" s="34">
        <f>'B) D RI'!S122</f>
        <v>61</v>
      </c>
      <c r="M121" s="34">
        <f t="shared" si="18"/>
        <v>28.065978626534609</v>
      </c>
      <c r="N121" s="34">
        <f>'J) Plafonnement effort'!G120+'J) Plafonnement effort'!H120-'K) Plafonnement aide'!I120</f>
        <v>37.159725878567748</v>
      </c>
      <c r="O121" s="131">
        <f t="shared" si="19"/>
        <v>65.225704505102357</v>
      </c>
      <c r="P121" s="48">
        <f t="shared" si="20"/>
        <v>0</v>
      </c>
      <c r="Q121" s="58">
        <f t="shared" si="24"/>
        <v>0</v>
      </c>
      <c r="R121" s="152">
        <f t="shared" si="21"/>
        <v>65.225704505102357</v>
      </c>
      <c r="S121" s="131">
        <f t="shared" si="22"/>
        <v>4.2257045051023567</v>
      </c>
      <c r="T121" s="151">
        <f t="shared" si="17"/>
        <v>0</v>
      </c>
      <c r="V121" s="12"/>
    </row>
    <row r="122" spans="1:22" x14ac:dyDescent="0.25">
      <c r="A122" s="50">
        <f>'A) Base RI'!A123</f>
        <v>5591</v>
      </c>
      <c r="B122" s="392" t="str">
        <f>'A) Base RI'!B123</f>
        <v>Renens</v>
      </c>
      <c r="C122" s="2">
        <v>9697265.5253980719</v>
      </c>
      <c r="D122" s="430">
        <v>-14775382.147624565</v>
      </c>
      <c r="E122" s="2">
        <v>1635410.4062210342</v>
      </c>
      <c r="F122" s="430">
        <v>0</v>
      </c>
      <c r="G122" s="2">
        <v>0</v>
      </c>
      <c r="H122" s="395">
        <f t="shared" si="16"/>
        <v>-3442706.2160054594</v>
      </c>
      <c r="I122" s="157">
        <v>529647.11015468603</v>
      </c>
      <c r="J122" s="398">
        <f>'B) D RI'!U123</f>
        <v>526209.31525022746</v>
      </c>
      <c r="K122" s="66">
        <f t="shared" si="23"/>
        <v>-6.5</v>
      </c>
      <c r="L122" s="34">
        <f>'B) D RI'!S123</f>
        <v>78.5</v>
      </c>
      <c r="M122" s="34">
        <f t="shared" si="18"/>
        <v>85</v>
      </c>
      <c r="N122" s="34">
        <f>'J) Plafonnement effort'!G121+'J) Plafonnement effort'!H121-'K) Plafonnement aide'!I121</f>
        <v>-18.897175215858468</v>
      </c>
      <c r="O122" s="131">
        <f t="shared" si="19"/>
        <v>66.102824784141532</v>
      </c>
      <c r="P122" s="48">
        <f t="shared" si="20"/>
        <v>0</v>
      </c>
      <c r="Q122" s="58">
        <f t="shared" si="24"/>
        <v>0</v>
      </c>
      <c r="R122" s="152">
        <f t="shared" si="21"/>
        <v>66.102824784141532</v>
      </c>
      <c r="S122" s="131">
        <f t="shared" si="22"/>
        <v>-12.397175215858468</v>
      </c>
      <c r="T122" s="151">
        <f t="shared" si="17"/>
        <v>0</v>
      </c>
      <c r="V122" s="12"/>
    </row>
    <row r="123" spans="1:22" x14ac:dyDescent="0.25">
      <c r="A123" s="50">
        <f>'A) Base RI'!A124</f>
        <v>5592</v>
      </c>
      <c r="B123" s="392" t="str">
        <f>'A) Base RI'!B124</f>
        <v>Romanel-sur-Lausanne</v>
      </c>
      <c r="C123" s="2">
        <v>1958403.5639463358</v>
      </c>
      <c r="D123" s="430">
        <v>539507.74070620188</v>
      </c>
      <c r="E123" s="2">
        <v>0</v>
      </c>
      <c r="F123" s="430">
        <v>0</v>
      </c>
      <c r="G123" s="2">
        <v>0</v>
      </c>
      <c r="H123" s="395">
        <f t="shared" si="16"/>
        <v>2497911.3046525377</v>
      </c>
      <c r="I123" s="157">
        <v>116555.94314285714</v>
      </c>
      <c r="J123" s="398">
        <f>'B) D RI'!U124</f>
        <v>111498.54042857142</v>
      </c>
      <c r="K123" s="66">
        <f t="shared" si="23"/>
        <v>21.43100761143484</v>
      </c>
      <c r="L123" s="34">
        <f>'B) D RI'!S124</f>
        <v>70</v>
      </c>
      <c r="M123" s="34">
        <f t="shared" si="18"/>
        <v>48.568992388565164</v>
      </c>
      <c r="N123" s="34">
        <f>'J) Plafonnement effort'!G122+'J) Plafonnement effort'!H122-'K) Plafonnement aide'!I122</f>
        <v>20.048488852893655</v>
      </c>
      <c r="O123" s="131">
        <f t="shared" si="19"/>
        <v>68.617481241458819</v>
      </c>
      <c r="P123" s="48">
        <f t="shared" si="20"/>
        <v>0</v>
      </c>
      <c r="Q123" s="58">
        <f t="shared" si="24"/>
        <v>0</v>
      </c>
      <c r="R123" s="152">
        <f t="shared" si="21"/>
        <v>68.617481241458819</v>
      </c>
      <c r="S123" s="131">
        <f t="shared" si="22"/>
        <v>-1.3825187585411811</v>
      </c>
      <c r="T123" s="151">
        <f t="shared" si="17"/>
        <v>0</v>
      </c>
      <c r="V123" s="12"/>
    </row>
    <row r="124" spans="1:22" x14ac:dyDescent="0.25">
      <c r="A124" s="50">
        <f>'A) Base RI'!A125</f>
        <v>5601</v>
      </c>
      <c r="B124" s="392" t="str">
        <f>'A) Base RI'!B125</f>
        <v>Chexbres</v>
      </c>
      <c r="C124" s="2">
        <v>1785479.163502777</v>
      </c>
      <c r="D124" s="430">
        <v>1326246.0986500978</v>
      </c>
      <c r="E124" s="2">
        <v>0</v>
      </c>
      <c r="F124" s="430">
        <v>0</v>
      </c>
      <c r="G124" s="2">
        <v>0</v>
      </c>
      <c r="H124" s="395">
        <f t="shared" si="16"/>
        <v>3111725.2621528748</v>
      </c>
      <c r="I124" s="157">
        <v>99746.160000000018</v>
      </c>
      <c r="J124" s="398">
        <f>'B) D RI'!U125</f>
        <v>116832.8703125</v>
      </c>
      <c r="K124" s="66">
        <f t="shared" si="23"/>
        <v>31.196441669061489</v>
      </c>
      <c r="L124" s="34">
        <f>'B) D RI'!S125</f>
        <v>64</v>
      </c>
      <c r="M124" s="34">
        <f t="shared" si="18"/>
        <v>32.803558330938515</v>
      </c>
      <c r="N124" s="34">
        <f>'J) Plafonnement effort'!G123+'J) Plafonnement effort'!H123-'K) Plafonnement aide'!I123</f>
        <v>36.630833674888756</v>
      </c>
      <c r="O124" s="131">
        <f t="shared" si="19"/>
        <v>69.434392005827277</v>
      </c>
      <c r="P124" s="48">
        <f t="shared" si="20"/>
        <v>0</v>
      </c>
      <c r="Q124" s="58">
        <f t="shared" si="24"/>
        <v>0</v>
      </c>
      <c r="R124" s="152">
        <f t="shared" si="21"/>
        <v>69.434392005827277</v>
      </c>
      <c r="S124" s="131">
        <f t="shared" si="22"/>
        <v>5.4343920058272772</v>
      </c>
      <c r="T124" s="151">
        <f t="shared" si="17"/>
        <v>0</v>
      </c>
      <c r="V124" s="12"/>
    </row>
    <row r="125" spans="1:22" x14ac:dyDescent="0.25">
      <c r="A125" s="50">
        <f>'A) Base RI'!A126</f>
        <v>5604</v>
      </c>
      <c r="B125" s="392" t="str">
        <f>'A) Base RI'!B126</f>
        <v>Forel (Lavaux)</v>
      </c>
      <c r="C125" s="2">
        <v>1227288.1556597825</v>
      </c>
      <c r="D125" s="430">
        <v>460835.35658093018</v>
      </c>
      <c r="E125" s="2">
        <v>0</v>
      </c>
      <c r="F125" s="430">
        <v>0</v>
      </c>
      <c r="G125" s="2">
        <v>0</v>
      </c>
      <c r="H125" s="395">
        <f t="shared" si="16"/>
        <v>1688123.5122407125</v>
      </c>
      <c r="I125" s="157">
        <v>71240.347352941171</v>
      </c>
      <c r="J125" s="398">
        <f>'B) D RI'!U126</f>
        <v>69144.285441176457</v>
      </c>
      <c r="K125" s="66">
        <f t="shared" si="23"/>
        <v>23.696171831916512</v>
      </c>
      <c r="L125" s="34">
        <f>'B) D RI'!S126</f>
        <v>68</v>
      </c>
      <c r="M125" s="34">
        <f t="shared" si="18"/>
        <v>44.303828168083484</v>
      </c>
      <c r="N125" s="34">
        <f>'J) Plafonnement effort'!G124+'J) Plafonnement effort'!H124-'K) Plafonnement aide'!I124</f>
        <v>20.312128957175041</v>
      </c>
      <c r="O125" s="131">
        <f t="shared" si="19"/>
        <v>64.615957125258518</v>
      </c>
      <c r="P125" s="48">
        <f t="shared" si="20"/>
        <v>0</v>
      </c>
      <c r="Q125" s="58">
        <f t="shared" si="24"/>
        <v>0</v>
      </c>
      <c r="R125" s="152">
        <f t="shared" si="21"/>
        <v>64.615957125258518</v>
      </c>
      <c r="S125" s="131">
        <f t="shared" si="22"/>
        <v>-3.3840428747414819</v>
      </c>
      <c r="T125" s="151">
        <f t="shared" si="17"/>
        <v>0</v>
      </c>
      <c r="V125" s="12"/>
    </row>
    <row r="126" spans="1:22" x14ac:dyDescent="0.25">
      <c r="A126" s="50">
        <f>'A) Base RI'!A127</f>
        <v>5606</v>
      </c>
      <c r="B126" s="392" t="str">
        <f>'A) Base RI'!B127</f>
        <v>Lutry</v>
      </c>
      <c r="C126" s="2">
        <v>19098497.312728494</v>
      </c>
      <c r="D126" s="430">
        <v>8796498.0806374028</v>
      </c>
      <c r="E126" s="2">
        <v>0</v>
      </c>
      <c r="F126" s="430">
        <v>0</v>
      </c>
      <c r="G126" s="2">
        <v>0</v>
      </c>
      <c r="H126" s="395">
        <f t="shared" si="16"/>
        <v>27894995.393365897</v>
      </c>
      <c r="I126" s="157">
        <v>770648.37755469768</v>
      </c>
      <c r="J126" s="398">
        <f>'B) D RI'!U127</f>
        <v>819312.37389961397</v>
      </c>
      <c r="K126" s="66">
        <f t="shared" si="23"/>
        <v>36.196787284335805</v>
      </c>
      <c r="L126" s="34">
        <f>'B) D RI'!S127</f>
        <v>55.5</v>
      </c>
      <c r="M126" s="34">
        <f t="shared" si="18"/>
        <v>19.303212715664195</v>
      </c>
      <c r="N126" s="34">
        <f>'J) Plafonnement effort'!G125+'J) Plafonnement effort'!H125-'K) Plafonnement aide'!I125</f>
        <v>39.434844767740159</v>
      </c>
      <c r="O126" s="131">
        <f t="shared" si="19"/>
        <v>58.738057483404354</v>
      </c>
      <c r="P126" s="48">
        <f t="shared" si="20"/>
        <v>0</v>
      </c>
      <c r="Q126" s="58">
        <f t="shared" si="24"/>
        <v>0</v>
      </c>
      <c r="R126" s="152">
        <f t="shared" si="21"/>
        <v>58.738057483404354</v>
      </c>
      <c r="S126" s="131">
        <f t="shared" si="22"/>
        <v>3.2380574834043543</v>
      </c>
      <c r="T126" s="151">
        <f t="shared" si="17"/>
        <v>0</v>
      </c>
      <c r="V126" s="12"/>
    </row>
    <row r="127" spans="1:22" x14ac:dyDescent="0.25">
      <c r="A127" s="50">
        <f>'A) Base RI'!A128</f>
        <v>5607</v>
      </c>
      <c r="B127" s="392" t="str">
        <f>'A) Base RI'!B128</f>
        <v>Puidoux</v>
      </c>
      <c r="C127" s="2">
        <v>1898262.862625801</v>
      </c>
      <c r="D127" s="430">
        <v>435469.57139992784</v>
      </c>
      <c r="E127" s="2">
        <v>0</v>
      </c>
      <c r="F127" s="430">
        <v>0</v>
      </c>
      <c r="G127" s="2">
        <v>0</v>
      </c>
      <c r="H127" s="395">
        <f t="shared" si="16"/>
        <v>2333732.4340257291</v>
      </c>
      <c r="I127" s="157">
        <v>97147.534937888209</v>
      </c>
      <c r="J127" s="398">
        <f>'B) D RI'!U128</f>
        <v>104767.98296273292</v>
      </c>
      <c r="K127" s="66">
        <f t="shared" si="23"/>
        <v>24.022559455757815</v>
      </c>
      <c r="L127" s="34">
        <f>'B) D RI'!S128</f>
        <v>70</v>
      </c>
      <c r="M127" s="34">
        <f t="shared" si="18"/>
        <v>45.977440544242185</v>
      </c>
      <c r="N127" s="34">
        <f>'J) Plafonnement effort'!G126+'J) Plafonnement effort'!H126-'K) Plafonnement aide'!I126</f>
        <v>18.656080332114406</v>
      </c>
      <c r="O127" s="131">
        <f t="shared" si="19"/>
        <v>64.633520876356584</v>
      </c>
      <c r="P127" s="48">
        <f t="shared" si="20"/>
        <v>0</v>
      </c>
      <c r="Q127" s="58">
        <f t="shared" si="24"/>
        <v>0</v>
      </c>
      <c r="R127" s="152">
        <f t="shared" si="21"/>
        <v>64.633520876356584</v>
      </c>
      <c r="S127" s="131">
        <f t="shared" si="22"/>
        <v>-5.3664791236434155</v>
      </c>
      <c r="T127" s="151">
        <f t="shared" si="17"/>
        <v>0</v>
      </c>
      <c r="V127" s="12"/>
    </row>
    <row r="128" spans="1:22" x14ac:dyDescent="0.25">
      <c r="A128" s="50">
        <f>'A) Base RI'!A129</f>
        <v>5609</v>
      </c>
      <c r="B128" s="392" t="str">
        <f>'A) Base RI'!B129</f>
        <v>Rivaz</v>
      </c>
      <c r="C128" s="2">
        <v>293020.48204698216</v>
      </c>
      <c r="D128" s="430">
        <v>282426.39797637425</v>
      </c>
      <c r="E128" s="2">
        <v>0</v>
      </c>
      <c r="F128" s="430">
        <v>0</v>
      </c>
      <c r="G128" s="2">
        <v>0</v>
      </c>
      <c r="H128" s="395">
        <f t="shared" si="16"/>
        <v>575446.88002335641</v>
      </c>
      <c r="I128" s="157">
        <v>16888.91165354331</v>
      </c>
      <c r="J128" s="398">
        <f>'B) D RI'!U129</f>
        <v>15550.240157480319</v>
      </c>
      <c r="K128" s="66">
        <f t="shared" si="23"/>
        <v>34.072466706439734</v>
      </c>
      <c r="L128" s="34">
        <f>'B) D RI'!S129</f>
        <v>63.5</v>
      </c>
      <c r="M128" s="34">
        <f t="shared" si="18"/>
        <v>29.427533293560266</v>
      </c>
      <c r="N128" s="34">
        <f>'J) Plafonnement effort'!G127+'J) Plafonnement effort'!H127-'K) Plafonnement aide'!I127</f>
        <v>31.059636066129396</v>
      </c>
      <c r="O128" s="131">
        <f t="shared" si="19"/>
        <v>60.487169359689659</v>
      </c>
      <c r="P128" s="48">
        <f t="shared" si="20"/>
        <v>0</v>
      </c>
      <c r="Q128" s="58">
        <f t="shared" si="24"/>
        <v>0</v>
      </c>
      <c r="R128" s="152">
        <f t="shared" si="21"/>
        <v>60.487169359689659</v>
      </c>
      <c r="S128" s="131">
        <f t="shared" si="22"/>
        <v>-3.0128306403103409</v>
      </c>
      <c r="T128" s="151">
        <f t="shared" si="17"/>
        <v>0</v>
      </c>
      <c r="V128" s="12"/>
    </row>
    <row r="129" spans="1:22" x14ac:dyDescent="0.25">
      <c r="A129" s="50">
        <f>'A) Base RI'!A130</f>
        <v>5610</v>
      </c>
      <c r="B129" s="392" t="str">
        <f>'A) Base RI'!B130</f>
        <v>St-Saphorin (Lavaux)</v>
      </c>
      <c r="C129" s="2">
        <v>375160.41594966501</v>
      </c>
      <c r="D129" s="430">
        <v>337038.32224689663</v>
      </c>
      <c r="E129" s="2">
        <v>0</v>
      </c>
      <c r="F129" s="430">
        <v>0</v>
      </c>
      <c r="G129" s="2">
        <v>0</v>
      </c>
      <c r="H129" s="395">
        <f t="shared" si="16"/>
        <v>712198.73819656158</v>
      </c>
      <c r="I129" s="157">
        <v>20007.714179104478</v>
      </c>
      <c r="J129" s="398">
        <f>'B) D RI'!U130</f>
        <v>15345.496567164178</v>
      </c>
      <c r="K129" s="66">
        <f t="shared" si="23"/>
        <v>35.596207133964505</v>
      </c>
      <c r="L129" s="34">
        <f>'B) D RI'!S130</f>
        <v>67</v>
      </c>
      <c r="M129" s="34">
        <f t="shared" si="18"/>
        <v>31.403792866035495</v>
      </c>
      <c r="N129" s="34">
        <f>'J) Plafonnement effort'!G128+'J) Plafonnement effort'!H128-'K) Plafonnement aide'!I128</f>
        <v>31.007743111650999</v>
      </c>
      <c r="O129" s="131">
        <f t="shared" si="19"/>
        <v>62.411535977686498</v>
      </c>
      <c r="P129" s="48">
        <f t="shared" si="20"/>
        <v>0</v>
      </c>
      <c r="Q129" s="58">
        <f t="shared" si="24"/>
        <v>0</v>
      </c>
      <c r="R129" s="152">
        <f t="shared" si="21"/>
        <v>62.411535977686498</v>
      </c>
      <c r="S129" s="131">
        <f t="shared" si="22"/>
        <v>-4.5884640223135023</v>
      </c>
      <c r="T129" s="151">
        <f t="shared" si="17"/>
        <v>0</v>
      </c>
      <c r="V129" s="12"/>
    </row>
    <row r="130" spans="1:22" x14ac:dyDescent="0.25">
      <c r="A130" s="50">
        <f>'A) Base RI'!A131</f>
        <v>5611</v>
      </c>
      <c r="B130" s="392" t="str">
        <f>'A) Base RI'!B131</f>
        <v>Savigny</v>
      </c>
      <c r="C130" s="2">
        <v>2042393.9542649062</v>
      </c>
      <c r="D130" s="430">
        <v>623440.13077044534</v>
      </c>
      <c r="E130" s="2">
        <v>0</v>
      </c>
      <c r="F130" s="430">
        <v>0</v>
      </c>
      <c r="G130" s="2">
        <v>0</v>
      </c>
      <c r="H130" s="395">
        <f t="shared" si="16"/>
        <v>2665834.0850353516</v>
      </c>
      <c r="I130" s="157">
        <v>115537.42516908211</v>
      </c>
      <c r="J130" s="398">
        <f>'B) D RI'!U131</f>
        <v>131982.7743236715</v>
      </c>
      <c r="K130" s="66">
        <f t="shared" si="23"/>
        <v>23.073338194390804</v>
      </c>
      <c r="L130" s="34">
        <f>'B) D RI'!S131</f>
        <v>69</v>
      </c>
      <c r="M130" s="34">
        <f t="shared" si="18"/>
        <v>45.9266618056092</v>
      </c>
      <c r="N130" s="34">
        <f>'J) Plafonnement effort'!G129+'J) Plafonnement effort'!H129-'K) Plafonnement aide'!I129</f>
        <v>26.101611447910976</v>
      </c>
      <c r="O130" s="131">
        <f t="shared" si="19"/>
        <v>72.028273253520183</v>
      </c>
      <c r="P130" s="48">
        <f t="shared" si="20"/>
        <v>0</v>
      </c>
      <c r="Q130" s="58">
        <f t="shared" si="24"/>
        <v>0</v>
      </c>
      <c r="R130" s="152">
        <f t="shared" si="21"/>
        <v>72.028273253520183</v>
      </c>
      <c r="S130" s="131">
        <f t="shared" si="22"/>
        <v>3.0282732535201831</v>
      </c>
      <c r="T130" s="151">
        <f t="shared" si="17"/>
        <v>0</v>
      </c>
      <c r="V130" s="12"/>
    </row>
    <row r="131" spans="1:22" x14ac:dyDescent="0.25">
      <c r="A131" s="50">
        <f>'A) Base RI'!A132</f>
        <v>5613</v>
      </c>
      <c r="B131" s="392" t="str">
        <f>'A) Base RI'!B132</f>
        <v>Bourg-en-Lavaux</v>
      </c>
      <c r="C131" s="2">
        <v>5604022.0656588553</v>
      </c>
      <c r="D131" s="430">
        <v>3708065.9139704951</v>
      </c>
      <c r="E131" s="2">
        <v>0</v>
      </c>
      <c r="F131" s="430">
        <v>0</v>
      </c>
      <c r="G131" s="2">
        <v>0</v>
      </c>
      <c r="H131" s="395">
        <f t="shared" si="16"/>
        <v>9312087.9796293508</v>
      </c>
      <c r="I131" s="157">
        <v>301872.13311475411</v>
      </c>
      <c r="J131" s="398">
        <f>'B) D RI'!U132</f>
        <v>329819.74420765025</v>
      </c>
      <c r="K131" s="66">
        <f t="shared" si="23"/>
        <v>30.847789372096297</v>
      </c>
      <c r="L131" s="34">
        <f>'B) D RI'!S132</f>
        <v>61</v>
      </c>
      <c r="M131" s="34">
        <f t="shared" si="18"/>
        <v>30.152210627903703</v>
      </c>
      <c r="N131" s="34">
        <f>'J) Plafonnement effort'!G130+'J) Plafonnement effort'!H130-'K) Plafonnement aide'!I130</f>
        <v>35.6939363396693</v>
      </c>
      <c r="O131" s="131">
        <f t="shared" si="19"/>
        <v>65.846146967573006</v>
      </c>
      <c r="P131" s="48">
        <f t="shared" si="20"/>
        <v>0</v>
      </c>
      <c r="Q131" s="58">
        <f t="shared" si="24"/>
        <v>0</v>
      </c>
      <c r="R131" s="152">
        <f t="shared" si="21"/>
        <v>65.846146967573006</v>
      </c>
      <c r="S131" s="131">
        <f t="shared" si="22"/>
        <v>4.8461469675730058</v>
      </c>
      <c r="T131" s="151">
        <f t="shared" si="17"/>
        <v>0</v>
      </c>
      <c r="V131" s="12"/>
    </row>
    <row r="132" spans="1:22" x14ac:dyDescent="0.25">
      <c r="A132" s="50">
        <f>'A) Base RI'!A133</f>
        <v>5621</v>
      </c>
      <c r="B132" s="392" t="str">
        <f>'A) Base RI'!B133</f>
        <v>Aclens</v>
      </c>
      <c r="C132" s="2">
        <v>490797.16628305963</v>
      </c>
      <c r="D132" s="430">
        <v>453029.71889353765</v>
      </c>
      <c r="E132" s="2">
        <v>0</v>
      </c>
      <c r="F132" s="430">
        <v>0</v>
      </c>
      <c r="G132" s="2">
        <v>0</v>
      </c>
      <c r="H132" s="395">
        <f t="shared" si="16"/>
        <v>943826.88517659728</v>
      </c>
      <c r="I132" s="157">
        <v>26820.105850439882</v>
      </c>
      <c r="J132" s="398">
        <f>'B) D RI'!U133</f>
        <v>29752.054618768325</v>
      </c>
      <c r="K132" s="66">
        <f t="shared" si="23"/>
        <v>35.191020141373428</v>
      </c>
      <c r="L132" s="34">
        <f>'B) D RI'!S133</f>
        <v>62</v>
      </c>
      <c r="M132" s="34">
        <f t="shared" si="18"/>
        <v>26.808979858626572</v>
      </c>
      <c r="N132" s="34">
        <f>'J) Plafonnement effort'!G131+'J) Plafonnement effort'!H131-'K) Plafonnement aide'!I131</f>
        <v>45</v>
      </c>
      <c r="O132" s="131">
        <f t="shared" si="19"/>
        <v>71.808979858626572</v>
      </c>
      <c r="P132" s="48">
        <f t="shared" si="20"/>
        <v>0</v>
      </c>
      <c r="Q132" s="58">
        <f t="shared" si="24"/>
        <v>0</v>
      </c>
      <c r="R132" s="152">
        <f t="shared" si="21"/>
        <v>71.808979858626572</v>
      </c>
      <c r="S132" s="131">
        <f t="shared" si="22"/>
        <v>9.8089798586265715</v>
      </c>
      <c r="T132" s="151">
        <f t="shared" si="17"/>
        <v>0</v>
      </c>
      <c r="V132" s="12"/>
    </row>
    <row r="133" spans="1:22" x14ac:dyDescent="0.25">
      <c r="A133" s="50">
        <f>'A) Base RI'!A134</f>
        <v>5622</v>
      </c>
      <c r="B133" s="392" t="str">
        <f>'A) Base RI'!B134</f>
        <v>Bremblens</v>
      </c>
      <c r="C133" s="2">
        <v>727014.4868431366</v>
      </c>
      <c r="D133" s="430">
        <v>550803.02802833554</v>
      </c>
      <c r="E133" s="2">
        <v>0</v>
      </c>
      <c r="F133" s="430">
        <v>0</v>
      </c>
      <c r="G133" s="2">
        <v>0</v>
      </c>
      <c r="H133" s="395">
        <f t="shared" si="16"/>
        <v>1277817.514871472</v>
      </c>
      <c r="I133" s="157">
        <v>32681.756515151512</v>
      </c>
      <c r="J133" s="398">
        <f>'B) D RI'!U134</f>
        <v>30065.565151515151</v>
      </c>
      <c r="K133" s="66">
        <f t="shared" si="23"/>
        <v>39.098801628947513</v>
      </c>
      <c r="L133" s="34">
        <f>'B) D RI'!S134</f>
        <v>66</v>
      </c>
      <c r="M133" s="34">
        <f t="shared" si="18"/>
        <v>26.901198371052487</v>
      </c>
      <c r="N133" s="34">
        <f>'J) Plafonnement effort'!G132+'J) Plafonnement effort'!H132-'K) Plafonnement aide'!I132</f>
        <v>37.172820114693465</v>
      </c>
      <c r="O133" s="131">
        <f t="shared" si="19"/>
        <v>64.074018485745952</v>
      </c>
      <c r="P133" s="48">
        <f t="shared" si="20"/>
        <v>0</v>
      </c>
      <c r="Q133" s="58">
        <f t="shared" si="24"/>
        <v>0</v>
      </c>
      <c r="R133" s="152">
        <f t="shared" si="21"/>
        <v>64.074018485745952</v>
      </c>
      <c r="S133" s="131">
        <f t="shared" si="22"/>
        <v>-1.9259815142540475</v>
      </c>
      <c r="T133" s="151">
        <f t="shared" si="17"/>
        <v>0</v>
      </c>
      <c r="V133" s="12"/>
    </row>
    <row r="134" spans="1:22" x14ac:dyDescent="0.25">
      <c r="A134" s="50">
        <f>'A) Base RI'!A135</f>
        <v>5623</v>
      </c>
      <c r="B134" s="392" t="str">
        <f>'A) Base RI'!B135</f>
        <v>Buchillon</v>
      </c>
      <c r="C134" s="2">
        <v>3302115.2162844669</v>
      </c>
      <c r="D134" s="430">
        <v>1264430.3480845732</v>
      </c>
      <c r="E134" s="2">
        <v>0</v>
      </c>
      <c r="F134" s="430">
        <v>-858437.10587847442</v>
      </c>
      <c r="G134" s="2">
        <v>0</v>
      </c>
      <c r="H134" s="395">
        <f t="shared" si="16"/>
        <v>3708108.4584905654</v>
      </c>
      <c r="I134" s="157">
        <v>82402.410188679249</v>
      </c>
      <c r="J134" s="398">
        <f>'B) D RI'!U135</f>
        <v>74720.547735849046</v>
      </c>
      <c r="K134" s="66">
        <f t="shared" si="23"/>
        <v>44.999999999999993</v>
      </c>
      <c r="L134" s="34">
        <f>'B) D RI'!S135</f>
        <v>53</v>
      </c>
      <c r="M134" s="34">
        <f t="shared" si="18"/>
        <v>8.0000000000000071</v>
      </c>
      <c r="N134" s="34">
        <f>'J) Plafonnement effort'!G133+'J) Plafonnement effort'!H133-'K) Plafonnement aide'!I133</f>
        <v>45</v>
      </c>
      <c r="O134" s="131">
        <f t="shared" si="19"/>
        <v>53.000000000000007</v>
      </c>
      <c r="P134" s="48">
        <f t="shared" si="20"/>
        <v>0</v>
      </c>
      <c r="Q134" s="58">
        <f t="shared" si="24"/>
        <v>0</v>
      </c>
      <c r="R134" s="152">
        <f t="shared" si="21"/>
        <v>53.000000000000007</v>
      </c>
      <c r="S134" s="131">
        <f t="shared" si="22"/>
        <v>0</v>
      </c>
      <c r="T134" s="151">
        <f t="shared" si="17"/>
        <v>0</v>
      </c>
      <c r="V134" s="12"/>
    </row>
    <row r="135" spans="1:22" x14ac:dyDescent="0.25">
      <c r="A135" s="50">
        <f>'A) Base RI'!A136</f>
        <v>5624</v>
      </c>
      <c r="B135" s="392" t="str">
        <f>'A) Base RI'!B136</f>
        <v>Bussigny</v>
      </c>
      <c r="C135" s="2">
        <v>6078938.3111614361</v>
      </c>
      <c r="D135" s="430">
        <v>2007939.141871036</v>
      </c>
      <c r="E135" s="2">
        <v>0</v>
      </c>
      <c r="F135" s="430">
        <v>0</v>
      </c>
      <c r="G135" s="2">
        <v>0</v>
      </c>
      <c r="H135" s="395">
        <f t="shared" ref="H135:H198" si="25">SUM(C135:G135)</f>
        <v>8086877.4530324722</v>
      </c>
      <c r="I135" s="157">
        <v>334130.13322580641</v>
      </c>
      <c r="J135" s="398">
        <f>'B) D RI'!U136</f>
        <v>313352.53032258071</v>
      </c>
      <c r="K135" s="66">
        <f t="shared" si="23"/>
        <v>24.202778046262981</v>
      </c>
      <c r="L135" s="34">
        <f>'B) D RI'!S136</f>
        <v>62</v>
      </c>
      <c r="M135" s="34">
        <f t="shared" si="18"/>
        <v>37.797221953737022</v>
      </c>
      <c r="N135" s="34">
        <f>'J) Plafonnement effort'!G134+'J) Plafonnement effort'!H134-'K) Plafonnement aide'!I134</f>
        <v>20.011791805286663</v>
      </c>
      <c r="O135" s="131">
        <f t="shared" si="19"/>
        <v>57.809013759023685</v>
      </c>
      <c r="P135" s="48">
        <f t="shared" si="20"/>
        <v>0</v>
      </c>
      <c r="Q135" s="58">
        <f t="shared" si="24"/>
        <v>0</v>
      </c>
      <c r="R135" s="152">
        <f t="shared" si="21"/>
        <v>57.809013759023685</v>
      </c>
      <c r="S135" s="131">
        <f t="shared" si="22"/>
        <v>-4.190986240976315</v>
      </c>
      <c r="T135" s="151">
        <f t="shared" ref="T135:T198" si="26">+C135+D135+E135+F135+G135-H135</f>
        <v>0</v>
      </c>
      <c r="V135" s="12"/>
    </row>
    <row r="136" spans="1:22" x14ac:dyDescent="0.25">
      <c r="A136" s="50">
        <f>'A) Base RI'!A137</f>
        <v>5625</v>
      </c>
      <c r="B136" s="392" t="str">
        <f>'A) Base RI'!B137</f>
        <v>Bussy-Chardonney</v>
      </c>
      <c r="C136" s="2">
        <v>264733.36879072268</v>
      </c>
      <c r="D136" s="430">
        <v>149986.48329947286</v>
      </c>
      <c r="E136" s="2">
        <v>0</v>
      </c>
      <c r="F136" s="430">
        <v>0</v>
      </c>
      <c r="G136" s="2">
        <v>0</v>
      </c>
      <c r="H136" s="395">
        <f t="shared" si="25"/>
        <v>414719.85209019552</v>
      </c>
      <c r="I136" s="157">
        <v>13745.926324786325</v>
      </c>
      <c r="J136" s="398">
        <f>'B) D RI'!U137</f>
        <v>13647.695555555556</v>
      </c>
      <c r="K136" s="66">
        <f t="shared" si="23"/>
        <v>30.170382285723633</v>
      </c>
      <c r="L136" s="34">
        <f>'B) D RI'!S137</f>
        <v>78</v>
      </c>
      <c r="M136" s="34">
        <f t="shared" si="18"/>
        <v>47.829617714276367</v>
      </c>
      <c r="N136" s="34">
        <f>'J) Plafonnement effort'!G135+'J) Plafonnement effort'!H135-'K) Plafonnement aide'!I135</f>
        <v>28.730122155059988</v>
      </c>
      <c r="O136" s="131">
        <f t="shared" si="19"/>
        <v>76.559739869336354</v>
      </c>
      <c r="P136" s="48">
        <f t="shared" si="20"/>
        <v>0</v>
      </c>
      <c r="Q136" s="58">
        <f t="shared" si="24"/>
        <v>0</v>
      </c>
      <c r="R136" s="152">
        <f t="shared" si="21"/>
        <v>76.559739869336354</v>
      </c>
      <c r="S136" s="131">
        <f t="shared" si="22"/>
        <v>-1.4402601306636456</v>
      </c>
      <c r="T136" s="151">
        <f t="shared" si="26"/>
        <v>0</v>
      </c>
      <c r="V136" s="12"/>
    </row>
    <row r="137" spans="1:22" x14ac:dyDescent="0.25">
      <c r="A137" s="50">
        <f>'A) Base RI'!A138</f>
        <v>5627</v>
      </c>
      <c r="B137" s="392" t="str">
        <f>'A) Base RI'!B138</f>
        <v>Chavannes-près-Renens</v>
      </c>
      <c r="C137" s="2">
        <v>2995884.8319486836</v>
      </c>
      <c r="D137" s="430">
        <v>-4279568.1293031052</v>
      </c>
      <c r="E137" s="2">
        <v>167172.70433754459</v>
      </c>
      <c r="F137" s="430">
        <v>0</v>
      </c>
      <c r="G137" s="2">
        <v>0</v>
      </c>
      <c r="H137" s="395">
        <f t="shared" si="25"/>
        <v>-1116510.5930168771</v>
      </c>
      <c r="I137" s="157">
        <v>171770.86046413501</v>
      </c>
      <c r="J137" s="398">
        <f>'B) D RI'!U138</f>
        <v>167740.14928270038</v>
      </c>
      <c r="K137" s="66">
        <f t="shared" si="23"/>
        <v>-6.4999999999999973</v>
      </c>
      <c r="L137" s="34">
        <f>'B) D RI'!S138</f>
        <v>79</v>
      </c>
      <c r="M137" s="34">
        <f t="shared" si="18"/>
        <v>85.5</v>
      </c>
      <c r="N137" s="34">
        <f>'J) Plafonnement effort'!G136+'J) Plafonnement effort'!H136-'K) Plafonnement aide'!I136</f>
        <v>-11.212839488388099</v>
      </c>
      <c r="O137" s="131">
        <f t="shared" si="19"/>
        <v>74.287160511611901</v>
      </c>
      <c r="P137" s="48">
        <f t="shared" si="20"/>
        <v>0</v>
      </c>
      <c r="Q137" s="58">
        <f t="shared" si="24"/>
        <v>0</v>
      </c>
      <c r="R137" s="152">
        <f t="shared" si="21"/>
        <v>74.287160511611901</v>
      </c>
      <c r="S137" s="131">
        <f t="shared" si="22"/>
        <v>-4.7128394883880986</v>
      </c>
      <c r="T137" s="151">
        <f t="shared" si="26"/>
        <v>0</v>
      </c>
      <c r="V137" s="12"/>
    </row>
    <row r="138" spans="1:22" x14ac:dyDescent="0.25">
      <c r="A138" s="50">
        <f>'A) Base RI'!A139</f>
        <v>5628</v>
      </c>
      <c r="B138" s="392" t="str">
        <f>'A) Base RI'!B139</f>
        <v>Chigny</v>
      </c>
      <c r="C138" s="2">
        <v>338905.96950190637</v>
      </c>
      <c r="D138" s="430">
        <v>329696.26520203875</v>
      </c>
      <c r="E138" s="2">
        <v>0</v>
      </c>
      <c r="F138" s="430">
        <v>0</v>
      </c>
      <c r="G138" s="2">
        <v>0</v>
      </c>
      <c r="H138" s="395">
        <f t="shared" si="25"/>
        <v>668602.23470394511</v>
      </c>
      <c r="I138" s="157">
        <v>19361.666733870967</v>
      </c>
      <c r="J138" s="398">
        <f>'B) D RI'!U139</f>
        <v>19513.351129032257</v>
      </c>
      <c r="K138" s="66">
        <f t="shared" si="23"/>
        <v>34.532266456911167</v>
      </c>
      <c r="L138" s="34">
        <f>'B) D RI'!S139</f>
        <v>62</v>
      </c>
      <c r="M138" s="34">
        <f t="shared" si="18"/>
        <v>27.467733543088833</v>
      </c>
      <c r="N138" s="34">
        <f>'J) Plafonnement effort'!G137+'J) Plafonnement effort'!H137-'K) Plafonnement aide'!I137</f>
        <v>39.615363180648643</v>
      </c>
      <c r="O138" s="131">
        <f t="shared" si="19"/>
        <v>67.083096723737469</v>
      </c>
      <c r="P138" s="48">
        <f t="shared" si="20"/>
        <v>0</v>
      </c>
      <c r="Q138" s="58">
        <f t="shared" si="24"/>
        <v>0</v>
      </c>
      <c r="R138" s="152">
        <f t="shared" si="21"/>
        <v>67.083096723737469</v>
      </c>
      <c r="S138" s="131">
        <f t="shared" si="22"/>
        <v>5.0830967237374693</v>
      </c>
      <c r="T138" s="151">
        <f t="shared" si="26"/>
        <v>0</v>
      </c>
      <c r="V138" s="12"/>
    </row>
    <row r="139" spans="1:22" x14ac:dyDescent="0.25">
      <c r="A139" s="50">
        <f>'A) Base RI'!A140</f>
        <v>5629</v>
      </c>
      <c r="B139" s="392" t="str">
        <f>'A) Base RI'!B140</f>
        <v>Clarmont</v>
      </c>
      <c r="C139" s="2">
        <v>154999.76337871223</v>
      </c>
      <c r="D139" s="430">
        <v>115656.00595899833</v>
      </c>
      <c r="E139" s="2">
        <v>0</v>
      </c>
      <c r="F139" s="430">
        <v>0</v>
      </c>
      <c r="G139" s="2">
        <v>0</v>
      </c>
      <c r="H139" s="395">
        <f t="shared" si="25"/>
        <v>270655.76933771058</v>
      </c>
      <c r="I139" s="157">
        <v>7536.1791999999996</v>
      </c>
      <c r="J139" s="398">
        <f>'B) D RI'!U140</f>
        <v>7442.8926666666675</v>
      </c>
      <c r="K139" s="66">
        <f t="shared" si="23"/>
        <v>35.914189691469993</v>
      </c>
      <c r="L139" s="34">
        <f>'B) D RI'!S140</f>
        <v>75</v>
      </c>
      <c r="M139" s="34">
        <f t="shared" si="18"/>
        <v>39.085810308530007</v>
      </c>
      <c r="N139" s="34">
        <f>'J) Plafonnement effort'!G138+'J) Plafonnement effort'!H138-'K) Plafonnement aide'!I138</f>
        <v>25.422569821907086</v>
      </c>
      <c r="O139" s="131">
        <f t="shared" si="19"/>
        <v>64.508380130437089</v>
      </c>
      <c r="P139" s="48">
        <f t="shared" si="20"/>
        <v>0</v>
      </c>
      <c r="Q139" s="58">
        <f t="shared" si="24"/>
        <v>0</v>
      </c>
      <c r="R139" s="152">
        <f t="shared" si="21"/>
        <v>64.508380130437089</v>
      </c>
      <c r="S139" s="131">
        <f t="shared" si="22"/>
        <v>-10.491619869562911</v>
      </c>
      <c r="T139" s="151">
        <f t="shared" si="26"/>
        <v>0</v>
      </c>
      <c r="V139" s="12"/>
    </row>
    <row r="140" spans="1:22" x14ac:dyDescent="0.25">
      <c r="A140" s="50">
        <f>'A) Base RI'!A141</f>
        <v>5631</v>
      </c>
      <c r="B140" s="392" t="str">
        <f>'A) Base RI'!B141</f>
        <v>Denens</v>
      </c>
      <c r="C140" s="2">
        <v>941353.90801833849</v>
      </c>
      <c r="D140" s="430">
        <v>718235.60140487656</v>
      </c>
      <c r="E140" s="2">
        <v>0</v>
      </c>
      <c r="F140" s="430">
        <v>0</v>
      </c>
      <c r="G140" s="2">
        <v>0</v>
      </c>
      <c r="H140" s="395">
        <f t="shared" si="25"/>
        <v>1659589.5094232149</v>
      </c>
      <c r="I140" s="157">
        <v>42221.936176470583</v>
      </c>
      <c r="J140" s="398">
        <f>'B) D RI'!U141</f>
        <v>45367.235142857142</v>
      </c>
      <c r="K140" s="66">
        <f t="shared" si="23"/>
        <v>39.306333619727987</v>
      </c>
      <c r="L140" s="34">
        <f>'B) D RI'!S141</f>
        <v>70</v>
      </c>
      <c r="M140" s="34">
        <f t="shared" si="18"/>
        <v>30.693666380272013</v>
      </c>
      <c r="N140" s="34">
        <f>'J) Plafonnement effort'!G139+'J) Plafonnement effort'!H139-'K) Plafonnement aide'!I139</f>
        <v>38.905577043495846</v>
      </c>
      <c r="O140" s="131">
        <f t="shared" si="19"/>
        <v>69.599243423767859</v>
      </c>
      <c r="P140" s="48">
        <f t="shared" si="20"/>
        <v>0</v>
      </c>
      <c r="Q140" s="58">
        <f t="shared" si="24"/>
        <v>0</v>
      </c>
      <c r="R140" s="152">
        <f t="shared" si="21"/>
        <v>69.599243423767859</v>
      </c>
      <c r="S140" s="131">
        <f t="shared" si="22"/>
        <v>-0.40075657623214056</v>
      </c>
      <c r="T140" s="151">
        <f t="shared" si="26"/>
        <v>0</v>
      </c>
      <c r="V140" s="12"/>
    </row>
    <row r="141" spans="1:22" x14ac:dyDescent="0.25">
      <c r="A141" s="50">
        <f>'A) Base RI'!A142</f>
        <v>5632</v>
      </c>
      <c r="B141" s="392" t="str">
        <f>'A) Base RI'!B142</f>
        <v>Denges</v>
      </c>
      <c r="C141" s="2">
        <v>1205503.2099036465</v>
      </c>
      <c r="D141" s="430">
        <v>855774.10293809255</v>
      </c>
      <c r="E141" s="2">
        <v>0</v>
      </c>
      <c r="F141" s="430">
        <v>0</v>
      </c>
      <c r="G141" s="2">
        <v>0</v>
      </c>
      <c r="H141" s="395">
        <f t="shared" si="25"/>
        <v>2061277.312841739</v>
      </c>
      <c r="I141" s="157">
        <v>67310.066612903232</v>
      </c>
      <c r="J141" s="398">
        <f>'B) D RI'!U142</f>
        <v>67164.535483870975</v>
      </c>
      <c r="K141" s="66">
        <f t="shared" si="23"/>
        <v>30.623611245195164</v>
      </c>
      <c r="L141" s="34">
        <f>'B) D RI'!S142</f>
        <v>62</v>
      </c>
      <c r="M141" s="34">
        <f t="shared" si="18"/>
        <v>31.376388754804836</v>
      </c>
      <c r="N141" s="34">
        <f>'J) Plafonnement effort'!G140+'J) Plafonnement effort'!H140-'K) Plafonnement aide'!I140</f>
        <v>31.28616812452141</v>
      </c>
      <c r="O141" s="131">
        <f t="shared" si="19"/>
        <v>62.662556879326246</v>
      </c>
      <c r="P141" s="48">
        <f t="shared" si="20"/>
        <v>0</v>
      </c>
      <c r="Q141" s="58">
        <f t="shared" si="24"/>
        <v>0</v>
      </c>
      <c r="R141" s="152">
        <f t="shared" si="21"/>
        <v>62.662556879326246</v>
      </c>
      <c r="S141" s="131">
        <f t="shared" si="22"/>
        <v>0.66255687932624596</v>
      </c>
      <c r="T141" s="151">
        <f t="shared" si="26"/>
        <v>0</v>
      </c>
      <c r="V141" s="12"/>
    </row>
    <row r="142" spans="1:22" x14ac:dyDescent="0.25">
      <c r="A142" s="50">
        <f>'A) Base RI'!A143</f>
        <v>5633</v>
      </c>
      <c r="B142" s="392" t="str">
        <f>'A) Base RI'!B143</f>
        <v>Echandens</v>
      </c>
      <c r="C142" s="2">
        <v>2409874.203503429</v>
      </c>
      <c r="D142" s="430">
        <v>1928640.9485542537</v>
      </c>
      <c r="E142" s="2">
        <v>0</v>
      </c>
      <c r="F142" s="430">
        <v>0</v>
      </c>
      <c r="G142" s="2">
        <v>0</v>
      </c>
      <c r="H142" s="395">
        <f t="shared" si="25"/>
        <v>4338515.1520576831</v>
      </c>
      <c r="I142" s="157">
        <v>139554.44612903227</v>
      </c>
      <c r="J142" s="398">
        <f>'B) D RI'!U143</f>
        <v>132114.82112903227</v>
      </c>
      <c r="K142" s="66">
        <f t="shared" si="23"/>
        <v>31.088333423976223</v>
      </c>
      <c r="L142" s="34">
        <f>'B) D RI'!S143</f>
        <v>62</v>
      </c>
      <c r="M142" s="34">
        <f t="shared" si="18"/>
        <v>30.911666576023777</v>
      </c>
      <c r="N142" s="34">
        <f>'J) Plafonnement effort'!G141+'J) Plafonnement effort'!H141-'K) Plafonnement aide'!I141</f>
        <v>30.58393636768346</v>
      </c>
      <c r="O142" s="131">
        <f t="shared" si="19"/>
        <v>61.49560294370724</v>
      </c>
      <c r="P142" s="48">
        <f t="shared" si="20"/>
        <v>0</v>
      </c>
      <c r="Q142" s="58">
        <f t="shared" si="24"/>
        <v>0</v>
      </c>
      <c r="R142" s="152">
        <f t="shared" si="21"/>
        <v>61.49560294370724</v>
      </c>
      <c r="S142" s="131">
        <f t="shared" si="22"/>
        <v>-0.50439705629275977</v>
      </c>
      <c r="T142" s="151">
        <f t="shared" si="26"/>
        <v>0</v>
      </c>
      <c r="V142" s="12"/>
    </row>
    <row r="143" spans="1:22" x14ac:dyDescent="0.25">
      <c r="A143" s="50">
        <f>'A) Base RI'!A144</f>
        <v>5634</v>
      </c>
      <c r="B143" s="392" t="str">
        <f>'A) Base RI'!B144</f>
        <v>Echichens</v>
      </c>
      <c r="C143" s="2">
        <v>2411114.4576458251</v>
      </c>
      <c r="D143" s="430">
        <v>1699817.1713516624</v>
      </c>
      <c r="E143" s="2">
        <v>0</v>
      </c>
      <c r="F143" s="430">
        <v>0</v>
      </c>
      <c r="G143" s="2">
        <v>0</v>
      </c>
      <c r="H143" s="395">
        <f t="shared" si="25"/>
        <v>4110931.6289974875</v>
      </c>
      <c r="I143" s="157">
        <v>125699.21529411766</v>
      </c>
      <c r="J143" s="398">
        <f>'B) D RI'!U144</f>
        <v>126696.63529411763</v>
      </c>
      <c r="K143" s="66">
        <f t="shared" si="23"/>
        <v>32.704513066199439</v>
      </c>
      <c r="L143" s="34">
        <f>'B) D RI'!S144</f>
        <v>68</v>
      </c>
      <c r="M143" s="34">
        <f t="shared" si="18"/>
        <v>35.295486933800561</v>
      </c>
      <c r="N143" s="34">
        <f>'J) Plafonnement effort'!G142+'J) Plafonnement effort'!H142-'K) Plafonnement aide'!I142</f>
        <v>34.731973076778971</v>
      </c>
      <c r="O143" s="131">
        <f t="shared" si="19"/>
        <v>70.027460010579532</v>
      </c>
      <c r="P143" s="48">
        <f t="shared" si="20"/>
        <v>0</v>
      </c>
      <c r="Q143" s="58">
        <f t="shared" si="24"/>
        <v>0</v>
      </c>
      <c r="R143" s="152">
        <f t="shared" si="21"/>
        <v>70.027460010579532</v>
      </c>
      <c r="S143" s="131">
        <f t="shared" si="22"/>
        <v>2.0274600105795315</v>
      </c>
      <c r="T143" s="151">
        <f t="shared" si="26"/>
        <v>0</v>
      </c>
      <c r="V143" s="12"/>
    </row>
    <row r="144" spans="1:22" x14ac:dyDescent="0.25">
      <c r="A144" s="50">
        <f>'A) Base RI'!A145</f>
        <v>5635</v>
      </c>
      <c r="B144" s="392" t="str">
        <f>'A) Base RI'!B145</f>
        <v>Ecublens</v>
      </c>
      <c r="C144" s="2">
        <v>7897471.3556638407</v>
      </c>
      <c r="D144" s="430">
        <v>-1069049.1856611408</v>
      </c>
      <c r="E144" s="2">
        <v>0</v>
      </c>
      <c r="F144" s="430">
        <v>0</v>
      </c>
      <c r="G144" s="2">
        <v>0</v>
      </c>
      <c r="H144" s="395">
        <f t="shared" si="25"/>
        <v>6828422.1700026998</v>
      </c>
      <c r="I144" s="157">
        <v>424543.31159592536</v>
      </c>
      <c r="J144" s="398">
        <f>'B) D RI'!U145</f>
        <v>448558.27357385395</v>
      </c>
      <c r="K144" s="66">
        <f t="shared" si="23"/>
        <v>16.084159103422412</v>
      </c>
      <c r="L144" s="34">
        <f>'B) D RI'!S145</f>
        <v>62</v>
      </c>
      <c r="M144" s="34">
        <f t="shared" si="18"/>
        <v>45.915840896577592</v>
      </c>
      <c r="N144" s="34">
        <f>'J) Plafonnement effort'!G143+'J) Plafonnement effort'!H143-'K) Plafonnement aide'!I143</f>
        <v>12.525900509754404</v>
      </c>
      <c r="O144" s="131">
        <f t="shared" si="19"/>
        <v>58.441741406332</v>
      </c>
      <c r="P144" s="48">
        <f t="shared" si="20"/>
        <v>0</v>
      </c>
      <c r="Q144" s="58">
        <f t="shared" si="24"/>
        <v>0</v>
      </c>
      <c r="R144" s="152">
        <f t="shared" si="21"/>
        <v>58.441741406332</v>
      </c>
      <c r="S144" s="131">
        <f t="shared" si="22"/>
        <v>-3.5582585936680005</v>
      </c>
      <c r="T144" s="151">
        <f t="shared" si="26"/>
        <v>0</v>
      </c>
      <c r="V144" s="12"/>
    </row>
    <row r="145" spans="1:22" x14ac:dyDescent="0.25">
      <c r="A145" s="50">
        <f>'A) Base RI'!A146</f>
        <v>5636</v>
      </c>
      <c r="B145" s="392" t="str">
        <f>'A) Base RI'!B146</f>
        <v>Etoy</v>
      </c>
      <c r="C145" s="2">
        <v>4938153.2981966175</v>
      </c>
      <c r="D145" s="430">
        <v>2080775.8981745765</v>
      </c>
      <c r="E145" s="2">
        <v>0</v>
      </c>
      <c r="F145" s="430">
        <v>-230461.63243676879</v>
      </c>
      <c r="G145" s="2">
        <v>0</v>
      </c>
      <c r="H145" s="395">
        <f t="shared" si="25"/>
        <v>6788467.5639344249</v>
      </c>
      <c r="I145" s="157">
        <v>150854.83475409835</v>
      </c>
      <c r="J145" s="398">
        <f>'B) D RI'!U146</f>
        <v>151105.62688524593</v>
      </c>
      <c r="K145" s="66">
        <f t="shared" si="23"/>
        <v>44.999999999999993</v>
      </c>
      <c r="L145" s="34">
        <f>'B) D RI'!S146</f>
        <v>61</v>
      </c>
      <c r="M145" s="34">
        <f t="shared" si="18"/>
        <v>16.000000000000007</v>
      </c>
      <c r="N145" s="34">
        <f>'J) Plafonnement effort'!G144+'J) Plafonnement effort'!H144-'K) Plafonnement aide'!I144</f>
        <v>36.933089952107458</v>
      </c>
      <c r="O145" s="131">
        <f t="shared" si="19"/>
        <v>52.933089952107466</v>
      </c>
      <c r="P145" s="48">
        <f t="shared" si="20"/>
        <v>0</v>
      </c>
      <c r="Q145" s="58">
        <f t="shared" si="24"/>
        <v>0</v>
      </c>
      <c r="R145" s="152">
        <f t="shared" si="21"/>
        <v>52.933089952107466</v>
      </c>
      <c r="S145" s="131">
        <f t="shared" si="22"/>
        <v>-8.0669100478925344</v>
      </c>
      <c r="T145" s="151">
        <f t="shared" si="26"/>
        <v>0</v>
      </c>
      <c r="V145" s="12"/>
    </row>
    <row r="146" spans="1:22" x14ac:dyDescent="0.25">
      <c r="A146" s="50">
        <f>'A) Base RI'!A147</f>
        <v>5637</v>
      </c>
      <c r="B146" s="392" t="str">
        <f>'A) Base RI'!B147</f>
        <v>Lavigny</v>
      </c>
      <c r="C146" s="2">
        <v>679711.77259640349</v>
      </c>
      <c r="D146" s="430">
        <v>355638.13992123026</v>
      </c>
      <c r="E146" s="2">
        <v>0</v>
      </c>
      <c r="F146" s="430">
        <v>0</v>
      </c>
      <c r="G146" s="2">
        <v>0</v>
      </c>
      <c r="H146" s="395">
        <f t="shared" si="25"/>
        <v>1035349.9125176338</v>
      </c>
      <c r="I146" s="157">
        <v>35788.809619686814</v>
      </c>
      <c r="J146" s="398">
        <f>'B) D RI'!U147</f>
        <v>36088.085548098432</v>
      </c>
      <c r="K146" s="66">
        <f t="shared" si="23"/>
        <v>28.929431392658152</v>
      </c>
      <c r="L146" s="34">
        <f>'B) D RI'!S147</f>
        <v>74.5</v>
      </c>
      <c r="M146" s="34">
        <f t="shared" si="18"/>
        <v>45.570568607341848</v>
      </c>
      <c r="N146" s="34">
        <f>'J) Plafonnement effort'!G145+'J) Plafonnement effort'!H145-'K) Plafonnement aide'!I145</f>
        <v>27.235618148401183</v>
      </c>
      <c r="O146" s="131">
        <f t="shared" si="19"/>
        <v>72.806186755743028</v>
      </c>
      <c r="P146" s="48">
        <f t="shared" si="20"/>
        <v>0</v>
      </c>
      <c r="Q146" s="58">
        <f t="shared" si="24"/>
        <v>0</v>
      </c>
      <c r="R146" s="152">
        <f t="shared" si="21"/>
        <v>72.806186755743028</v>
      </c>
      <c r="S146" s="131">
        <f t="shared" si="22"/>
        <v>-1.6938132442569724</v>
      </c>
      <c r="T146" s="151">
        <f t="shared" si="26"/>
        <v>0</v>
      </c>
      <c r="V146" s="12"/>
    </row>
    <row r="147" spans="1:22" x14ac:dyDescent="0.25">
      <c r="A147" s="50">
        <f>'A) Base RI'!A148</f>
        <v>5638</v>
      </c>
      <c r="B147" s="392" t="str">
        <f>'A) Base RI'!B148</f>
        <v>Lonay</v>
      </c>
      <c r="C147" s="2">
        <v>3840484.1631349544</v>
      </c>
      <c r="D147" s="430">
        <v>2179067.5258204415</v>
      </c>
      <c r="E147" s="2">
        <v>0</v>
      </c>
      <c r="F147" s="430">
        <v>0</v>
      </c>
      <c r="G147" s="2">
        <v>0</v>
      </c>
      <c r="H147" s="395">
        <f t="shared" si="25"/>
        <v>6019551.6889553964</v>
      </c>
      <c r="I147" s="157">
        <v>150874.30218181817</v>
      </c>
      <c r="J147" s="398">
        <f>'B) D RI'!U148</f>
        <v>147307.25563636364</v>
      </c>
      <c r="K147" s="66">
        <f t="shared" si="23"/>
        <v>39.897793076128053</v>
      </c>
      <c r="L147" s="34">
        <f>'B) D RI'!S148</f>
        <v>55</v>
      </c>
      <c r="M147" s="34">
        <f t="shared" si="18"/>
        <v>15.102206923871947</v>
      </c>
      <c r="N147" s="34">
        <f>'J) Plafonnement effort'!G146+'J) Plafonnement effort'!H146-'K) Plafonnement aide'!I146</f>
        <v>45</v>
      </c>
      <c r="O147" s="131">
        <f t="shared" si="19"/>
        <v>60.102206923871947</v>
      </c>
      <c r="P147" s="48">
        <f t="shared" si="20"/>
        <v>0</v>
      </c>
      <c r="Q147" s="58">
        <f t="shared" si="24"/>
        <v>0</v>
      </c>
      <c r="R147" s="152">
        <f t="shared" si="21"/>
        <v>60.102206923871947</v>
      </c>
      <c r="S147" s="131">
        <f t="shared" si="22"/>
        <v>5.1022069238719467</v>
      </c>
      <c r="T147" s="151">
        <f t="shared" si="26"/>
        <v>0</v>
      </c>
      <c r="V147" s="12"/>
    </row>
    <row r="148" spans="1:22" x14ac:dyDescent="0.25">
      <c r="A148" s="50">
        <f>'A) Base RI'!A149</f>
        <v>5639</v>
      </c>
      <c r="B148" s="392" t="str">
        <f>'A) Base RI'!B149</f>
        <v>Lully</v>
      </c>
      <c r="C148" s="2">
        <v>704663.21787217632</v>
      </c>
      <c r="D148" s="430">
        <v>707288.09599558474</v>
      </c>
      <c r="E148" s="2">
        <v>0</v>
      </c>
      <c r="F148" s="430">
        <v>0</v>
      </c>
      <c r="G148" s="2">
        <v>0</v>
      </c>
      <c r="H148" s="395">
        <f t="shared" si="25"/>
        <v>1411951.3138677611</v>
      </c>
      <c r="I148" s="157">
        <v>41723.705573770494</v>
      </c>
      <c r="J148" s="398">
        <f>'B) D RI'!U149</f>
        <v>51219.676393442627</v>
      </c>
      <c r="K148" s="66">
        <f t="shared" si="23"/>
        <v>33.840506121186436</v>
      </c>
      <c r="L148" s="34">
        <f>'B) D RI'!S149</f>
        <v>61</v>
      </c>
      <c r="M148" s="34">
        <f t="shared" si="18"/>
        <v>27.159493878813564</v>
      </c>
      <c r="N148" s="34">
        <f>'J) Plafonnement effort'!G147+'J) Plafonnement effort'!H147-'K) Plafonnement aide'!I147</f>
        <v>40.296298456470893</v>
      </c>
      <c r="O148" s="131">
        <f t="shared" si="19"/>
        <v>67.455792335284457</v>
      </c>
      <c r="P148" s="48">
        <f t="shared" si="20"/>
        <v>0</v>
      </c>
      <c r="Q148" s="58">
        <f t="shared" si="24"/>
        <v>0</v>
      </c>
      <c r="R148" s="152">
        <f t="shared" si="21"/>
        <v>67.455792335284457</v>
      </c>
      <c r="S148" s="131">
        <f t="shared" si="22"/>
        <v>6.4557923352844568</v>
      </c>
      <c r="T148" s="151">
        <f t="shared" si="26"/>
        <v>0</v>
      </c>
      <c r="V148" s="12"/>
    </row>
    <row r="149" spans="1:22" x14ac:dyDescent="0.25">
      <c r="A149" s="50">
        <f>'A) Base RI'!A150</f>
        <v>5640</v>
      </c>
      <c r="B149" s="392" t="str">
        <f>'A) Base RI'!B150</f>
        <v>Lussy-sur-Morges</v>
      </c>
      <c r="C149" s="2">
        <v>1448165.7649134626</v>
      </c>
      <c r="D149" s="430">
        <v>885264.25359739072</v>
      </c>
      <c r="E149" s="2">
        <v>0</v>
      </c>
      <c r="F149" s="430">
        <v>0</v>
      </c>
      <c r="G149" s="2">
        <v>0</v>
      </c>
      <c r="H149" s="395">
        <f t="shared" si="25"/>
        <v>2333430.0185108534</v>
      </c>
      <c r="I149" s="157">
        <v>54175.567575757566</v>
      </c>
      <c r="J149" s="398">
        <f>'B) D RI'!U150</f>
        <v>55173.413636363643</v>
      </c>
      <c r="K149" s="66">
        <f t="shared" si="23"/>
        <v>43.071630310985697</v>
      </c>
      <c r="L149" s="34">
        <f>'B) D RI'!S150</f>
        <v>66</v>
      </c>
      <c r="M149" s="34">
        <f t="shared" si="18"/>
        <v>22.928369689014303</v>
      </c>
      <c r="N149" s="34">
        <f>'J) Plafonnement effort'!G148+'J) Plafonnement effort'!H148-'K) Plafonnement aide'!I148</f>
        <v>45</v>
      </c>
      <c r="O149" s="131">
        <f t="shared" si="19"/>
        <v>67.928369689014303</v>
      </c>
      <c r="P149" s="48">
        <f t="shared" si="20"/>
        <v>0</v>
      </c>
      <c r="Q149" s="58">
        <f t="shared" si="24"/>
        <v>0</v>
      </c>
      <c r="R149" s="152">
        <f t="shared" si="21"/>
        <v>67.928369689014303</v>
      </c>
      <c r="S149" s="131">
        <f t="shared" si="22"/>
        <v>1.9283696890143034</v>
      </c>
      <c r="T149" s="151">
        <f t="shared" si="26"/>
        <v>0</v>
      </c>
      <c r="V149" s="12"/>
    </row>
    <row r="150" spans="1:22" x14ac:dyDescent="0.25">
      <c r="A150" s="50">
        <f>'A) Base RI'!A151</f>
        <v>5642</v>
      </c>
      <c r="B150" s="392" t="str">
        <f>'A) Base RI'!B151</f>
        <v>Morges</v>
      </c>
      <c r="C150" s="2">
        <v>14313495.45966294</v>
      </c>
      <c r="D150" s="430">
        <v>4242110.2661235519</v>
      </c>
      <c r="E150" s="2">
        <v>0</v>
      </c>
      <c r="F150" s="430">
        <v>0</v>
      </c>
      <c r="G150" s="2">
        <v>0</v>
      </c>
      <c r="H150" s="395">
        <f t="shared" si="25"/>
        <v>18555605.725786492</v>
      </c>
      <c r="I150" s="157">
        <v>781778.61635036487</v>
      </c>
      <c r="J150" s="398">
        <f>'B) D RI'!U151</f>
        <v>737766.82978102157</v>
      </c>
      <c r="K150" s="66">
        <f t="shared" si="23"/>
        <v>23.73511546326376</v>
      </c>
      <c r="L150" s="34">
        <f>'B) D RI'!S151</f>
        <v>68.5</v>
      </c>
      <c r="M150" s="34">
        <f t="shared" si="18"/>
        <v>44.76488453673624</v>
      </c>
      <c r="N150" s="34">
        <f>'J) Plafonnement effort'!G149+'J) Plafonnement effort'!H149-'K) Plafonnement aide'!I149</f>
        <v>25.289279220302397</v>
      </c>
      <c r="O150" s="131">
        <f t="shared" si="19"/>
        <v>70.054163757038637</v>
      </c>
      <c r="P150" s="48">
        <f t="shared" si="20"/>
        <v>0</v>
      </c>
      <c r="Q150" s="58">
        <f t="shared" si="24"/>
        <v>0</v>
      </c>
      <c r="R150" s="152">
        <f t="shared" si="21"/>
        <v>70.054163757038637</v>
      </c>
      <c r="S150" s="131">
        <f t="shared" si="22"/>
        <v>1.5541637570386371</v>
      </c>
      <c r="T150" s="151">
        <f t="shared" si="26"/>
        <v>0</v>
      </c>
      <c r="V150" s="12"/>
    </row>
    <row r="151" spans="1:22" x14ac:dyDescent="0.25">
      <c r="A151" s="50">
        <f>'A) Base RI'!A152</f>
        <v>5643</v>
      </c>
      <c r="B151" s="392" t="str">
        <f>'A) Base RI'!B152</f>
        <v>Préverenges</v>
      </c>
      <c r="C151" s="2">
        <v>4520778.5253200699</v>
      </c>
      <c r="D151" s="430">
        <v>3004090.285095958</v>
      </c>
      <c r="E151" s="2">
        <v>0</v>
      </c>
      <c r="F151" s="430">
        <v>0</v>
      </c>
      <c r="G151" s="2">
        <v>0</v>
      </c>
      <c r="H151" s="395">
        <f t="shared" si="25"/>
        <v>7524868.8104160279</v>
      </c>
      <c r="I151" s="157">
        <v>262779.91921874997</v>
      </c>
      <c r="J151" s="398">
        <f>'B) D RI'!U152</f>
        <v>261619.24140624996</v>
      </c>
      <c r="K151" s="66">
        <f t="shared" si="23"/>
        <v>28.635631035992457</v>
      </c>
      <c r="L151" s="34">
        <f>'B) D RI'!S152</f>
        <v>64</v>
      </c>
      <c r="M151" s="34">
        <f t="shared" si="18"/>
        <v>35.364368964007539</v>
      </c>
      <c r="N151" s="34">
        <f>'J) Plafonnement effort'!G150+'J) Plafonnement effort'!H150-'K) Plafonnement aide'!I150</f>
        <v>30.66815830569368</v>
      </c>
      <c r="O151" s="131">
        <f t="shared" si="19"/>
        <v>66.03252726970122</v>
      </c>
      <c r="P151" s="48">
        <f t="shared" si="20"/>
        <v>0</v>
      </c>
      <c r="Q151" s="58">
        <f t="shared" si="24"/>
        <v>0</v>
      </c>
      <c r="R151" s="152">
        <f t="shared" si="21"/>
        <v>66.03252726970122</v>
      </c>
      <c r="S151" s="131">
        <f t="shared" si="22"/>
        <v>2.0325272697012196</v>
      </c>
      <c r="T151" s="151">
        <f t="shared" si="26"/>
        <v>0</v>
      </c>
      <c r="V151" s="12"/>
    </row>
    <row r="152" spans="1:22" x14ac:dyDescent="0.25">
      <c r="A152" s="50">
        <f>'A) Base RI'!A153</f>
        <v>5644</v>
      </c>
      <c r="B152" s="392" t="str">
        <f>'A) Base RI'!B153</f>
        <v>Reverolle</v>
      </c>
      <c r="C152" s="2">
        <v>245173.79651307387</v>
      </c>
      <c r="D152" s="430">
        <v>170802.90064118704</v>
      </c>
      <c r="E152" s="2">
        <v>0</v>
      </c>
      <c r="F152" s="430">
        <v>0</v>
      </c>
      <c r="G152" s="2">
        <v>0</v>
      </c>
      <c r="H152" s="395">
        <f t="shared" si="25"/>
        <v>415976.69715426094</v>
      </c>
      <c r="I152" s="157">
        <v>14128.860263157892</v>
      </c>
      <c r="J152" s="398">
        <f>'B) D RI'!U153</f>
        <v>14956.659078947367</v>
      </c>
      <c r="K152" s="66">
        <f t="shared" si="23"/>
        <v>29.441631483818458</v>
      </c>
      <c r="L152" s="34">
        <f>'B) D RI'!S153</f>
        <v>76</v>
      </c>
      <c r="M152" s="34">
        <f t="shared" si="18"/>
        <v>46.558368516181545</v>
      </c>
      <c r="N152" s="34">
        <f>'J) Plafonnement effort'!G151+'J) Plafonnement effort'!H151-'K) Plafonnement aide'!I151</f>
        <v>28.321953821073176</v>
      </c>
      <c r="O152" s="131">
        <f t="shared" si="19"/>
        <v>74.880322337254725</v>
      </c>
      <c r="P152" s="48">
        <f t="shared" si="20"/>
        <v>0</v>
      </c>
      <c r="Q152" s="58">
        <f t="shared" si="24"/>
        <v>0</v>
      </c>
      <c r="R152" s="152">
        <f t="shared" si="21"/>
        <v>74.880322337254725</v>
      </c>
      <c r="S152" s="131">
        <f t="shared" si="22"/>
        <v>-1.1196776627452749</v>
      </c>
      <c r="T152" s="151">
        <f t="shared" si="26"/>
        <v>0</v>
      </c>
      <c r="V152" s="12"/>
    </row>
    <row r="153" spans="1:22" x14ac:dyDescent="0.25">
      <c r="A153" s="50">
        <f>'A) Base RI'!A154</f>
        <v>5645</v>
      </c>
      <c r="B153" s="392" t="str">
        <f>'A) Base RI'!B154</f>
        <v>Romanel-sur-Morges</v>
      </c>
      <c r="C153" s="2">
        <v>469201.85162298527</v>
      </c>
      <c r="D153" s="430">
        <v>448637.30785085371</v>
      </c>
      <c r="E153" s="2">
        <v>0</v>
      </c>
      <c r="F153" s="430">
        <v>0</v>
      </c>
      <c r="G153" s="2">
        <v>0</v>
      </c>
      <c r="H153" s="395">
        <f t="shared" si="25"/>
        <v>917839.15947383898</v>
      </c>
      <c r="I153" s="157">
        <v>26355.884598214288</v>
      </c>
      <c r="J153" s="398">
        <f>'B) D RI'!U154</f>
        <v>26019.982455357142</v>
      </c>
      <c r="K153" s="66">
        <f t="shared" si="23"/>
        <v>34.824828438352853</v>
      </c>
      <c r="L153" s="34">
        <f>'B) D RI'!S154</f>
        <v>56</v>
      </c>
      <c r="M153" s="34">
        <f t="shared" si="18"/>
        <v>21.175171561647147</v>
      </c>
      <c r="N153" s="34">
        <f>'J) Plafonnement effort'!G152+'J) Plafonnement effort'!H152-'K) Plafonnement aide'!I152</f>
        <v>36.921773102330235</v>
      </c>
      <c r="O153" s="131">
        <f t="shared" si="19"/>
        <v>58.096944663977382</v>
      </c>
      <c r="P153" s="48">
        <f t="shared" si="20"/>
        <v>0</v>
      </c>
      <c r="Q153" s="58">
        <f t="shared" si="24"/>
        <v>0</v>
      </c>
      <c r="R153" s="152">
        <f t="shared" si="21"/>
        <v>58.096944663977382</v>
      </c>
      <c r="S153" s="131">
        <f t="shared" si="22"/>
        <v>2.0969446639773821</v>
      </c>
      <c r="T153" s="151">
        <f t="shared" si="26"/>
        <v>0</v>
      </c>
      <c r="V153" s="12"/>
    </row>
    <row r="154" spans="1:22" x14ac:dyDescent="0.25">
      <c r="A154" s="50">
        <f>'A) Base RI'!A155</f>
        <v>5646</v>
      </c>
      <c r="B154" s="392" t="str">
        <f>'A) Base RI'!B155</f>
        <v>Saint-Prex</v>
      </c>
      <c r="C154" s="2">
        <v>13177740.641631898</v>
      </c>
      <c r="D154" s="430">
        <v>6947723.0312315505</v>
      </c>
      <c r="E154" s="2">
        <v>0</v>
      </c>
      <c r="F154" s="430">
        <v>0</v>
      </c>
      <c r="G154" s="2">
        <v>0</v>
      </c>
      <c r="H154" s="395">
        <f t="shared" si="25"/>
        <v>20125463.672863446</v>
      </c>
      <c r="I154" s="157">
        <v>529776.58672727272</v>
      </c>
      <c r="J154" s="398">
        <f>'B) D RI'!U155</f>
        <v>564783.52799999982</v>
      </c>
      <c r="K154" s="66">
        <f t="shared" si="23"/>
        <v>37.988586466589112</v>
      </c>
      <c r="L154" s="34">
        <f>'B) D RI'!S155</f>
        <v>55</v>
      </c>
      <c r="M154" s="34">
        <f t="shared" si="18"/>
        <v>17.011413533410888</v>
      </c>
      <c r="N154" s="34">
        <f>'J) Plafonnement effort'!G153+'J) Plafonnement effort'!H153-'K) Plafonnement aide'!I153</f>
        <v>44.464115713283419</v>
      </c>
      <c r="O154" s="131">
        <f t="shared" si="19"/>
        <v>61.475529246694308</v>
      </c>
      <c r="P154" s="48">
        <f t="shared" si="20"/>
        <v>0</v>
      </c>
      <c r="Q154" s="58">
        <f t="shared" si="24"/>
        <v>0</v>
      </c>
      <c r="R154" s="152">
        <f t="shared" si="21"/>
        <v>61.475529246694308</v>
      </c>
      <c r="S154" s="131">
        <f t="shared" si="22"/>
        <v>6.4755292466943075</v>
      </c>
      <c r="T154" s="151">
        <f t="shared" si="26"/>
        <v>0</v>
      </c>
      <c r="V154" s="12"/>
    </row>
    <row r="155" spans="1:22" x14ac:dyDescent="0.25">
      <c r="A155" s="50">
        <f>'A) Base RI'!A156</f>
        <v>5648</v>
      </c>
      <c r="B155" s="392" t="str">
        <f>'A) Base RI'!B156</f>
        <v>Saint-Sulpice</v>
      </c>
      <c r="C155" s="2">
        <v>7908976.9908851478</v>
      </c>
      <c r="D155" s="430">
        <v>4344957.3170102267</v>
      </c>
      <c r="E155" s="2">
        <v>0</v>
      </c>
      <c r="F155" s="430">
        <v>0</v>
      </c>
      <c r="G155" s="2">
        <v>0</v>
      </c>
      <c r="H155" s="395">
        <f t="shared" si="25"/>
        <v>12253934.307895374</v>
      </c>
      <c r="I155" s="157">
        <v>320539.61704545456</v>
      </c>
      <c r="J155" s="398">
        <f>'B) D RI'!U156</f>
        <v>360934.92836363643</v>
      </c>
      <c r="K155" s="66">
        <f t="shared" si="23"/>
        <v>38.229078891542095</v>
      </c>
      <c r="L155" s="34">
        <f>'B) D RI'!S156</f>
        <v>55</v>
      </c>
      <c r="M155" s="34">
        <f t="shared" si="18"/>
        <v>16.770921108457905</v>
      </c>
      <c r="N155" s="34">
        <f>'J) Plafonnement effort'!G154+'J) Plafonnement effort'!H154-'K) Plafonnement aide'!I154</f>
        <v>42.153307400992233</v>
      </c>
      <c r="O155" s="131">
        <f t="shared" si="19"/>
        <v>58.924228509450138</v>
      </c>
      <c r="P155" s="48">
        <f t="shared" si="20"/>
        <v>0</v>
      </c>
      <c r="Q155" s="58">
        <f t="shared" si="24"/>
        <v>0</v>
      </c>
      <c r="R155" s="152">
        <f t="shared" si="21"/>
        <v>58.924228509450138</v>
      </c>
      <c r="S155" s="131">
        <f t="shared" si="22"/>
        <v>3.9242285094501383</v>
      </c>
      <c r="T155" s="151">
        <f t="shared" si="26"/>
        <v>0</v>
      </c>
      <c r="V155" s="12"/>
    </row>
    <row r="156" spans="1:22" x14ac:dyDescent="0.25">
      <c r="A156" s="50">
        <f>'A) Base RI'!A157</f>
        <v>5649</v>
      </c>
      <c r="B156" s="392" t="str">
        <f>'A) Base RI'!B157</f>
        <v>Tolochenaz</v>
      </c>
      <c r="C156" s="2">
        <v>1639845.2571999696</v>
      </c>
      <c r="D156" s="430">
        <v>986191.96868312801</v>
      </c>
      <c r="E156" s="2">
        <v>0</v>
      </c>
      <c r="F156" s="430">
        <v>0</v>
      </c>
      <c r="G156" s="2">
        <v>0</v>
      </c>
      <c r="H156" s="395">
        <f t="shared" si="25"/>
        <v>2626037.2258830974</v>
      </c>
      <c r="I156" s="157">
        <v>78727.730769230766</v>
      </c>
      <c r="J156" s="398">
        <f>'B) D RI'!U157</f>
        <v>176105.76399999997</v>
      </c>
      <c r="K156" s="66">
        <f t="shared" si="23"/>
        <v>33.355936977030638</v>
      </c>
      <c r="L156" s="34">
        <f>'B) D RI'!S157</f>
        <v>65</v>
      </c>
      <c r="M156" s="34">
        <f t="shared" si="18"/>
        <v>31.644063022969362</v>
      </c>
      <c r="N156" s="34">
        <f>'J) Plafonnement effort'!G155+'J) Plafonnement effort'!H155-'K) Plafonnement aide'!I155</f>
        <v>45</v>
      </c>
      <c r="O156" s="131">
        <f t="shared" si="19"/>
        <v>76.644063022969362</v>
      </c>
      <c r="P156" s="48">
        <f t="shared" si="20"/>
        <v>0</v>
      </c>
      <c r="Q156" s="58">
        <f t="shared" si="24"/>
        <v>0</v>
      </c>
      <c r="R156" s="152">
        <f t="shared" si="21"/>
        <v>76.644063022969362</v>
      </c>
      <c r="S156" s="131">
        <f t="shared" si="22"/>
        <v>11.644063022969362</v>
      </c>
      <c r="T156" s="151">
        <f t="shared" si="26"/>
        <v>0</v>
      </c>
      <c r="V156" s="12"/>
    </row>
    <row r="157" spans="1:22" x14ac:dyDescent="0.25">
      <c r="A157" s="50">
        <f>'A) Base RI'!A158</f>
        <v>5650</v>
      </c>
      <c r="B157" s="392" t="str">
        <f>'A) Base RI'!B158</f>
        <v>Vaux-sur-Morges</v>
      </c>
      <c r="C157" s="2">
        <v>7404425.957452165</v>
      </c>
      <c r="D157" s="430">
        <v>2186869.3220986379</v>
      </c>
      <c r="E157" s="2">
        <v>0</v>
      </c>
      <c r="F157" s="430">
        <v>-2049545.2224079473</v>
      </c>
      <c r="G157" s="2">
        <v>0</v>
      </c>
      <c r="H157" s="395">
        <f t="shared" si="25"/>
        <v>7541750.0571428547</v>
      </c>
      <c r="I157" s="157">
        <v>167594.44571428568</v>
      </c>
      <c r="J157" s="398">
        <f>'B) D RI'!U158</f>
        <v>169595.47750000004</v>
      </c>
      <c r="K157" s="66">
        <f t="shared" si="23"/>
        <v>44.999999999999993</v>
      </c>
      <c r="L157" s="34">
        <f>'B) D RI'!S158</f>
        <v>56</v>
      </c>
      <c r="M157" s="34">
        <f t="shared" si="18"/>
        <v>11.000000000000007</v>
      </c>
      <c r="N157" s="34">
        <f>'J) Plafonnement effort'!G156+'J) Plafonnement effort'!H156-'K) Plafonnement aide'!I156</f>
        <v>45</v>
      </c>
      <c r="O157" s="131">
        <f t="shared" si="19"/>
        <v>56.000000000000007</v>
      </c>
      <c r="P157" s="48">
        <f t="shared" si="20"/>
        <v>0</v>
      </c>
      <c r="Q157" s="58">
        <f t="shared" si="24"/>
        <v>0</v>
      </c>
      <c r="R157" s="152">
        <f t="shared" si="21"/>
        <v>56.000000000000007</v>
      </c>
      <c r="S157" s="131">
        <f t="shared" si="22"/>
        <v>0</v>
      </c>
      <c r="T157" s="151">
        <f t="shared" si="26"/>
        <v>0</v>
      </c>
      <c r="V157" s="12"/>
    </row>
    <row r="158" spans="1:22" x14ac:dyDescent="0.25">
      <c r="A158" s="50">
        <f>'A) Base RI'!A159</f>
        <v>5651</v>
      </c>
      <c r="B158" s="392" t="str">
        <f>'A) Base RI'!B159</f>
        <v>Villars-Sainte-Croix</v>
      </c>
      <c r="C158" s="2">
        <v>816163.66730860923</v>
      </c>
      <c r="D158" s="430">
        <v>652290.94211037143</v>
      </c>
      <c r="E158" s="2">
        <v>0</v>
      </c>
      <c r="F158" s="430">
        <v>0</v>
      </c>
      <c r="G158" s="2">
        <v>0</v>
      </c>
      <c r="H158" s="395">
        <f t="shared" si="25"/>
        <v>1468454.6094189808</v>
      </c>
      <c r="I158" s="157">
        <v>39092.930338983046</v>
      </c>
      <c r="J158" s="398">
        <f>'B) D RI'!U159</f>
        <v>47710.277796610164</v>
      </c>
      <c r="K158" s="66">
        <f t="shared" si="23"/>
        <v>37.563175660808774</v>
      </c>
      <c r="L158" s="34">
        <f>'B) D RI'!S159</f>
        <v>59</v>
      </c>
      <c r="M158" s="34">
        <f t="shared" si="18"/>
        <v>21.436824339191226</v>
      </c>
      <c r="N158" s="34">
        <f>'J) Plafonnement effort'!G157+'J) Plafonnement effort'!H157-'K) Plafonnement aide'!I157</f>
        <v>38.637153969599851</v>
      </c>
      <c r="O158" s="131">
        <f t="shared" si="19"/>
        <v>60.073978308791077</v>
      </c>
      <c r="P158" s="48">
        <f t="shared" si="20"/>
        <v>0</v>
      </c>
      <c r="Q158" s="58">
        <f t="shared" si="24"/>
        <v>0</v>
      </c>
      <c r="R158" s="152">
        <f t="shared" si="21"/>
        <v>60.073978308791077</v>
      </c>
      <c r="S158" s="131">
        <f t="shared" si="22"/>
        <v>1.0739783087910766</v>
      </c>
      <c r="T158" s="151">
        <f t="shared" si="26"/>
        <v>0</v>
      </c>
      <c r="V158" s="12"/>
    </row>
    <row r="159" spans="1:22" x14ac:dyDescent="0.25">
      <c r="A159" s="50">
        <f>'A) Base RI'!A160</f>
        <v>5652</v>
      </c>
      <c r="B159" s="392" t="str">
        <f>'A) Base RI'!B160</f>
        <v>Villars-sous-Yens</v>
      </c>
      <c r="C159" s="2">
        <v>395812.3995040849</v>
      </c>
      <c r="D159" s="430">
        <v>234127.79080275184</v>
      </c>
      <c r="E159" s="2">
        <v>0</v>
      </c>
      <c r="F159" s="430">
        <v>0</v>
      </c>
      <c r="G159" s="2">
        <v>0</v>
      </c>
      <c r="H159" s="395">
        <f t="shared" si="25"/>
        <v>629940.19030683674</v>
      </c>
      <c r="I159" s="157">
        <v>21921.455131578947</v>
      </c>
      <c r="J159" s="398">
        <f>'B) D RI'!U160</f>
        <v>25794.085109649121</v>
      </c>
      <c r="K159" s="66">
        <f t="shared" si="23"/>
        <v>28.736239748946982</v>
      </c>
      <c r="L159" s="34">
        <f>'B) D RI'!S160</f>
        <v>76</v>
      </c>
      <c r="M159" s="34">
        <f t="shared" si="18"/>
        <v>47.263760251053014</v>
      </c>
      <c r="N159" s="34">
        <f>'J) Plafonnement effort'!G158+'J) Plafonnement effort'!H158-'K) Plafonnement aide'!I158</f>
        <v>32.089581408521205</v>
      </c>
      <c r="O159" s="131">
        <f t="shared" si="19"/>
        <v>79.353341659574227</v>
      </c>
      <c r="P159" s="48">
        <f t="shared" si="20"/>
        <v>0</v>
      </c>
      <c r="Q159" s="58">
        <f t="shared" si="24"/>
        <v>0</v>
      </c>
      <c r="R159" s="152">
        <f t="shared" si="21"/>
        <v>79.353341659574227</v>
      </c>
      <c r="S159" s="131">
        <f t="shared" si="22"/>
        <v>3.3533416595742267</v>
      </c>
      <c r="T159" s="151">
        <f t="shared" si="26"/>
        <v>0</v>
      </c>
      <c r="V159" s="12"/>
    </row>
    <row r="160" spans="1:22" x14ac:dyDescent="0.25">
      <c r="A160" s="50">
        <f>'A) Base RI'!A161</f>
        <v>5653</v>
      </c>
      <c r="B160" s="392" t="str">
        <f>'A) Base RI'!B161</f>
        <v>Vufflens-le-Château</v>
      </c>
      <c r="C160" s="2">
        <v>1278541.1072769873</v>
      </c>
      <c r="D160" s="430">
        <v>1016429.4595409319</v>
      </c>
      <c r="E160" s="2">
        <v>0</v>
      </c>
      <c r="F160" s="430">
        <v>0</v>
      </c>
      <c r="G160" s="2">
        <v>0</v>
      </c>
      <c r="H160" s="395">
        <f t="shared" si="25"/>
        <v>2294970.5668179193</v>
      </c>
      <c r="I160" s="157">
        <v>61105.159227272721</v>
      </c>
      <c r="J160" s="398">
        <f>'B) D RI'!U161</f>
        <v>58104.710727272715</v>
      </c>
      <c r="K160" s="66">
        <f t="shared" si="23"/>
        <v>37.557721734789588</v>
      </c>
      <c r="L160" s="34">
        <f>'B) D RI'!S161</f>
        <v>55</v>
      </c>
      <c r="M160" s="34">
        <f t="shared" si="18"/>
        <v>17.442278265210412</v>
      </c>
      <c r="N160" s="34">
        <f>'J) Plafonnement effort'!G159+'J) Plafonnement effort'!H159-'K) Plafonnement aide'!I159</f>
        <v>38.958049397451589</v>
      </c>
      <c r="O160" s="131">
        <f t="shared" si="19"/>
        <v>56.400327662662001</v>
      </c>
      <c r="P160" s="48">
        <f t="shared" si="20"/>
        <v>0</v>
      </c>
      <c r="Q160" s="58">
        <f t="shared" si="24"/>
        <v>0</v>
      </c>
      <c r="R160" s="152">
        <f t="shared" si="21"/>
        <v>56.400327662662001</v>
      </c>
      <c r="S160" s="131">
        <f t="shared" si="22"/>
        <v>1.4003276626620007</v>
      </c>
      <c r="T160" s="151">
        <f t="shared" si="26"/>
        <v>0</v>
      </c>
      <c r="V160" s="12"/>
    </row>
    <row r="161" spans="1:22" x14ac:dyDescent="0.25">
      <c r="A161" s="50">
        <f>'A) Base RI'!A162</f>
        <v>5654</v>
      </c>
      <c r="B161" s="392" t="str">
        <f>'A) Base RI'!B162</f>
        <v>Vullierens</v>
      </c>
      <c r="C161" s="2">
        <v>307733.35035198746</v>
      </c>
      <c r="D161" s="430">
        <v>190632.49924806401</v>
      </c>
      <c r="E161" s="2">
        <v>0</v>
      </c>
      <c r="F161" s="430">
        <v>0</v>
      </c>
      <c r="G161" s="2">
        <v>0</v>
      </c>
      <c r="H161" s="395">
        <f t="shared" si="25"/>
        <v>498365.84960005147</v>
      </c>
      <c r="I161" s="157">
        <v>17141.735000000001</v>
      </c>
      <c r="J161" s="398">
        <f>'B) D RI'!U162</f>
        <v>18548.379210526316</v>
      </c>
      <c r="K161" s="66">
        <f t="shared" si="23"/>
        <v>29.073244312786976</v>
      </c>
      <c r="L161" s="34">
        <f>'B) D RI'!S162</f>
        <v>76</v>
      </c>
      <c r="M161" s="34">
        <f t="shared" si="18"/>
        <v>46.926755687213024</v>
      </c>
      <c r="N161" s="34">
        <f>'J) Plafonnement effort'!G160+'J) Plafonnement effort'!H160-'K) Plafonnement aide'!I160</f>
        <v>28.16660727635206</v>
      </c>
      <c r="O161" s="131">
        <f t="shared" si="19"/>
        <v>75.093362963565085</v>
      </c>
      <c r="P161" s="48">
        <f t="shared" si="20"/>
        <v>0</v>
      </c>
      <c r="Q161" s="58">
        <f t="shared" si="24"/>
        <v>0</v>
      </c>
      <c r="R161" s="152">
        <f t="shared" si="21"/>
        <v>75.093362963565085</v>
      </c>
      <c r="S161" s="131">
        <f t="shared" si="22"/>
        <v>-0.90663703643491544</v>
      </c>
      <c r="T161" s="151">
        <f t="shared" si="26"/>
        <v>0</v>
      </c>
      <c r="V161" s="12"/>
    </row>
    <row r="162" spans="1:22" x14ac:dyDescent="0.25">
      <c r="A162" s="50">
        <f>'A) Base RI'!A163</f>
        <v>5655</v>
      </c>
      <c r="B162" s="392" t="str">
        <f>'A) Base RI'!B163</f>
        <v>Yens</v>
      </c>
      <c r="C162" s="2">
        <v>1523915.6779480735</v>
      </c>
      <c r="D162" s="430">
        <v>1319196.0493712458</v>
      </c>
      <c r="E162" s="2">
        <v>0</v>
      </c>
      <c r="F162" s="430">
        <v>0</v>
      </c>
      <c r="G162" s="2">
        <v>0</v>
      </c>
      <c r="H162" s="395">
        <f t="shared" si="25"/>
        <v>2843111.7273193193</v>
      </c>
      <c r="I162" s="157">
        <v>83580.564109589031</v>
      </c>
      <c r="J162" s="398">
        <f>'B) D RI'!U163</f>
        <v>71567.801506849311</v>
      </c>
      <c r="K162" s="66">
        <f t="shared" si="23"/>
        <v>34.016421851275048</v>
      </c>
      <c r="L162" s="34">
        <f>'B) D RI'!S163</f>
        <v>73</v>
      </c>
      <c r="M162" s="34">
        <f t="shared" si="18"/>
        <v>38.983578148724952</v>
      </c>
      <c r="N162" s="34">
        <f>'J) Plafonnement effort'!G161+'J) Plafonnement effort'!H161-'K) Plafonnement aide'!I161</f>
        <v>39.528371729007191</v>
      </c>
      <c r="O162" s="131">
        <f t="shared" si="19"/>
        <v>78.51194987773215</v>
      </c>
      <c r="P162" s="48">
        <f t="shared" si="20"/>
        <v>0</v>
      </c>
      <c r="Q162" s="58">
        <f t="shared" si="24"/>
        <v>0</v>
      </c>
      <c r="R162" s="152">
        <f t="shared" si="21"/>
        <v>78.51194987773215</v>
      </c>
      <c r="S162" s="131">
        <f t="shared" si="22"/>
        <v>5.5119498777321496</v>
      </c>
      <c r="T162" s="151">
        <f t="shared" si="26"/>
        <v>0</v>
      </c>
      <c r="V162" s="12"/>
    </row>
    <row r="163" spans="1:22" x14ac:dyDescent="0.25">
      <c r="A163" s="50">
        <f>'A) Base RI'!A164</f>
        <v>5661</v>
      </c>
      <c r="B163" s="392" t="str">
        <f>'A) Base RI'!B164</f>
        <v>Boulens</v>
      </c>
      <c r="C163" s="2">
        <v>168781.59053624372</v>
      </c>
      <c r="D163" s="430">
        <v>-32106.987533684238</v>
      </c>
      <c r="E163" s="2">
        <v>0</v>
      </c>
      <c r="F163" s="430">
        <v>0</v>
      </c>
      <c r="G163" s="2">
        <v>0</v>
      </c>
      <c r="H163" s="395">
        <f t="shared" si="25"/>
        <v>136674.60300255948</v>
      </c>
      <c r="I163" s="157">
        <v>9592.9711392405043</v>
      </c>
      <c r="J163" s="398">
        <f>'B) D RI'!U164</f>
        <v>9056.8577215189871</v>
      </c>
      <c r="K163" s="66">
        <f t="shared" si="23"/>
        <v>14.247369351866965</v>
      </c>
      <c r="L163" s="34">
        <f>'B) D RI'!S164</f>
        <v>79</v>
      </c>
      <c r="M163" s="34">
        <f t="shared" si="18"/>
        <v>64.752630648133035</v>
      </c>
      <c r="N163" s="34">
        <f>'J) Plafonnement effort'!G162+'J) Plafonnement effort'!H162-'K) Plafonnement aide'!I162</f>
        <v>8.2334220856036868</v>
      </c>
      <c r="O163" s="131">
        <f t="shared" si="19"/>
        <v>72.986052733736727</v>
      </c>
      <c r="P163" s="48">
        <f t="shared" si="20"/>
        <v>0</v>
      </c>
      <c r="Q163" s="58">
        <f t="shared" si="24"/>
        <v>0</v>
      </c>
      <c r="R163" s="152">
        <f t="shared" si="21"/>
        <v>72.986052733736727</v>
      </c>
      <c r="S163" s="131">
        <f t="shared" si="22"/>
        <v>-6.0139472662632727</v>
      </c>
      <c r="T163" s="151">
        <f t="shared" si="26"/>
        <v>0</v>
      </c>
      <c r="V163" s="12"/>
    </row>
    <row r="164" spans="1:22" x14ac:dyDescent="0.25">
      <c r="A164" s="50">
        <f>'A) Base RI'!A165</f>
        <v>5663</v>
      </c>
      <c r="B164" s="392" t="str">
        <f>'A) Base RI'!B165</f>
        <v>Bussy-sur-Moudon</v>
      </c>
      <c r="C164" s="2">
        <v>93017.643507540386</v>
      </c>
      <c r="D164" s="430">
        <v>-18632.879028188967</v>
      </c>
      <c r="E164" s="2">
        <v>0</v>
      </c>
      <c r="F164" s="430">
        <v>0</v>
      </c>
      <c r="G164" s="2">
        <v>0</v>
      </c>
      <c r="H164" s="395">
        <f t="shared" si="25"/>
        <v>74384.764479351419</v>
      </c>
      <c r="I164" s="157">
        <v>5468.4132499999996</v>
      </c>
      <c r="J164" s="398">
        <f>'B) D RI'!U165</f>
        <v>5655.1166249999997</v>
      </c>
      <c r="K164" s="66">
        <f t="shared" si="23"/>
        <v>13.602623115462501</v>
      </c>
      <c r="L164" s="34">
        <f>'B) D RI'!S165</f>
        <v>80</v>
      </c>
      <c r="M164" s="34">
        <f t="shared" si="18"/>
        <v>66.397376884537493</v>
      </c>
      <c r="N164" s="34">
        <f>'J) Plafonnement effort'!G163+'J) Plafonnement effort'!H163-'K) Plafonnement aide'!I163</f>
        <v>3.8515101603300455</v>
      </c>
      <c r="O164" s="131">
        <f t="shared" si="19"/>
        <v>70.248887044867544</v>
      </c>
      <c r="P164" s="48">
        <f t="shared" si="20"/>
        <v>0</v>
      </c>
      <c r="Q164" s="58">
        <f t="shared" si="24"/>
        <v>0</v>
      </c>
      <c r="R164" s="152">
        <f t="shared" si="21"/>
        <v>70.248887044867544</v>
      </c>
      <c r="S164" s="131">
        <f t="shared" si="22"/>
        <v>-9.7511129551324558</v>
      </c>
      <c r="T164" s="151">
        <f t="shared" si="26"/>
        <v>0</v>
      </c>
      <c r="V164" s="12"/>
    </row>
    <row r="165" spans="1:22" x14ac:dyDescent="0.25">
      <c r="A165" s="50">
        <f>'A) Base RI'!A166</f>
        <v>5665</v>
      </c>
      <c r="B165" s="392" t="str">
        <f>'A) Base RI'!B166</f>
        <v>Chavannes-sur-Moudon</v>
      </c>
      <c r="C165" s="2">
        <v>76537.813903304734</v>
      </c>
      <c r="D165" s="430">
        <v>-38168.886049484354</v>
      </c>
      <c r="E165" s="2">
        <v>0</v>
      </c>
      <c r="F165" s="430">
        <v>0</v>
      </c>
      <c r="G165" s="2">
        <v>0</v>
      </c>
      <c r="H165" s="395">
        <f t="shared" si="25"/>
        <v>38368.92785382038</v>
      </c>
      <c r="I165" s="157">
        <v>4982.8790410958891</v>
      </c>
      <c r="J165" s="398">
        <f>'B) D RI'!U166</f>
        <v>5028.5345205479452</v>
      </c>
      <c r="K165" s="66">
        <f t="shared" si="23"/>
        <v>7.7001523692178298</v>
      </c>
      <c r="L165" s="34">
        <f>'B) D RI'!S166</f>
        <v>73</v>
      </c>
      <c r="M165" s="34">
        <f t="shared" si="18"/>
        <v>65.299847630782168</v>
      </c>
      <c r="N165" s="34">
        <f>'J) Plafonnement effort'!G164+'J) Plafonnement effort'!H164-'K) Plafonnement aide'!I164</f>
        <v>8.8359499854408412</v>
      </c>
      <c r="O165" s="131">
        <f t="shared" si="19"/>
        <v>74.135797616223016</v>
      </c>
      <c r="P165" s="48">
        <f t="shared" si="20"/>
        <v>0</v>
      </c>
      <c r="Q165" s="58">
        <f t="shared" si="24"/>
        <v>0</v>
      </c>
      <c r="R165" s="152">
        <f t="shared" si="21"/>
        <v>74.135797616223016</v>
      </c>
      <c r="S165" s="131">
        <f t="shared" si="22"/>
        <v>1.1357976162230159</v>
      </c>
      <c r="T165" s="151">
        <f t="shared" si="26"/>
        <v>0</v>
      </c>
      <c r="V165" s="12"/>
    </row>
    <row r="166" spans="1:22" x14ac:dyDescent="0.25">
      <c r="A166" s="50">
        <f>'A) Base RI'!A167</f>
        <v>5669</v>
      </c>
      <c r="B166" s="392" t="str">
        <f>'A) Base RI'!B167</f>
        <v>Curtilles</v>
      </c>
      <c r="C166" s="2">
        <v>128192.18445336494</v>
      </c>
      <c r="D166" s="430">
        <v>6954.6931049293489</v>
      </c>
      <c r="E166" s="2">
        <v>0</v>
      </c>
      <c r="F166" s="430">
        <v>0</v>
      </c>
      <c r="G166" s="2">
        <v>0</v>
      </c>
      <c r="H166" s="395">
        <f t="shared" si="25"/>
        <v>135146.87755829428</v>
      </c>
      <c r="I166" s="157">
        <v>8279.174027777779</v>
      </c>
      <c r="J166" s="398">
        <f>'B) D RI'!U167</f>
        <v>9029.3026666666665</v>
      </c>
      <c r="K166" s="66">
        <f t="shared" si="23"/>
        <v>16.323715035444081</v>
      </c>
      <c r="L166" s="34">
        <f>'B) D RI'!S167</f>
        <v>75</v>
      </c>
      <c r="M166" s="34">
        <f t="shared" si="18"/>
        <v>58.676284964555919</v>
      </c>
      <c r="N166" s="34">
        <f>'J) Plafonnement effort'!G165+'J) Plafonnement effort'!H165-'K) Plafonnement aide'!I165</f>
        <v>21.058536141470587</v>
      </c>
      <c r="O166" s="131">
        <f t="shared" si="19"/>
        <v>79.734821106026502</v>
      </c>
      <c r="P166" s="48">
        <f t="shared" si="20"/>
        <v>0</v>
      </c>
      <c r="Q166" s="58">
        <f t="shared" si="24"/>
        <v>0</v>
      </c>
      <c r="R166" s="152">
        <f t="shared" si="21"/>
        <v>79.734821106026502</v>
      </c>
      <c r="S166" s="131">
        <f t="shared" si="22"/>
        <v>4.7348211060265015</v>
      </c>
      <c r="T166" s="151">
        <f t="shared" si="26"/>
        <v>0</v>
      </c>
      <c r="V166" s="12"/>
    </row>
    <row r="167" spans="1:22" x14ac:dyDescent="0.25">
      <c r="A167" s="50">
        <f>'A) Base RI'!A168</f>
        <v>5671</v>
      </c>
      <c r="B167" s="392" t="str">
        <f>'A) Base RI'!B168</f>
        <v>Dompierre</v>
      </c>
      <c r="C167" s="2">
        <v>100874.85887194227</v>
      </c>
      <c r="D167" s="430">
        <v>-7914.4969811718183</v>
      </c>
      <c r="E167" s="2">
        <v>0</v>
      </c>
      <c r="F167" s="430">
        <v>0</v>
      </c>
      <c r="G167" s="2">
        <v>0</v>
      </c>
      <c r="H167" s="395">
        <f t="shared" si="25"/>
        <v>92960.361890770451</v>
      </c>
      <c r="I167" s="157">
        <v>6672.7971250000001</v>
      </c>
      <c r="J167" s="398">
        <f>'B) D RI'!U168</f>
        <v>6333.6785</v>
      </c>
      <c r="K167" s="66">
        <f t="shared" si="23"/>
        <v>13.931243547400738</v>
      </c>
      <c r="L167" s="34">
        <f>'B) D RI'!S168</f>
        <v>80</v>
      </c>
      <c r="M167" s="34">
        <f t="shared" ref="M167:M218" si="27">L167-K167</f>
        <v>66.06875645259926</v>
      </c>
      <c r="N167" s="34">
        <f>'J) Plafonnement effort'!G166+'J) Plafonnement effort'!H166-'K) Plafonnement aide'!I166</f>
        <v>-0.21645127376791073</v>
      </c>
      <c r="O167" s="131">
        <f t="shared" ref="O167:O218" si="28">M167+N167</f>
        <v>65.852305178831344</v>
      </c>
      <c r="P167" s="48">
        <f t="shared" ref="P167:P218" si="29">IF(O167&gt;$P$5,$P$5-O167,0)</f>
        <v>0</v>
      </c>
      <c r="Q167" s="58">
        <f t="shared" si="24"/>
        <v>0</v>
      </c>
      <c r="R167" s="152">
        <f t="shared" ref="R167:R218" si="30">O167+P167</f>
        <v>65.852305178831344</v>
      </c>
      <c r="S167" s="131">
        <f t="shared" ref="S167:S218" si="31">R167-L167</f>
        <v>-14.147694821168656</v>
      </c>
      <c r="T167" s="151">
        <f t="shared" si="26"/>
        <v>0</v>
      </c>
      <c r="V167" s="12"/>
    </row>
    <row r="168" spans="1:22" x14ac:dyDescent="0.25">
      <c r="A168" s="50">
        <f>'A) Base RI'!A169</f>
        <v>5673</v>
      </c>
      <c r="B168" s="392" t="str">
        <f>'A) Base RI'!B169</f>
        <v>Hermenches</v>
      </c>
      <c r="C168" s="2">
        <v>131795.23801819698</v>
      </c>
      <c r="D168" s="430">
        <v>-97889.670780563058</v>
      </c>
      <c r="E168" s="2">
        <v>0</v>
      </c>
      <c r="F168" s="430">
        <v>0</v>
      </c>
      <c r="G168" s="2">
        <v>0</v>
      </c>
      <c r="H168" s="395">
        <f t="shared" si="25"/>
        <v>33905.567237633921</v>
      </c>
      <c r="I168" s="157">
        <v>7873.3323555555571</v>
      </c>
      <c r="J168" s="398">
        <f>'B) D RI'!U169</f>
        <v>8912.655777777778</v>
      </c>
      <c r="K168" s="66">
        <f t="shared" ref="K168:K220" si="32">H168/I168</f>
        <v>4.3063807936050837</v>
      </c>
      <c r="L168" s="34">
        <f>'B) D RI'!S169</f>
        <v>75</v>
      </c>
      <c r="M168" s="34">
        <f t="shared" si="27"/>
        <v>70.693619206394914</v>
      </c>
      <c r="N168" s="34">
        <f>'J) Plafonnement effort'!G167+'J) Plafonnement effort'!H167-'K) Plafonnement aide'!I167</f>
        <v>4.2132411874552202</v>
      </c>
      <c r="O168" s="131">
        <f t="shared" si="28"/>
        <v>74.906860393850138</v>
      </c>
      <c r="P168" s="48">
        <f t="shared" si="29"/>
        <v>0</v>
      </c>
      <c r="Q168" s="58">
        <f t="shared" ref="Q168:Q221" si="33">P168*J168</f>
        <v>0</v>
      </c>
      <c r="R168" s="152">
        <f t="shared" si="30"/>
        <v>74.906860393850138</v>
      </c>
      <c r="S168" s="131">
        <f t="shared" si="31"/>
        <v>-9.313960614986172E-2</v>
      </c>
      <c r="T168" s="151">
        <f t="shared" si="26"/>
        <v>0</v>
      </c>
      <c r="V168" s="12"/>
    </row>
    <row r="169" spans="1:22" x14ac:dyDescent="0.25">
      <c r="A169" s="50">
        <f>'A) Base RI'!A170</f>
        <v>5674</v>
      </c>
      <c r="B169" s="392" t="str">
        <f>'A) Base RI'!B170</f>
        <v>Lovatens</v>
      </c>
      <c r="C169" s="2">
        <v>84703.864469304128</v>
      </c>
      <c r="D169" s="430">
        <v>-3690.6834335500171</v>
      </c>
      <c r="E169" s="2">
        <v>0</v>
      </c>
      <c r="F169" s="430">
        <v>0</v>
      </c>
      <c r="G169" s="2">
        <v>0</v>
      </c>
      <c r="H169" s="395">
        <f t="shared" si="25"/>
        <v>81013.181035754111</v>
      </c>
      <c r="I169" s="157">
        <v>3776.8391809523814</v>
      </c>
      <c r="J169" s="398">
        <f>'B) D RI'!U170</f>
        <v>3614.9058666666665</v>
      </c>
      <c r="K169" s="66">
        <f t="shared" si="32"/>
        <v>21.449994864574968</v>
      </c>
      <c r="L169" s="34">
        <f>'B) D RI'!S170</f>
        <v>75</v>
      </c>
      <c r="M169" s="34">
        <f t="shared" si="27"/>
        <v>53.550005135425032</v>
      </c>
      <c r="N169" s="34">
        <f>'J) Plafonnement effort'!G168+'J) Plafonnement effort'!H168-'K) Plafonnement aide'!I168</f>
        <v>9.634911910836454</v>
      </c>
      <c r="O169" s="131">
        <f t="shared" si="28"/>
        <v>63.184917046261489</v>
      </c>
      <c r="P169" s="48">
        <f t="shared" si="29"/>
        <v>0</v>
      </c>
      <c r="Q169" s="58">
        <f t="shared" si="33"/>
        <v>0</v>
      </c>
      <c r="R169" s="152">
        <f t="shared" si="30"/>
        <v>63.184917046261489</v>
      </c>
      <c r="S169" s="131">
        <f t="shared" si="31"/>
        <v>-11.815082953738511</v>
      </c>
      <c r="T169" s="151">
        <f t="shared" si="26"/>
        <v>0</v>
      </c>
      <c r="V169" s="12"/>
    </row>
    <row r="170" spans="1:22" x14ac:dyDescent="0.25">
      <c r="A170" s="50">
        <f>'A) Base RI'!A171</f>
        <v>5675</v>
      </c>
      <c r="B170" s="392" t="str">
        <f>'A) Base RI'!B171</f>
        <v>Lucens</v>
      </c>
      <c r="C170" s="2">
        <v>1625020.8701999683</v>
      </c>
      <c r="D170" s="2">
        <v>-1165838.9726029632</v>
      </c>
      <c r="E170" s="2">
        <v>0</v>
      </c>
      <c r="F170" s="2">
        <v>0</v>
      </c>
      <c r="G170" s="2">
        <v>0</v>
      </c>
      <c r="H170" s="395">
        <f t="shared" si="25"/>
        <v>459181.89759700513</v>
      </c>
      <c r="I170" s="157">
        <v>92926.657086941384</v>
      </c>
      <c r="J170" s="398">
        <f>'B) D RI'!U171</f>
        <v>84285.039641873256</v>
      </c>
      <c r="K170" s="66">
        <f t="shared" ref="K170" si="34">H170/I170</f>
        <v>4.9413366626047734</v>
      </c>
      <c r="L170" s="34">
        <f>'B) D RI'!S171</f>
        <v>66</v>
      </c>
      <c r="M170" s="34">
        <f t="shared" ref="M170" si="35">L170-K170</f>
        <v>61.058663337395224</v>
      </c>
      <c r="N170" s="34">
        <f>'J) Plafonnement effort'!G169+'J) Plafonnement effort'!H169-'K) Plafonnement aide'!I169</f>
        <v>-3.6627732993912998</v>
      </c>
      <c r="O170" s="131">
        <f t="shared" ref="O170" si="36">M170+N170</f>
        <v>57.395890038003927</v>
      </c>
      <c r="P170" s="48">
        <f t="shared" ref="P170" si="37">IF(O170&gt;$P$5,$P$5-O170,0)</f>
        <v>0</v>
      </c>
      <c r="Q170" s="58">
        <f t="shared" ref="Q170" si="38">P170*J170</f>
        <v>0</v>
      </c>
      <c r="R170" s="152">
        <f t="shared" ref="R170" si="39">O170+P170</f>
        <v>57.395890038003927</v>
      </c>
      <c r="S170" s="131">
        <f t="shared" ref="S170" si="40">R170-L170</f>
        <v>-8.6041099619960733</v>
      </c>
      <c r="T170" s="151">
        <f t="shared" si="26"/>
        <v>0</v>
      </c>
      <c r="V170" s="12"/>
    </row>
    <row r="171" spans="1:22" x14ac:dyDescent="0.25">
      <c r="A171" s="50">
        <f>'A) Base RI'!A172</f>
        <v>5678</v>
      </c>
      <c r="B171" s="392" t="str">
        <f>'A) Base RI'!B172</f>
        <v>Moudon</v>
      </c>
      <c r="C171" s="2">
        <v>2262836.6252655517</v>
      </c>
      <c r="D171" s="430">
        <v>-3392158.1266284268</v>
      </c>
      <c r="E171" s="2">
        <v>329064.39956287469</v>
      </c>
      <c r="F171" s="430">
        <v>0</v>
      </c>
      <c r="G171" s="2">
        <v>0</v>
      </c>
      <c r="H171" s="395">
        <f t="shared" si="25"/>
        <v>-800257.10180000041</v>
      </c>
      <c r="I171" s="157">
        <v>123116.47720000001</v>
      </c>
      <c r="J171" s="398">
        <f>'B) D RI'!U172</f>
        <v>115802.40466666668</v>
      </c>
      <c r="K171" s="66">
        <f t="shared" si="32"/>
        <v>-6.5000000000000027</v>
      </c>
      <c r="L171" s="34">
        <f>'B) D RI'!S172</f>
        <v>75</v>
      </c>
      <c r="M171" s="34">
        <f t="shared" si="27"/>
        <v>81.5</v>
      </c>
      <c r="N171" s="34">
        <f>'J) Plafonnement effort'!G170+'J) Plafonnement effort'!H170-'K) Plafonnement aide'!I170</f>
        <v>-18.608551454835357</v>
      </c>
      <c r="O171" s="131">
        <f t="shared" si="28"/>
        <v>62.891448545164643</v>
      </c>
      <c r="P171" s="48">
        <f t="shared" si="29"/>
        <v>0</v>
      </c>
      <c r="Q171" s="58">
        <f t="shared" si="33"/>
        <v>0</v>
      </c>
      <c r="R171" s="152">
        <f t="shared" si="30"/>
        <v>62.891448545164643</v>
      </c>
      <c r="S171" s="131">
        <f t="shared" si="31"/>
        <v>-12.108551454835357</v>
      </c>
      <c r="T171" s="151">
        <f t="shared" si="26"/>
        <v>0</v>
      </c>
      <c r="V171" s="12"/>
    </row>
    <row r="172" spans="1:22" x14ac:dyDescent="0.25">
      <c r="A172" s="50">
        <f>'A) Base RI'!A173</f>
        <v>5680</v>
      </c>
      <c r="B172" s="392" t="str">
        <f>'A) Base RI'!B173</f>
        <v>Ogens</v>
      </c>
      <c r="C172" s="2">
        <v>148298.00026096098</v>
      </c>
      <c r="D172" s="430">
        <v>11689.477989817562</v>
      </c>
      <c r="E172" s="2">
        <v>0</v>
      </c>
      <c r="F172" s="430">
        <v>0</v>
      </c>
      <c r="G172" s="2">
        <v>0</v>
      </c>
      <c r="H172" s="395">
        <f t="shared" si="25"/>
        <v>159987.47825077854</v>
      </c>
      <c r="I172" s="157">
        <v>8504.3488034188031</v>
      </c>
      <c r="J172" s="398">
        <f>'B) D RI'!U173</f>
        <v>7404.4946581196582</v>
      </c>
      <c r="K172" s="66">
        <f t="shared" si="32"/>
        <v>18.81243137469415</v>
      </c>
      <c r="L172" s="34">
        <f>'B) D RI'!S173</f>
        <v>78</v>
      </c>
      <c r="M172" s="34">
        <f t="shared" si="27"/>
        <v>59.18756862530585</v>
      </c>
      <c r="N172" s="34">
        <f>'J) Plafonnement effort'!G171+'J) Plafonnement effort'!H171-'K) Plafonnement aide'!I171</f>
        <v>10.074131656879329</v>
      </c>
      <c r="O172" s="131">
        <f t="shared" si="28"/>
        <v>69.261700282185174</v>
      </c>
      <c r="P172" s="48">
        <f t="shared" si="29"/>
        <v>0</v>
      </c>
      <c r="Q172" s="58">
        <f t="shared" si="33"/>
        <v>0</v>
      </c>
      <c r="R172" s="152">
        <f t="shared" si="30"/>
        <v>69.261700282185174</v>
      </c>
      <c r="S172" s="131">
        <f t="shared" si="31"/>
        <v>-8.7382997178148258</v>
      </c>
      <c r="T172" s="151">
        <f t="shared" si="26"/>
        <v>0</v>
      </c>
      <c r="V172" s="12"/>
    </row>
    <row r="173" spans="1:22" x14ac:dyDescent="0.25">
      <c r="A173" s="50">
        <f>'A) Base RI'!A174</f>
        <v>5683</v>
      </c>
      <c r="B173" s="392" t="str">
        <f>'A) Base RI'!B174</f>
        <v>Prévonloup</v>
      </c>
      <c r="C173" s="2">
        <v>62412.921948952564</v>
      </c>
      <c r="D173" s="430">
        <v>-12814.051465528377</v>
      </c>
      <c r="E173" s="2">
        <v>0</v>
      </c>
      <c r="F173" s="430">
        <v>0</v>
      </c>
      <c r="G173" s="2">
        <v>0</v>
      </c>
      <c r="H173" s="395">
        <f t="shared" si="25"/>
        <v>49598.870483424187</v>
      </c>
      <c r="I173" s="157">
        <v>4128.5685135135127</v>
      </c>
      <c r="J173" s="398">
        <f>'B) D RI'!U174</f>
        <v>3876.1695945945944</v>
      </c>
      <c r="K173" s="66">
        <f t="shared" si="32"/>
        <v>12.013575727538148</v>
      </c>
      <c r="L173" s="34">
        <f>'B) D RI'!S174</f>
        <v>74</v>
      </c>
      <c r="M173" s="34">
        <f t="shared" si="27"/>
        <v>61.986424272461853</v>
      </c>
      <c r="N173" s="34">
        <f>'J) Plafonnement effort'!G172+'J) Plafonnement effort'!H172-'K) Plafonnement aide'!I172</f>
        <v>-10.869865914819901</v>
      </c>
      <c r="O173" s="131">
        <f t="shared" si="28"/>
        <v>51.116558357641949</v>
      </c>
      <c r="P173" s="48">
        <f t="shared" si="29"/>
        <v>0</v>
      </c>
      <c r="Q173" s="58">
        <f t="shared" si="33"/>
        <v>0</v>
      </c>
      <c r="R173" s="152">
        <f t="shared" si="30"/>
        <v>51.116558357641949</v>
      </c>
      <c r="S173" s="131">
        <f t="shared" si="31"/>
        <v>-22.883441642358051</v>
      </c>
      <c r="T173" s="151">
        <f t="shared" si="26"/>
        <v>0</v>
      </c>
      <c r="V173" s="12"/>
    </row>
    <row r="174" spans="1:22" x14ac:dyDescent="0.25">
      <c r="A174" s="50">
        <f>'A) Base RI'!A175</f>
        <v>5684</v>
      </c>
      <c r="B174" s="392" t="str">
        <f>'A) Base RI'!B175</f>
        <v>Rossenges</v>
      </c>
      <c r="C174" s="2">
        <v>32048.008475200233</v>
      </c>
      <c r="D174" s="430">
        <v>25358.874264746915</v>
      </c>
      <c r="E174" s="2">
        <v>0</v>
      </c>
      <c r="F174" s="430">
        <v>0</v>
      </c>
      <c r="G174" s="2">
        <v>0</v>
      </c>
      <c r="H174" s="395">
        <f t="shared" si="25"/>
        <v>57406.882739947148</v>
      </c>
      <c r="I174" s="157">
        <v>2119.9519999999998</v>
      </c>
      <c r="J174" s="398">
        <f>'B) D RI'!U175</f>
        <v>2934.7781666666665</v>
      </c>
      <c r="K174" s="66">
        <f t="shared" si="32"/>
        <v>27.079331390497121</v>
      </c>
      <c r="L174" s="34">
        <f>'B) D RI'!S175</f>
        <v>60</v>
      </c>
      <c r="M174" s="34">
        <f t="shared" si="27"/>
        <v>32.920668609502883</v>
      </c>
      <c r="N174" s="34">
        <f>'J) Plafonnement effort'!G173+'J) Plafonnement effort'!H173-'K) Plafonnement aide'!I173</f>
        <v>33.488566643999761</v>
      </c>
      <c r="O174" s="131">
        <f t="shared" si="28"/>
        <v>66.409235253502644</v>
      </c>
      <c r="P174" s="48">
        <f t="shared" si="29"/>
        <v>0</v>
      </c>
      <c r="Q174" s="58">
        <f t="shared" si="33"/>
        <v>0</v>
      </c>
      <c r="R174" s="152">
        <f t="shared" si="30"/>
        <v>66.409235253502644</v>
      </c>
      <c r="S174" s="131">
        <f t="shared" si="31"/>
        <v>6.4092352535026436</v>
      </c>
      <c r="T174" s="151">
        <f t="shared" si="26"/>
        <v>0</v>
      </c>
      <c r="V174" s="12"/>
    </row>
    <row r="175" spans="1:22" x14ac:dyDescent="0.25">
      <c r="A175" s="50">
        <f>'A) Base RI'!A176</f>
        <v>5688</v>
      </c>
      <c r="B175" s="392" t="str">
        <f>'A) Base RI'!B176</f>
        <v>Syens</v>
      </c>
      <c r="C175" s="2">
        <v>94802.610225072363</v>
      </c>
      <c r="D175" s="430">
        <v>37522.548871567902</v>
      </c>
      <c r="E175" s="2">
        <v>0</v>
      </c>
      <c r="F175" s="430">
        <v>0</v>
      </c>
      <c r="G175" s="2">
        <v>0</v>
      </c>
      <c r="H175" s="395">
        <f t="shared" si="25"/>
        <v>132325.15909664027</v>
      </c>
      <c r="I175" s="157">
        <v>4845.4007936507942</v>
      </c>
      <c r="J175" s="398">
        <f>'B) D RI'!U176</f>
        <v>6079.6888888888907</v>
      </c>
      <c r="K175" s="66">
        <f t="shared" si="32"/>
        <v>27.309435221547307</v>
      </c>
      <c r="L175" s="34">
        <f>'B) D RI'!S176</f>
        <v>75.599999999999994</v>
      </c>
      <c r="M175" s="34">
        <f t="shared" si="27"/>
        <v>48.290564778452691</v>
      </c>
      <c r="N175" s="34">
        <f>'J) Plafonnement effort'!G174+'J) Plafonnement effort'!H174-'K) Plafonnement aide'!I174</f>
        <v>29.744395640783395</v>
      </c>
      <c r="O175" s="131">
        <f t="shared" si="28"/>
        <v>78.034960419236086</v>
      </c>
      <c r="P175" s="48">
        <f t="shared" si="29"/>
        <v>0</v>
      </c>
      <c r="Q175" s="58">
        <f t="shared" si="33"/>
        <v>0</v>
      </c>
      <c r="R175" s="152">
        <f t="shared" si="30"/>
        <v>78.034960419236086</v>
      </c>
      <c r="S175" s="131">
        <f t="shared" si="31"/>
        <v>2.4349604192360914</v>
      </c>
      <c r="T175" s="151">
        <f t="shared" si="26"/>
        <v>0</v>
      </c>
      <c r="V175" s="12"/>
    </row>
    <row r="176" spans="1:22" x14ac:dyDescent="0.25">
      <c r="A176" s="50">
        <f>'A) Base RI'!A177</f>
        <v>5690</v>
      </c>
      <c r="B176" s="392" t="str">
        <f>'A) Base RI'!B177</f>
        <v>Villars-le-Comte</v>
      </c>
      <c r="C176" s="2">
        <v>50538.984161249784</v>
      </c>
      <c r="D176" s="430">
        <v>-27265.076196402195</v>
      </c>
      <c r="E176" s="2">
        <v>0</v>
      </c>
      <c r="F176" s="430">
        <v>0</v>
      </c>
      <c r="G176" s="2">
        <v>0</v>
      </c>
      <c r="H176" s="395">
        <f t="shared" si="25"/>
        <v>23273.907964847589</v>
      </c>
      <c r="I176" s="157">
        <v>3252.2851315789467</v>
      </c>
      <c r="J176" s="398">
        <f>'B) D RI'!U177</f>
        <v>3585.4957380952383</v>
      </c>
      <c r="K176" s="66">
        <f t="shared" si="32"/>
        <v>7.1561708224359704</v>
      </c>
      <c r="L176" s="34">
        <f>'B) D RI'!S177</f>
        <v>70</v>
      </c>
      <c r="M176" s="34">
        <f t="shared" si="27"/>
        <v>62.843829177564032</v>
      </c>
      <c r="N176" s="34">
        <f>'J) Plafonnement effort'!G175+'J) Plafonnement effort'!H175-'K) Plafonnement aide'!I175</f>
        <v>17.845265059237231</v>
      </c>
      <c r="O176" s="131">
        <f t="shared" si="28"/>
        <v>80.689094236801267</v>
      </c>
      <c r="P176" s="48">
        <f t="shared" si="29"/>
        <v>0</v>
      </c>
      <c r="Q176" s="58">
        <f t="shared" si="33"/>
        <v>0</v>
      </c>
      <c r="R176" s="152">
        <f t="shared" si="30"/>
        <v>80.689094236801267</v>
      </c>
      <c r="S176" s="131">
        <f t="shared" si="31"/>
        <v>10.689094236801267</v>
      </c>
      <c r="T176" s="151">
        <f t="shared" si="26"/>
        <v>0</v>
      </c>
      <c r="V176" s="12"/>
    </row>
    <row r="177" spans="1:22" x14ac:dyDescent="0.25">
      <c r="A177" s="50">
        <f>'A) Base RI'!A178</f>
        <v>5692</v>
      </c>
      <c r="B177" s="392" t="str">
        <f>'A) Base RI'!B178</f>
        <v>Vucherens</v>
      </c>
      <c r="C177" s="2">
        <v>326604.8930032546</v>
      </c>
      <c r="D177" s="430">
        <v>59476.83391013334</v>
      </c>
      <c r="E177" s="2">
        <v>0</v>
      </c>
      <c r="F177" s="430">
        <v>0</v>
      </c>
      <c r="G177" s="2">
        <v>0</v>
      </c>
      <c r="H177" s="395">
        <f t="shared" si="25"/>
        <v>386081.72691338795</v>
      </c>
      <c r="I177" s="157">
        <v>16993.232405063292</v>
      </c>
      <c r="J177" s="398">
        <f>'B) D RI'!U178</f>
        <v>17261.954936708858</v>
      </c>
      <c r="K177" s="66">
        <f t="shared" si="32"/>
        <v>22.719734404288573</v>
      </c>
      <c r="L177" s="34">
        <f>'B) D RI'!S178</f>
        <v>79</v>
      </c>
      <c r="M177" s="34">
        <f t="shared" si="27"/>
        <v>56.280265595711427</v>
      </c>
      <c r="N177" s="34">
        <f>'J) Plafonnement effort'!G176+'J) Plafonnement effort'!H176-'K) Plafonnement aide'!I176</f>
        <v>18.171394653912046</v>
      </c>
      <c r="O177" s="131">
        <f t="shared" si="28"/>
        <v>74.451660249623473</v>
      </c>
      <c r="P177" s="48">
        <f t="shared" si="29"/>
        <v>0</v>
      </c>
      <c r="Q177" s="58">
        <f t="shared" si="33"/>
        <v>0</v>
      </c>
      <c r="R177" s="152">
        <f t="shared" si="30"/>
        <v>74.451660249623473</v>
      </c>
      <c r="S177" s="131">
        <f t="shared" si="31"/>
        <v>-4.5483397503765275</v>
      </c>
      <c r="T177" s="151">
        <f t="shared" si="26"/>
        <v>0</v>
      </c>
      <c r="V177" s="12"/>
    </row>
    <row r="178" spans="1:22" x14ac:dyDescent="0.25">
      <c r="A178" s="50">
        <f>'A) Base RI'!A179</f>
        <v>5693</v>
      </c>
      <c r="B178" s="392" t="str">
        <f>'A) Base RI'!B179</f>
        <v>Montanaire</v>
      </c>
      <c r="C178" s="2">
        <v>1107908.7157784516</v>
      </c>
      <c r="D178" s="430">
        <v>-447620.05754093034</v>
      </c>
      <c r="E178" s="2">
        <v>0</v>
      </c>
      <c r="F178" s="430">
        <v>0</v>
      </c>
      <c r="G178" s="2">
        <v>0</v>
      </c>
      <c r="H178" s="395">
        <f t="shared" si="25"/>
        <v>660288.6582375213</v>
      </c>
      <c r="I178" s="157">
        <v>63585.08152777778</v>
      </c>
      <c r="J178" s="398">
        <f>'B) D RI'!U179</f>
        <v>70163.69902777778</v>
      </c>
      <c r="K178" s="66">
        <f>H178/I178</f>
        <v>10.384332965729824</v>
      </c>
      <c r="L178" s="34">
        <f>'B) D RI'!S179</f>
        <v>72</v>
      </c>
      <c r="M178" s="34">
        <f>L178-K178</f>
        <v>61.615667034270174</v>
      </c>
      <c r="N178" s="34">
        <f>'J) Plafonnement effort'!G177+'J) Plafonnement effort'!H177-'K) Plafonnement aide'!I177</f>
        <v>9.1745317799825266</v>
      </c>
      <c r="O178" s="131">
        <f>M178+N178</f>
        <v>70.790198814252705</v>
      </c>
      <c r="P178" s="48">
        <f t="shared" si="29"/>
        <v>0</v>
      </c>
      <c r="Q178" s="58">
        <f>P178*J178</f>
        <v>0</v>
      </c>
      <c r="R178" s="152">
        <f>O178+P178</f>
        <v>70.790198814252705</v>
      </c>
      <c r="S178" s="131">
        <f>R178-L178</f>
        <v>-1.2098011857472954</v>
      </c>
      <c r="T178" s="151">
        <f t="shared" si="26"/>
        <v>0</v>
      </c>
      <c r="V178" s="12"/>
    </row>
    <row r="179" spans="1:22" x14ac:dyDescent="0.25">
      <c r="A179" s="50">
        <f>'A) Base RI'!A180</f>
        <v>5701</v>
      </c>
      <c r="B179" s="392" t="str">
        <f>'A) Base RI'!B180</f>
        <v>Arnex-sur-Nyon</v>
      </c>
      <c r="C179" s="2">
        <v>363987.95926283946</v>
      </c>
      <c r="D179" s="430">
        <v>254611.74409996788</v>
      </c>
      <c r="E179" s="2">
        <v>0</v>
      </c>
      <c r="F179" s="430">
        <v>0</v>
      </c>
      <c r="G179" s="2">
        <v>0</v>
      </c>
      <c r="H179" s="395">
        <f t="shared" si="25"/>
        <v>618599.7033628074</v>
      </c>
      <c r="I179" s="157">
        <v>15270.610714285714</v>
      </c>
      <c r="J179" s="398">
        <f>'B) D RI'!U180</f>
        <v>14485.916142857144</v>
      </c>
      <c r="K179" s="66">
        <f>H179/I179</f>
        <v>40.50916593559058</v>
      </c>
      <c r="L179" s="34">
        <f>'B) D RI'!S180</f>
        <v>70</v>
      </c>
      <c r="M179" s="34">
        <f>L179-K179</f>
        <v>29.49083406440942</v>
      </c>
      <c r="N179" s="34">
        <f>'J) Plafonnement effort'!G178+'J) Plafonnement effort'!H178-'K) Plafonnement aide'!I178</f>
        <v>40.332446365736565</v>
      </c>
      <c r="O179" s="131">
        <f>M179+N179</f>
        <v>69.823280430145985</v>
      </c>
      <c r="P179" s="48">
        <f t="shared" si="29"/>
        <v>0</v>
      </c>
      <c r="Q179" s="58">
        <f>P179*J179</f>
        <v>0</v>
      </c>
      <c r="R179" s="152">
        <f>O179+P179</f>
        <v>69.823280430145985</v>
      </c>
      <c r="S179" s="131">
        <f>R179-L179</f>
        <v>-0.17671956985401494</v>
      </c>
      <c r="T179" s="151">
        <f t="shared" si="26"/>
        <v>0</v>
      </c>
      <c r="V179" s="12"/>
    </row>
    <row r="180" spans="1:22" x14ac:dyDescent="0.25">
      <c r="A180" s="50">
        <f>'A) Base RI'!A181</f>
        <v>5702</v>
      </c>
      <c r="B180" s="392" t="str">
        <f>'A) Base RI'!B181</f>
        <v>Arzier-Le Muids</v>
      </c>
      <c r="C180" s="2">
        <v>3009446.0738705168</v>
      </c>
      <c r="D180" s="430">
        <v>2219857.7050943999</v>
      </c>
      <c r="E180" s="2">
        <v>0</v>
      </c>
      <c r="F180" s="430">
        <v>0</v>
      </c>
      <c r="G180" s="2">
        <v>0</v>
      </c>
      <c r="H180" s="395">
        <f t="shared" si="25"/>
        <v>5229303.7789649162</v>
      </c>
      <c r="I180" s="157">
        <v>153872.87421874999</v>
      </c>
      <c r="J180" s="398">
        <f>'B) D RI'!U181</f>
        <v>155554.60781250003</v>
      </c>
      <c r="K180" s="66">
        <f t="shared" si="32"/>
        <v>33.984572040493582</v>
      </c>
      <c r="L180" s="34">
        <f>'B) D RI'!S181</f>
        <v>64</v>
      </c>
      <c r="M180" s="34">
        <f t="shared" si="27"/>
        <v>30.015427959506418</v>
      </c>
      <c r="N180" s="34">
        <f>'J) Plafonnement effort'!G179+'J) Plafonnement effort'!H179-'K) Plafonnement aide'!I179</f>
        <v>36.553113073753366</v>
      </c>
      <c r="O180" s="131">
        <f t="shared" si="28"/>
        <v>66.568541033259777</v>
      </c>
      <c r="P180" s="48">
        <f t="shared" si="29"/>
        <v>0</v>
      </c>
      <c r="Q180" s="58">
        <f t="shared" si="33"/>
        <v>0</v>
      </c>
      <c r="R180" s="152">
        <f t="shared" si="30"/>
        <v>66.568541033259777</v>
      </c>
      <c r="S180" s="131">
        <f t="shared" si="31"/>
        <v>2.5685410332597769</v>
      </c>
      <c r="T180" s="151">
        <f t="shared" si="26"/>
        <v>0</v>
      </c>
      <c r="V180" s="12"/>
    </row>
    <row r="181" spans="1:22" x14ac:dyDescent="0.25">
      <c r="A181" s="50">
        <f>'A) Base RI'!A182</f>
        <v>5703</v>
      </c>
      <c r="B181" s="392" t="str">
        <f>'A) Base RI'!B182</f>
        <v>Bassins</v>
      </c>
      <c r="C181" s="2">
        <v>897116.6589520186</v>
      </c>
      <c r="D181" s="430">
        <v>637710.93170334806</v>
      </c>
      <c r="E181" s="2">
        <v>0</v>
      </c>
      <c r="F181" s="430">
        <v>0</v>
      </c>
      <c r="G181" s="2">
        <v>0</v>
      </c>
      <c r="H181" s="395">
        <f t="shared" si="25"/>
        <v>1534827.5906553667</v>
      </c>
      <c r="I181" s="157">
        <v>52372.205915492945</v>
      </c>
      <c r="J181" s="398">
        <f>'B) D RI'!U182</f>
        <v>56619.784440154435</v>
      </c>
      <c r="K181" s="66">
        <f t="shared" si="32"/>
        <v>29.306147484639904</v>
      </c>
      <c r="L181" s="34">
        <f>'B) D RI'!S182</f>
        <v>74</v>
      </c>
      <c r="M181" s="34">
        <f t="shared" si="27"/>
        <v>44.693852515360092</v>
      </c>
      <c r="N181" s="34">
        <f>'J) Plafonnement effort'!G180+'J) Plafonnement effort'!H180-'K) Plafonnement aide'!I180</f>
        <v>29.330555939268997</v>
      </c>
      <c r="O181" s="131">
        <f t="shared" si="28"/>
        <v>74.024408454629082</v>
      </c>
      <c r="P181" s="48">
        <f t="shared" si="29"/>
        <v>0</v>
      </c>
      <c r="Q181" s="58">
        <f t="shared" si="33"/>
        <v>0</v>
      </c>
      <c r="R181" s="152">
        <f t="shared" si="30"/>
        <v>74.024408454629082</v>
      </c>
      <c r="S181" s="131">
        <f t="shared" si="31"/>
        <v>2.4408454629082144E-2</v>
      </c>
      <c r="T181" s="151">
        <f t="shared" si="26"/>
        <v>0</v>
      </c>
      <c r="V181" s="12"/>
    </row>
    <row r="182" spans="1:22" x14ac:dyDescent="0.25">
      <c r="A182" s="50">
        <f>'A) Base RI'!A183</f>
        <v>5704</v>
      </c>
      <c r="B182" s="392" t="str">
        <f>'A) Base RI'!B183</f>
        <v>Begnins</v>
      </c>
      <c r="C182" s="2">
        <v>2468495.5347297792</v>
      </c>
      <c r="D182" s="430">
        <v>1781822.3013649224</v>
      </c>
      <c r="E182" s="2">
        <v>0</v>
      </c>
      <c r="F182" s="430">
        <v>0</v>
      </c>
      <c r="G182" s="2">
        <v>0</v>
      </c>
      <c r="H182" s="395">
        <f t="shared" si="25"/>
        <v>4250317.8360947017</v>
      </c>
      <c r="I182" s="157">
        <v>118306.82039800995</v>
      </c>
      <c r="J182" s="398">
        <f>'B) D RI'!U183</f>
        <v>127181.77029850746</v>
      </c>
      <c r="K182" s="66">
        <f t="shared" si="32"/>
        <v>35.926228274884792</v>
      </c>
      <c r="L182" s="34">
        <f>'B) D RI'!S183</f>
        <v>67</v>
      </c>
      <c r="M182" s="34">
        <f t="shared" si="27"/>
        <v>31.073771725115208</v>
      </c>
      <c r="N182" s="34">
        <f>'J) Plafonnement effort'!G181+'J) Plafonnement effort'!H181-'K) Plafonnement aide'!I181</f>
        <v>41.466090157217423</v>
      </c>
      <c r="O182" s="131">
        <f t="shared" si="28"/>
        <v>72.53986188233263</v>
      </c>
      <c r="P182" s="48">
        <f t="shared" si="29"/>
        <v>0</v>
      </c>
      <c r="Q182" s="58">
        <f t="shared" si="33"/>
        <v>0</v>
      </c>
      <c r="R182" s="152">
        <f t="shared" si="30"/>
        <v>72.53986188233263</v>
      </c>
      <c r="S182" s="131">
        <f t="shared" si="31"/>
        <v>5.5398618823326302</v>
      </c>
      <c r="T182" s="151">
        <f t="shared" si="26"/>
        <v>0</v>
      </c>
      <c r="V182" s="12"/>
    </row>
    <row r="183" spans="1:22" x14ac:dyDescent="0.25">
      <c r="A183" s="50">
        <f>'A) Base RI'!A184</f>
        <v>5705</v>
      </c>
      <c r="B183" s="392" t="str">
        <f>'A) Base RI'!B184</f>
        <v>Bogis-Bossey</v>
      </c>
      <c r="C183" s="2">
        <v>902912.76871644915</v>
      </c>
      <c r="D183" s="430">
        <v>840080.30288650584</v>
      </c>
      <c r="E183" s="2">
        <v>0</v>
      </c>
      <c r="F183" s="430">
        <v>0</v>
      </c>
      <c r="G183" s="2">
        <v>0</v>
      </c>
      <c r="H183" s="395">
        <f t="shared" si="25"/>
        <v>1742993.071602955</v>
      </c>
      <c r="I183" s="157">
        <v>49610.676285714275</v>
      </c>
      <c r="J183" s="398">
        <f>'B) D RI'!U184</f>
        <v>54965.953000000009</v>
      </c>
      <c r="K183" s="66">
        <f t="shared" si="32"/>
        <v>35.133426957633745</v>
      </c>
      <c r="L183" s="34">
        <f>'B) D RI'!S184</f>
        <v>70</v>
      </c>
      <c r="M183" s="34">
        <f t="shared" si="27"/>
        <v>34.866573042366255</v>
      </c>
      <c r="N183" s="34">
        <f>'J) Plafonnement effort'!G182+'J) Plafonnement effort'!H182-'K) Plafonnement aide'!I182</f>
        <v>40.169677732619462</v>
      </c>
      <c r="O183" s="131">
        <f t="shared" si="28"/>
        <v>75.036250774985717</v>
      </c>
      <c r="P183" s="48">
        <f t="shared" si="29"/>
        <v>0</v>
      </c>
      <c r="Q183" s="58">
        <f t="shared" si="33"/>
        <v>0</v>
      </c>
      <c r="R183" s="152">
        <f t="shared" si="30"/>
        <v>75.036250774985717</v>
      </c>
      <c r="S183" s="131">
        <f t="shared" si="31"/>
        <v>5.0362507749857173</v>
      </c>
      <c r="T183" s="151">
        <f t="shared" si="26"/>
        <v>0</v>
      </c>
      <c r="V183" s="12"/>
    </row>
    <row r="184" spans="1:22" x14ac:dyDescent="0.25">
      <c r="A184" s="50">
        <f>'A) Base RI'!A185</f>
        <v>5706</v>
      </c>
      <c r="B184" s="392" t="str">
        <f>'A) Base RI'!B185</f>
        <v>Borex</v>
      </c>
      <c r="C184" s="2">
        <v>1359237.3359161611</v>
      </c>
      <c r="D184" s="430">
        <v>1127196.5291660428</v>
      </c>
      <c r="E184" s="2">
        <v>0</v>
      </c>
      <c r="F184" s="430">
        <v>0</v>
      </c>
      <c r="G184" s="2">
        <v>0</v>
      </c>
      <c r="H184" s="395">
        <f t="shared" si="25"/>
        <v>2486433.8650822039</v>
      </c>
      <c r="I184" s="157">
        <v>68211.153151515144</v>
      </c>
      <c r="J184" s="398">
        <f>'B) D RI'!U185</f>
        <v>71857.063735632182</v>
      </c>
      <c r="K184" s="66">
        <f t="shared" si="32"/>
        <v>36.452013346837454</v>
      </c>
      <c r="L184" s="34">
        <f>'B) D RI'!S185</f>
        <v>58</v>
      </c>
      <c r="M184" s="34">
        <f t="shared" si="27"/>
        <v>21.547986653162546</v>
      </c>
      <c r="N184" s="34">
        <f>'J) Plafonnement effort'!G183+'J) Plafonnement effort'!H183-'K) Plafonnement aide'!I183</f>
        <v>40.21936468837032</v>
      </c>
      <c r="O184" s="131">
        <f t="shared" si="28"/>
        <v>61.767351341532866</v>
      </c>
      <c r="P184" s="48">
        <f t="shared" si="29"/>
        <v>0</v>
      </c>
      <c r="Q184" s="58">
        <f t="shared" si="33"/>
        <v>0</v>
      </c>
      <c r="R184" s="152">
        <f t="shared" si="30"/>
        <v>61.767351341532866</v>
      </c>
      <c r="S184" s="131">
        <f t="shared" si="31"/>
        <v>3.7673513415328657</v>
      </c>
      <c r="T184" s="151">
        <f t="shared" si="26"/>
        <v>0</v>
      </c>
      <c r="V184" s="12"/>
    </row>
    <row r="185" spans="1:22" x14ac:dyDescent="0.25">
      <c r="A185" s="50">
        <f>'A) Base RI'!A186</f>
        <v>5707</v>
      </c>
      <c r="B185" s="392" t="str">
        <f>'A) Base RI'!B186</f>
        <v>Chavannes-de-Bogis</v>
      </c>
      <c r="C185" s="2">
        <v>2698071.6942950711</v>
      </c>
      <c r="D185" s="430">
        <v>1609040.5696758975</v>
      </c>
      <c r="E185" s="2">
        <v>0</v>
      </c>
      <c r="F185" s="430">
        <v>0</v>
      </c>
      <c r="G185" s="2">
        <v>0</v>
      </c>
      <c r="H185" s="395">
        <f t="shared" si="25"/>
        <v>4307112.2639709683</v>
      </c>
      <c r="I185" s="157">
        <v>101262.00960451979</v>
      </c>
      <c r="J185" s="398">
        <f>'B) D RI'!U186</f>
        <v>84087.690451977411</v>
      </c>
      <c r="K185" s="66">
        <f t="shared" si="32"/>
        <v>42.534335243715354</v>
      </c>
      <c r="L185" s="34">
        <f>'B) D RI'!S186</f>
        <v>59</v>
      </c>
      <c r="M185" s="34">
        <f t="shared" si="27"/>
        <v>16.465664756284646</v>
      </c>
      <c r="N185" s="34">
        <f>'J) Plafonnement effort'!G184+'J) Plafonnement effort'!H184-'K) Plafonnement aide'!I184</f>
        <v>41.340306557500909</v>
      </c>
      <c r="O185" s="131">
        <f t="shared" si="28"/>
        <v>57.805971313785555</v>
      </c>
      <c r="P185" s="48">
        <f t="shared" si="29"/>
        <v>0</v>
      </c>
      <c r="Q185" s="58">
        <f t="shared" si="33"/>
        <v>0</v>
      </c>
      <c r="R185" s="152">
        <f t="shared" si="30"/>
        <v>57.805971313785555</v>
      </c>
      <c r="S185" s="131">
        <f t="shared" si="31"/>
        <v>-1.1940286862144447</v>
      </c>
      <c r="T185" s="151">
        <f t="shared" si="26"/>
        <v>0</v>
      </c>
      <c r="V185" s="12"/>
    </row>
    <row r="186" spans="1:22" x14ac:dyDescent="0.25">
      <c r="A186" s="50">
        <f>'A) Base RI'!A187</f>
        <v>5708</v>
      </c>
      <c r="B186" s="392" t="str">
        <f>'A) Base RI'!B187</f>
        <v>Chavannes-des-Bois</v>
      </c>
      <c r="C186" s="2">
        <v>1534775.1580443515</v>
      </c>
      <c r="D186" s="430">
        <v>1089848.6894724919</v>
      </c>
      <c r="E186" s="2">
        <v>0</v>
      </c>
      <c r="F186" s="430">
        <v>0</v>
      </c>
      <c r="G186" s="2">
        <v>0</v>
      </c>
      <c r="H186" s="395">
        <f t="shared" si="25"/>
        <v>2624623.8475168431</v>
      </c>
      <c r="I186" s="157">
        <v>66077.93781420766</v>
      </c>
      <c r="J186" s="398">
        <f>'B) D RI'!U187</f>
        <v>57555.435593220333</v>
      </c>
      <c r="K186" s="66">
        <f t="shared" si="32"/>
        <v>39.72012345325512</v>
      </c>
      <c r="L186" s="34">
        <f>'B) D RI'!S187</f>
        <v>59</v>
      </c>
      <c r="M186" s="34">
        <f t="shared" si="27"/>
        <v>19.27987654674488</v>
      </c>
      <c r="N186" s="34">
        <f>'J) Plafonnement effort'!G185+'J) Plafonnement effort'!H185-'K) Plafonnement aide'!I185</f>
        <v>38.327146172741465</v>
      </c>
      <c r="O186" s="131">
        <f t="shared" si="28"/>
        <v>57.607022719486345</v>
      </c>
      <c r="P186" s="48">
        <f t="shared" si="29"/>
        <v>0</v>
      </c>
      <c r="Q186" s="58">
        <f t="shared" si="33"/>
        <v>0</v>
      </c>
      <c r="R186" s="152">
        <f t="shared" si="30"/>
        <v>57.607022719486345</v>
      </c>
      <c r="S186" s="131">
        <f t="shared" si="31"/>
        <v>-1.3929772805136551</v>
      </c>
      <c r="T186" s="151">
        <f t="shared" si="26"/>
        <v>0</v>
      </c>
      <c r="V186" s="12"/>
    </row>
    <row r="187" spans="1:22" x14ac:dyDescent="0.25">
      <c r="A187" s="50">
        <f>'A) Base RI'!A188</f>
        <v>5709</v>
      </c>
      <c r="B187" s="392" t="str">
        <f>'A) Base RI'!B188</f>
        <v>Chéserex</v>
      </c>
      <c r="C187" s="2">
        <v>4386127.3659539353</v>
      </c>
      <c r="D187" s="430">
        <v>2162004.780477284</v>
      </c>
      <c r="E187" s="2">
        <v>0</v>
      </c>
      <c r="F187" s="430">
        <v>-172485.13873891113</v>
      </c>
      <c r="G187" s="2">
        <v>0</v>
      </c>
      <c r="H187" s="395">
        <f t="shared" si="25"/>
        <v>6375647.0076923072</v>
      </c>
      <c r="I187" s="157">
        <v>141681.04461538463</v>
      </c>
      <c r="J187" s="398">
        <f>'B) D RI'!U188</f>
        <v>76627.19473684211</v>
      </c>
      <c r="K187" s="66">
        <f t="shared" si="32"/>
        <v>44.999999999999993</v>
      </c>
      <c r="L187" s="34">
        <f>'B) D RI'!S188</f>
        <v>57</v>
      </c>
      <c r="M187" s="34">
        <f t="shared" si="27"/>
        <v>12.000000000000007</v>
      </c>
      <c r="N187" s="34">
        <f>'J) Plafonnement effort'!G186+'J) Plafonnement effort'!H186-'K) Plafonnement aide'!I186</f>
        <v>45</v>
      </c>
      <c r="O187" s="131">
        <f t="shared" si="28"/>
        <v>57.000000000000007</v>
      </c>
      <c r="P187" s="48">
        <f t="shared" si="29"/>
        <v>0</v>
      </c>
      <c r="Q187" s="58">
        <f t="shared" si="33"/>
        <v>0</v>
      </c>
      <c r="R187" s="152">
        <f t="shared" si="30"/>
        <v>57.000000000000007</v>
      </c>
      <c r="S187" s="131">
        <f t="shared" si="31"/>
        <v>0</v>
      </c>
      <c r="T187" s="151">
        <f t="shared" si="26"/>
        <v>0</v>
      </c>
      <c r="V187" s="12"/>
    </row>
    <row r="188" spans="1:22" x14ac:dyDescent="0.25">
      <c r="A188" s="50">
        <f>'A) Base RI'!A189</f>
        <v>5710</v>
      </c>
      <c r="B188" s="392" t="str">
        <f>'A) Base RI'!B189</f>
        <v>Coinsins</v>
      </c>
      <c r="C188" s="2">
        <v>2111260.5090750046</v>
      </c>
      <c r="D188" s="430">
        <v>1160824.5277176327</v>
      </c>
      <c r="E188" s="2">
        <v>0</v>
      </c>
      <c r="F188" s="430">
        <v>0</v>
      </c>
      <c r="G188" s="2">
        <v>0</v>
      </c>
      <c r="H188" s="395">
        <f t="shared" si="25"/>
        <v>3272085.0367926373</v>
      </c>
      <c r="I188" s="157">
        <v>77522.491219512216</v>
      </c>
      <c r="J188" s="398">
        <f>'B) D RI'!U189</f>
        <v>93255.286470588253</v>
      </c>
      <c r="K188" s="66">
        <f t="shared" si="32"/>
        <v>42.208202875310356</v>
      </c>
      <c r="L188" s="34">
        <f>'B) D RI'!S189</f>
        <v>51</v>
      </c>
      <c r="M188" s="34">
        <f t="shared" si="27"/>
        <v>8.7917971246896442</v>
      </c>
      <c r="N188" s="34">
        <f>'J) Plafonnement effort'!G187+'J) Plafonnement effort'!H187-'K) Plafonnement aide'!I187</f>
        <v>45</v>
      </c>
      <c r="O188" s="131">
        <f t="shared" si="28"/>
        <v>53.791797124689644</v>
      </c>
      <c r="P188" s="48">
        <f t="shared" si="29"/>
        <v>0</v>
      </c>
      <c r="Q188" s="58">
        <f t="shared" si="33"/>
        <v>0</v>
      </c>
      <c r="R188" s="152">
        <f t="shared" si="30"/>
        <v>53.791797124689644</v>
      </c>
      <c r="S188" s="131">
        <f t="shared" si="31"/>
        <v>2.7917971246896442</v>
      </c>
      <c r="T188" s="151">
        <f t="shared" si="26"/>
        <v>0</v>
      </c>
      <c r="V188" s="12"/>
    </row>
    <row r="189" spans="1:22" x14ac:dyDescent="0.25">
      <c r="A189" s="50">
        <f>'A) Base RI'!A190</f>
        <v>5711</v>
      </c>
      <c r="B189" s="392" t="str">
        <f>'A) Base RI'!B190</f>
        <v>Commugny</v>
      </c>
      <c r="C189" s="2">
        <v>6680048.9775492158</v>
      </c>
      <c r="D189" s="430">
        <v>3620378.995117987</v>
      </c>
      <c r="E189" s="2">
        <v>0</v>
      </c>
      <c r="F189" s="430">
        <v>0</v>
      </c>
      <c r="G189" s="2">
        <v>0</v>
      </c>
      <c r="H189" s="395">
        <f t="shared" si="25"/>
        <v>10300427.972667202</v>
      </c>
      <c r="I189" s="157">
        <v>249621.80260458836</v>
      </c>
      <c r="J189" s="398">
        <f>'B) D RI'!U190</f>
        <v>252725.09392712548</v>
      </c>
      <c r="K189" s="66">
        <f t="shared" si="32"/>
        <v>41.264135845471486</v>
      </c>
      <c r="L189" s="34">
        <f>'B) D RI'!S190</f>
        <v>57</v>
      </c>
      <c r="M189" s="34">
        <f t="shared" si="27"/>
        <v>15.735864154528514</v>
      </c>
      <c r="N189" s="34">
        <f>'J) Plafonnement effort'!G188+'J) Plafonnement effort'!H188-'K) Plafonnement aide'!I188</f>
        <v>44.001200966895055</v>
      </c>
      <c r="O189" s="131">
        <f t="shared" si="28"/>
        <v>59.737065121423569</v>
      </c>
      <c r="P189" s="48">
        <f t="shared" si="29"/>
        <v>0</v>
      </c>
      <c r="Q189" s="58">
        <f t="shared" si="33"/>
        <v>0</v>
      </c>
      <c r="R189" s="152">
        <f t="shared" si="30"/>
        <v>59.737065121423569</v>
      </c>
      <c r="S189" s="131">
        <f t="shared" si="31"/>
        <v>2.7370651214235693</v>
      </c>
      <c r="T189" s="151">
        <f t="shared" si="26"/>
        <v>0</v>
      </c>
      <c r="V189" s="12"/>
    </row>
    <row r="190" spans="1:22" x14ac:dyDescent="0.25">
      <c r="A190" s="50">
        <f>'A) Base RI'!A191</f>
        <v>5712</v>
      </c>
      <c r="B190" s="392" t="str">
        <f>'A) Base RI'!B191</f>
        <v>Coppet</v>
      </c>
      <c r="C190" s="2">
        <v>9249297.0160776079</v>
      </c>
      <c r="D190" s="430">
        <v>4530011.0732082305</v>
      </c>
      <c r="E190" s="2">
        <v>0</v>
      </c>
      <c r="F190" s="430">
        <v>0</v>
      </c>
      <c r="G190" s="2">
        <v>0</v>
      </c>
      <c r="H190" s="395">
        <f t="shared" si="25"/>
        <v>13779308.089285839</v>
      </c>
      <c r="I190" s="157">
        <v>316866.86955974839</v>
      </c>
      <c r="J190" s="398">
        <f>'B) D RI'!U191</f>
        <v>325058.64591194969</v>
      </c>
      <c r="K190" s="66">
        <f t="shared" si="32"/>
        <v>43.486111717613994</v>
      </c>
      <c r="L190" s="34">
        <f>'B) D RI'!S191</f>
        <v>53</v>
      </c>
      <c r="M190" s="34">
        <f t="shared" si="27"/>
        <v>9.5138882823860058</v>
      </c>
      <c r="N190" s="34">
        <f>'J) Plafonnement effort'!G189+'J) Plafonnement effort'!H189-'K) Plafonnement aide'!I189</f>
        <v>45</v>
      </c>
      <c r="O190" s="131">
        <f t="shared" si="28"/>
        <v>54.513888282386006</v>
      </c>
      <c r="P190" s="48">
        <f t="shared" si="29"/>
        <v>0</v>
      </c>
      <c r="Q190" s="58">
        <f t="shared" si="33"/>
        <v>0</v>
      </c>
      <c r="R190" s="152">
        <f t="shared" si="30"/>
        <v>54.513888282386006</v>
      </c>
      <c r="S190" s="131">
        <f t="shared" si="31"/>
        <v>1.5138882823860058</v>
      </c>
      <c r="T190" s="151">
        <f t="shared" si="26"/>
        <v>0</v>
      </c>
      <c r="V190" s="12"/>
    </row>
    <row r="191" spans="1:22" x14ac:dyDescent="0.25">
      <c r="A191" s="50">
        <f>'A) Base RI'!A192</f>
        <v>5713</v>
      </c>
      <c r="B191" s="392" t="str">
        <f>'A) Base RI'!B192</f>
        <v>Crans-près-Céligny</v>
      </c>
      <c r="C191" s="2">
        <v>6681145.1262735371</v>
      </c>
      <c r="D191" s="430">
        <v>3346222.746194704</v>
      </c>
      <c r="E191" s="2">
        <v>0</v>
      </c>
      <c r="F191" s="430">
        <v>0</v>
      </c>
      <c r="G191" s="2">
        <v>0</v>
      </c>
      <c r="H191" s="395">
        <f t="shared" si="25"/>
        <v>10027367.872468241</v>
      </c>
      <c r="I191" s="157">
        <v>229285.72754716981</v>
      </c>
      <c r="J191" s="398">
        <f>'B) D RI'!U192</f>
        <v>238982.42094339622</v>
      </c>
      <c r="K191" s="66">
        <f t="shared" si="32"/>
        <v>43.733066073226738</v>
      </c>
      <c r="L191" s="34">
        <f>'B) D RI'!S192</f>
        <v>53</v>
      </c>
      <c r="M191" s="34">
        <f t="shared" si="27"/>
        <v>9.2669339267732624</v>
      </c>
      <c r="N191" s="34">
        <f>'J) Plafonnement effort'!G190+'J) Plafonnement effort'!H190-'K) Plafonnement aide'!I190</f>
        <v>45</v>
      </c>
      <c r="O191" s="131">
        <f t="shared" si="28"/>
        <v>54.266933926773262</v>
      </c>
      <c r="P191" s="48">
        <f t="shared" si="29"/>
        <v>0</v>
      </c>
      <c r="Q191" s="58">
        <f t="shared" si="33"/>
        <v>0</v>
      </c>
      <c r="R191" s="152">
        <f t="shared" si="30"/>
        <v>54.266933926773262</v>
      </c>
      <c r="S191" s="131">
        <f t="shared" si="31"/>
        <v>1.2669339267732624</v>
      </c>
      <c r="T191" s="151">
        <f t="shared" si="26"/>
        <v>0</v>
      </c>
      <c r="V191" s="12"/>
    </row>
    <row r="192" spans="1:22" x14ac:dyDescent="0.25">
      <c r="A192" s="50">
        <f>'A) Base RI'!A193</f>
        <v>5714</v>
      </c>
      <c r="B192" s="392" t="str">
        <f>'A) Base RI'!B193</f>
        <v>Crassier</v>
      </c>
      <c r="C192" s="2">
        <v>1759050.5489440837</v>
      </c>
      <c r="D192" s="430">
        <v>1334588.6080724392</v>
      </c>
      <c r="E192" s="2">
        <v>0</v>
      </c>
      <c r="F192" s="430">
        <v>0</v>
      </c>
      <c r="G192" s="2">
        <v>0</v>
      </c>
      <c r="H192" s="395">
        <f t="shared" si="25"/>
        <v>3093639.1570165232</v>
      </c>
      <c r="I192" s="157">
        <v>82427.7421875</v>
      </c>
      <c r="J192" s="398">
        <f>'B) D RI'!U193</f>
        <v>81379.304374999992</v>
      </c>
      <c r="K192" s="66">
        <f t="shared" si="32"/>
        <v>37.531528523241136</v>
      </c>
      <c r="L192" s="34">
        <f>'B) D RI'!S193</f>
        <v>64</v>
      </c>
      <c r="M192" s="34">
        <f t="shared" si="27"/>
        <v>26.468471476758864</v>
      </c>
      <c r="N192" s="34">
        <f>'J) Plafonnement effort'!G191+'J) Plafonnement effort'!H191-'K) Plafonnement aide'!I191</f>
        <v>42.784937497821545</v>
      </c>
      <c r="O192" s="131">
        <f t="shared" si="28"/>
        <v>69.25340897458041</v>
      </c>
      <c r="P192" s="48">
        <f t="shared" si="29"/>
        <v>0</v>
      </c>
      <c r="Q192" s="58">
        <f t="shared" si="33"/>
        <v>0</v>
      </c>
      <c r="R192" s="152">
        <f t="shared" si="30"/>
        <v>69.25340897458041</v>
      </c>
      <c r="S192" s="131">
        <f t="shared" si="31"/>
        <v>5.2534089745804096</v>
      </c>
      <c r="T192" s="151">
        <f t="shared" si="26"/>
        <v>0</v>
      </c>
      <c r="V192" s="12"/>
    </row>
    <row r="193" spans="1:22" x14ac:dyDescent="0.25">
      <c r="A193" s="50">
        <f>'A) Base RI'!A194</f>
        <v>5715</v>
      </c>
      <c r="B193" s="392" t="str">
        <f>'A) Base RI'!B194</f>
        <v>Duillier</v>
      </c>
      <c r="C193" s="2">
        <v>1293140.7067150879</v>
      </c>
      <c r="D193" s="430">
        <v>1073333.6194836299</v>
      </c>
      <c r="E193" s="2">
        <v>0</v>
      </c>
      <c r="F193" s="430">
        <v>0</v>
      </c>
      <c r="G193" s="2">
        <v>0</v>
      </c>
      <c r="H193" s="395">
        <f t="shared" si="25"/>
        <v>2366474.3261987176</v>
      </c>
      <c r="I193" s="157">
        <v>64112.353030303027</v>
      </c>
      <c r="J193" s="398">
        <f>'B) D RI'!U194</f>
        <v>59220.850303030304</v>
      </c>
      <c r="K193" s="66">
        <f t="shared" si="32"/>
        <v>36.91136285514574</v>
      </c>
      <c r="L193" s="34">
        <f>'B) D RI'!S194</f>
        <v>66</v>
      </c>
      <c r="M193" s="34">
        <f t="shared" si="27"/>
        <v>29.08863714485426</v>
      </c>
      <c r="N193" s="34">
        <f>'J) Plafonnement effort'!G192+'J) Plafonnement effort'!H192-'K) Plafonnement aide'!I192</f>
        <v>36.9060030900919</v>
      </c>
      <c r="O193" s="131">
        <f t="shared" si="28"/>
        <v>65.994640234946161</v>
      </c>
      <c r="P193" s="48">
        <f t="shared" si="29"/>
        <v>0</v>
      </c>
      <c r="Q193" s="58">
        <f t="shared" si="33"/>
        <v>0</v>
      </c>
      <c r="R193" s="152">
        <f t="shared" si="30"/>
        <v>65.994640234946161</v>
      </c>
      <c r="S193" s="131">
        <f t="shared" si="31"/>
        <v>-5.3597650538392827E-3</v>
      </c>
      <c r="T193" s="151">
        <f t="shared" si="26"/>
        <v>0</v>
      </c>
      <c r="V193" s="12"/>
    </row>
    <row r="194" spans="1:22" x14ac:dyDescent="0.25">
      <c r="A194" s="50">
        <f>'A) Base RI'!A195</f>
        <v>5716</v>
      </c>
      <c r="B194" s="392" t="str">
        <f>'A) Base RI'!B195</f>
        <v>Eysins</v>
      </c>
      <c r="C194" s="2">
        <v>2363993.5354548991</v>
      </c>
      <c r="D194" s="430">
        <v>1453809.3453815901</v>
      </c>
      <c r="E194" s="2">
        <v>0</v>
      </c>
      <c r="F194" s="430">
        <v>0</v>
      </c>
      <c r="G194" s="2">
        <v>0</v>
      </c>
      <c r="H194" s="395">
        <f t="shared" si="25"/>
        <v>3817802.8808364891</v>
      </c>
      <c r="I194" s="157">
        <v>93259.046229508182</v>
      </c>
      <c r="J194" s="398">
        <f>'B) D RI'!U195</f>
        <v>124151.91836065573</v>
      </c>
      <c r="K194" s="66">
        <f t="shared" si="32"/>
        <v>40.937614474857178</v>
      </c>
      <c r="L194" s="34">
        <f>'B) D RI'!S195</f>
        <v>61</v>
      </c>
      <c r="M194" s="34">
        <f t="shared" si="27"/>
        <v>20.062385525142822</v>
      </c>
      <c r="N194" s="34">
        <f>'J) Plafonnement effort'!G193+'J) Plafonnement effort'!H193-'K) Plafonnement aide'!I193</f>
        <v>44.654092257013886</v>
      </c>
      <c r="O194" s="131">
        <f t="shared" si="28"/>
        <v>64.716477782156716</v>
      </c>
      <c r="P194" s="48">
        <f t="shared" si="29"/>
        <v>0</v>
      </c>
      <c r="Q194" s="58">
        <f t="shared" si="33"/>
        <v>0</v>
      </c>
      <c r="R194" s="152">
        <f t="shared" si="30"/>
        <v>64.716477782156716</v>
      </c>
      <c r="S194" s="131">
        <f t="shared" si="31"/>
        <v>3.7164777821567156</v>
      </c>
      <c r="T194" s="151">
        <f t="shared" si="26"/>
        <v>0</v>
      </c>
      <c r="V194" s="12"/>
    </row>
    <row r="195" spans="1:22" x14ac:dyDescent="0.25">
      <c r="A195" s="50">
        <f>'A) Base RI'!A196</f>
        <v>5717</v>
      </c>
      <c r="B195" s="392" t="str">
        <f>'A) Base RI'!B196</f>
        <v>Founex</v>
      </c>
      <c r="C195" s="2">
        <v>10061223.4081131</v>
      </c>
      <c r="D195" s="430">
        <v>5048060.2821215726</v>
      </c>
      <c r="E195" s="2">
        <v>0</v>
      </c>
      <c r="F195" s="430">
        <v>0</v>
      </c>
      <c r="G195" s="2">
        <v>0</v>
      </c>
      <c r="H195" s="395">
        <f t="shared" si="25"/>
        <v>15109283.690234672</v>
      </c>
      <c r="I195" s="157">
        <v>359686.500877193</v>
      </c>
      <c r="J195" s="398">
        <f>'B) D RI'!U196</f>
        <v>339342.81578947371</v>
      </c>
      <c r="K195" s="66">
        <f t="shared" si="32"/>
        <v>42.006813303770336</v>
      </c>
      <c r="L195" s="34">
        <f>'B) D RI'!S196</f>
        <v>57</v>
      </c>
      <c r="M195" s="34">
        <f t="shared" si="27"/>
        <v>14.993186696229664</v>
      </c>
      <c r="N195" s="34">
        <f>'J) Plafonnement effort'!G194+'J) Plafonnement effort'!H194-'K) Plafonnement aide'!I194</f>
        <v>44.845305485375</v>
      </c>
      <c r="O195" s="131">
        <f t="shared" si="28"/>
        <v>59.838492181604664</v>
      </c>
      <c r="P195" s="48">
        <f t="shared" si="29"/>
        <v>0</v>
      </c>
      <c r="Q195" s="58">
        <f t="shared" si="33"/>
        <v>0</v>
      </c>
      <c r="R195" s="152">
        <f t="shared" si="30"/>
        <v>59.838492181604664</v>
      </c>
      <c r="S195" s="131">
        <f t="shared" si="31"/>
        <v>2.8384921816046642</v>
      </c>
      <c r="T195" s="151">
        <f t="shared" si="26"/>
        <v>0</v>
      </c>
      <c r="V195" s="12"/>
    </row>
    <row r="196" spans="1:22" x14ac:dyDescent="0.25">
      <c r="A196" s="50">
        <f>'A) Base RI'!A197</f>
        <v>5718</v>
      </c>
      <c r="B196" s="392" t="str">
        <f>'A) Base RI'!B197</f>
        <v>Genolier</v>
      </c>
      <c r="C196" s="2">
        <v>5474221.0441153347</v>
      </c>
      <c r="D196" s="430">
        <v>2876291.128630416</v>
      </c>
      <c r="E196" s="2">
        <v>0</v>
      </c>
      <c r="F196" s="430">
        <v>0</v>
      </c>
      <c r="G196" s="2">
        <v>0</v>
      </c>
      <c r="H196" s="395">
        <f t="shared" si="25"/>
        <v>8350512.1727457512</v>
      </c>
      <c r="I196" s="157">
        <v>194551.61054545455</v>
      </c>
      <c r="J196" s="398">
        <f>'B) D RI'!U197</f>
        <v>176672.45218181823</v>
      </c>
      <c r="K196" s="66">
        <f t="shared" si="32"/>
        <v>42.921835236078699</v>
      </c>
      <c r="L196" s="34">
        <f>'B) D RI'!S197</f>
        <v>55</v>
      </c>
      <c r="M196" s="34">
        <f t="shared" si="27"/>
        <v>12.078164763921301</v>
      </c>
      <c r="N196" s="34">
        <f>'J) Plafonnement effort'!G195+'J) Plafonnement effort'!H195-'K) Plafonnement aide'!I195</f>
        <v>45</v>
      </c>
      <c r="O196" s="131">
        <f t="shared" si="28"/>
        <v>57.078164763921301</v>
      </c>
      <c r="P196" s="48">
        <f t="shared" si="29"/>
        <v>0</v>
      </c>
      <c r="Q196" s="58">
        <f t="shared" si="33"/>
        <v>0</v>
      </c>
      <c r="R196" s="152">
        <f t="shared" si="30"/>
        <v>57.078164763921301</v>
      </c>
      <c r="S196" s="131">
        <f t="shared" si="31"/>
        <v>2.0781647639213006</v>
      </c>
      <c r="T196" s="151">
        <f t="shared" si="26"/>
        <v>0</v>
      </c>
      <c r="V196" s="12"/>
    </row>
    <row r="197" spans="1:22" x14ac:dyDescent="0.25">
      <c r="A197" s="50">
        <f>'A) Base RI'!A198</f>
        <v>5719</v>
      </c>
      <c r="B197" s="392" t="str">
        <f>'A) Base RI'!B198</f>
        <v>Gingins</v>
      </c>
      <c r="C197" s="2">
        <v>2325274.0521660089</v>
      </c>
      <c r="D197" s="430">
        <v>1442341.8039528504</v>
      </c>
      <c r="E197" s="2">
        <v>0</v>
      </c>
      <c r="F197" s="430">
        <v>0</v>
      </c>
      <c r="G197" s="2">
        <v>0</v>
      </c>
      <c r="H197" s="395">
        <f t="shared" si="25"/>
        <v>3767615.8561188593</v>
      </c>
      <c r="I197" s="157">
        <v>90011.711578947361</v>
      </c>
      <c r="J197" s="398">
        <f>'B) D RI'!U198</f>
        <v>130825.37064327484</v>
      </c>
      <c r="K197" s="66">
        <f t="shared" si="32"/>
        <v>41.856951612506151</v>
      </c>
      <c r="L197" s="34">
        <f>'B) D RI'!S198</f>
        <v>57</v>
      </c>
      <c r="M197" s="34">
        <f t="shared" si="27"/>
        <v>15.143048387493849</v>
      </c>
      <c r="N197" s="34">
        <f>'J) Plafonnement effort'!G196+'J) Plafonnement effort'!H196-'K) Plafonnement aide'!I196</f>
        <v>45</v>
      </c>
      <c r="O197" s="131">
        <f t="shared" si="28"/>
        <v>60.143048387493849</v>
      </c>
      <c r="P197" s="48">
        <f t="shared" si="29"/>
        <v>0</v>
      </c>
      <c r="Q197" s="58">
        <f t="shared" si="33"/>
        <v>0</v>
      </c>
      <c r="R197" s="152">
        <f t="shared" si="30"/>
        <v>60.143048387493849</v>
      </c>
      <c r="S197" s="131">
        <f t="shared" si="31"/>
        <v>3.1430483874938488</v>
      </c>
      <c r="T197" s="151">
        <f t="shared" si="26"/>
        <v>0</v>
      </c>
      <c r="V197" s="12"/>
    </row>
    <row r="198" spans="1:22" x14ac:dyDescent="0.25">
      <c r="A198" s="50">
        <f>'A) Base RI'!A199</f>
        <v>5720</v>
      </c>
      <c r="B198" s="392" t="str">
        <f>'A) Base RI'!B199</f>
        <v>Givrins</v>
      </c>
      <c r="C198" s="2">
        <v>1614527.7086157277</v>
      </c>
      <c r="D198" s="430">
        <v>1222694.2330129831</v>
      </c>
      <c r="E198" s="2">
        <v>0</v>
      </c>
      <c r="F198" s="430">
        <v>0</v>
      </c>
      <c r="G198" s="2">
        <v>0</v>
      </c>
      <c r="H198" s="395">
        <f t="shared" si="25"/>
        <v>2837221.9416287108</v>
      </c>
      <c r="I198" s="157">
        <v>73631.281876138426</v>
      </c>
      <c r="J198" s="398">
        <f>'B) D RI'!U199</f>
        <v>72642.976593806918</v>
      </c>
      <c r="K198" s="66">
        <f t="shared" si="32"/>
        <v>38.532833726858762</v>
      </c>
      <c r="L198" s="34">
        <f>'B) D RI'!S199</f>
        <v>61</v>
      </c>
      <c r="M198" s="34">
        <f t="shared" si="27"/>
        <v>22.467166273141238</v>
      </c>
      <c r="N198" s="34">
        <f>'J) Plafonnement effort'!G197+'J) Plafonnement effort'!H197-'K) Plafonnement aide'!I197</f>
        <v>41.217234858991084</v>
      </c>
      <c r="O198" s="131">
        <f t="shared" si="28"/>
        <v>63.684401132132322</v>
      </c>
      <c r="P198" s="48">
        <f t="shared" si="29"/>
        <v>0</v>
      </c>
      <c r="Q198" s="58">
        <f t="shared" si="33"/>
        <v>0</v>
      </c>
      <c r="R198" s="152">
        <f t="shared" si="30"/>
        <v>63.684401132132322</v>
      </c>
      <c r="S198" s="131">
        <f t="shared" si="31"/>
        <v>2.6844011321323222</v>
      </c>
      <c r="T198" s="151">
        <f t="shared" si="26"/>
        <v>0</v>
      </c>
      <c r="V198" s="12"/>
    </row>
    <row r="199" spans="1:22" x14ac:dyDescent="0.25">
      <c r="A199" s="50">
        <f>'A) Base RI'!A200</f>
        <v>5721</v>
      </c>
      <c r="B199" s="392" t="str">
        <f>'A) Base RI'!B200</f>
        <v>Gland</v>
      </c>
      <c r="C199" s="2">
        <v>10001140.448422505</v>
      </c>
      <c r="D199" s="430">
        <v>2079601.720107737</v>
      </c>
      <c r="E199" s="2">
        <v>0</v>
      </c>
      <c r="F199" s="430">
        <v>0</v>
      </c>
      <c r="G199" s="2">
        <v>0</v>
      </c>
      <c r="H199" s="395">
        <f t="shared" ref="H199:H262" si="41">SUM(C199:G199)</f>
        <v>12080742.168530241</v>
      </c>
      <c r="I199" s="157">
        <v>541149.08192000003</v>
      </c>
      <c r="J199" s="398">
        <f>'B) D RI'!U200</f>
        <v>599217.55248000007</v>
      </c>
      <c r="K199" s="66">
        <f t="shared" si="32"/>
        <v>22.324240347350674</v>
      </c>
      <c r="L199" s="34">
        <f>'B) D RI'!S200</f>
        <v>62.5</v>
      </c>
      <c r="M199" s="34">
        <f t="shared" si="27"/>
        <v>40.175759652649326</v>
      </c>
      <c r="N199" s="34">
        <f>'J) Plafonnement effort'!G198+'J) Plafonnement effort'!H198-'K) Plafonnement aide'!I198</f>
        <v>29.516521957539059</v>
      </c>
      <c r="O199" s="131">
        <f t="shared" si="28"/>
        <v>69.692281610188388</v>
      </c>
      <c r="P199" s="48">
        <f t="shared" si="29"/>
        <v>0</v>
      </c>
      <c r="Q199" s="58">
        <f t="shared" si="33"/>
        <v>0</v>
      </c>
      <c r="R199" s="152">
        <f t="shared" si="30"/>
        <v>69.692281610188388</v>
      </c>
      <c r="S199" s="131">
        <f t="shared" si="31"/>
        <v>7.1922816101883882</v>
      </c>
      <c r="T199" s="151">
        <f t="shared" ref="T199:T262" si="42">+C199+D199+E199+F199+G199-H199</f>
        <v>0</v>
      </c>
      <c r="V199" s="12"/>
    </row>
    <row r="200" spans="1:22" x14ac:dyDescent="0.25">
      <c r="A200" s="50">
        <f>'A) Base RI'!A201</f>
        <v>5722</v>
      </c>
      <c r="B200" s="392" t="str">
        <f>'A) Base RI'!B201</f>
        <v>Grens</v>
      </c>
      <c r="C200" s="2">
        <v>498024.77858272346</v>
      </c>
      <c r="D200" s="430">
        <v>348354.61415484105</v>
      </c>
      <c r="E200" s="2">
        <v>0</v>
      </c>
      <c r="F200" s="430">
        <v>0</v>
      </c>
      <c r="G200" s="2">
        <v>0</v>
      </c>
      <c r="H200" s="395">
        <f t="shared" si="41"/>
        <v>846379.39273756451</v>
      </c>
      <c r="I200" s="157">
        <v>20499.342258064513</v>
      </c>
      <c r="J200" s="398">
        <f>'B) D RI'!U201</f>
        <v>25282.227903225812</v>
      </c>
      <c r="K200" s="66">
        <f t="shared" si="32"/>
        <v>41.288124374068438</v>
      </c>
      <c r="L200" s="34">
        <f>'B) D RI'!S201</f>
        <v>62</v>
      </c>
      <c r="M200" s="34">
        <f t="shared" si="27"/>
        <v>20.711875625931562</v>
      </c>
      <c r="N200" s="34">
        <f>'J) Plafonnement effort'!G199+'J) Plafonnement effort'!H199-'K) Plafonnement aide'!I199</f>
        <v>39.96666649460245</v>
      </c>
      <c r="O200" s="131">
        <f t="shared" si="28"/>
        <v>60.678542120534011</v>
      </c>
      <c r="P200" s="48">
        <f t="shared" si="29"/>
        <v>0</v>
      </c>
      <c r="Q200" s="58">
        <f t="shared" si="33"/>
        <v>0</v>
      </c>
      <c r="R200" s="152">
        <f t="shared" si="30"/>
        <v>60.678542120534011</v>
      </c>
      <c r="S200" s="131">
        <f t="shared" si="31"/>
        <v>-1.3214578794659886</v>
      </c>
      <c r="T200" s="151">
        <f t="shared" si="42"/>
        <v>0</v>
      </c>
      <c r="V200" s="12"/>
    </row>
    <row r="201" spans="1:22" x14ac:dyDescent="0.25">
      <c r="A201" s="50">
        <f>'A) Base RI'!A202</f>
        <v>5723</v>
      </c>
      <c r="B201" s="392" t="str">
        <f>'A) Base RI'!B202</f>
        <v>Mies</v>
      </c>
      <c r="C201" s="2">
        <v>23611216.908077907</v>
      </c>
      <c r="D201" s="430">
        <v>8309516.0188782671</v>
      </c>
      <c r="E201" s="2">
        <v>0</v>
      </c>
      <c r="F201" s="430">
        <v>-3950585.6871602582</v>
      </c>
      <c r="G201" s="2">
        <v>0</v>
      </c>
      <c r="H201" s="395">
        <f t="shared" si="41"/>
        <v>27970147.239795916</v>
      </c>
      <c r="I201" s="157">
        <v>621558.82755102031</v>
      </c>
      <c r="J201" s="398">
        <f>'B) D RI'!U202</f>
        <v>442357.54510204075</v>
      </c>
      <c r="K201" s="66">
        <f t="shared" si="32"/>
        <v>45</v>
      </c>
      <c r="L201" s="34">
        <f>'B) D RI'!S202</f>
        <v>49</v>
      </c>
      <c r="M201" s="34">
        <f t="shared" si="27"/>
        <v>4</v>
      </c>
      <c r="N201" s="34">
        <f>'J) Plafonnement effort'!G200+'J) Plafonnement effort'!H200-'K) Plafonnement aide'!I200</f>
        <v>45</v>
      </c>
      <c r="O201" s="131">
        <f t="shared" si="28"/>
        <v>49</v>
      </c>
      <c r="P201" s="48">
        <f t="shared" si="29"/>
        <v>0</v>
      </c>
      <c r="Q201" s="58">
        <f t="shared" si="33"/>
        <v>0</v>
      </c>
      <c r="R201" s="152">
        <f t="shared" si="30"/>
        <v>49</v>
      </c>
      <c r="S201" s="131">
        <f t="shared" si="31"/>
        <v>0</v>
      </c>
      <c r="T201" s="151">
        <f t="shared" si="42"/>
        <v>0</v>
      </c>
      <c r="V201" s="12"/>
    </row>
    <row r="202" spans="1:22" x14ac:dyDescent="0.25">
      <c r="A202" s="50">
        <f>'A) Base RI'!A203</f>
        <v>5724</v>
      </c>
      <c r="B202" s="392" t="str">
        <f>'A) Base RI'!B203</f>
        <v>Nyon</v>
      </c>
      <c r="C202" s="2">
        <v>32776526.172828536</v>
      </c>
      <c r="D202" s="430">
        <v>10819054.905430652</v>
      </c>
      <c r="E202" s="2">
        <v>0</v>
      </c>
      <c r="F202" s="430">
        <v>0</v>
      </c>
      <c r="G202" s="2">
        <v>0</v>
      </c>
      <c r="H202" s="395">
        <f t="shared" si="41"/>
        <v>43595581.078259185</v>
      </c>
      <c r="I202" s="157">
        <v>1418675.3806683479</v>
      </c>
      <c r="J202" s="398">
        <f>'B) D RI'!U203</f>
        <v>1295846.4763430012</v>
      </c>
      <c r="K202" s="66">
        <f t="shared" si="32"/>
        <v>30.72977911107543</v>
      </c>
      <c r="L202" s="34">
        <f>'B) D RI'!S203</f>
        <v>61</v>
      </c>
      <c r="M202" s="34">
        <f t="shared" si="27"/>
        <v>30.27022088892457</v>
      </c>
      <c r="N202" s="34">
        <f>'J) Plafonnement effort'!G201+'J) Plafonnement effort'!H201-'K) Plafonnement aide'!I201</f>
        <v>32.3255485580789</v>
      </c>
      <c r="O202" s="131">
        <f t="shared" si="28"/>
        <v>62.59576944700347</v>
      </c>
      <c r="P202" s="48">
        <f t="shared" si="29"/>
        <v>0</v>
      </c>
      <c r="Q202" s="58">
        <f t="shared" si="33"/>
        <v>0</v>
      </c>
      <c r="R202" s="152">
        <f t="shared" si="30"/>
        <v>62.59576944700347</v>
      </c>
      <c r="S202" s="131">
        <f t="shared" si="31"/>
        <v>1.5957694470034696</v>
      </c>
      <c r="T202" s="151">
        <f t="shared" si="42"/>
        <v>0</v>
      </c>
      <c r="V202" s="12"/>
    </row>
    <row r="203" spans="1:22" x14ac:dyDescent="0.25">
      <c r="A203" s="50">
        <f>'A) Base RI'!A204</f>
        <v>5725</v>
      </c>
      <c r="B203" s="392" t="str">
        <f>'A) Base RI'!B204</f>
        <v>Prangins</v>
      </c>
      <c r="C203" s="2">
        <v>7525919.2156192828</v>
      </c>
      <c r="D203" s="430">
        <v>4367431.1923064291</v>
      </c>
      <c r="E203" s="2">
        <v>0</v>
      </c>
      <c r="F203" s="430">
        <v>0</v>
      </c>
      <c r="G203" s="2">
        <v>0</v>
      </c>
      <c r="H203" s="395">
        <f t="shared" si="41"/>
        <v>11893350.407925712</v>
      </c>
      <c r="I203" s="157">
        <v>319840.55765306117</v>
      </c>
      <c r="J203" s="398">
        <f>'B) D RI'!U204</f>
        <v>297756.63698979589</v>
      </c>
      <c r="K203" s="66">
        <f t="shared" si="32"/>
        <v>37.185247847231174</v>
      </c>
      <c r="L203" s="34">
        <f>'B) D RI'!S204</f>
        <v>56</v>
      </c>
      <c r="M203" s="34">
        <f t="shared" si="27"/>
        <v>18.814752152768826</v>
      </c>
      <c r="N203" s="34">
        <f>'J) Plafonnement effort'!G202+'J) Plafonnement effort'!H202-'K) Plafonnement aide'!I202</f>
        <v>40.197541119848992</v>
      </c>
      <c r="O203" s="131">
        <f t="shared" si="28"/>
        <v>59.012293272617818</v>
      </c>
      <c r="P203" s="48">
        <f t="shared" si="29"/>
        <v>0</v>
      </c>
      <c r="Q203" s="58">
        <f t="shared" si="33"/>
        <v>0</v>
      </c>
      <c r="R203" s="152">
        <f t="shared" si="30"/>
        <v>59.012293272617818</v>
      </c>
      <c r="S203" s="131">
        <f t="shared" si="31"/>
        <v>3.0122932726178178</v>
      </c>
      <c r="T203" s="151">
        <f t="shared" si="42"/>
        <v>0</v>
      </c>
      <c r="V203" s="12"/>
    </row>
    <row r="204" spans="1:22" x14ac:dyDescent="0.25">
      <c r="A204" s="50">
        <f>'A) Base RI'!A205</f>
        <v>5726</v>
      </c>
      <c r="B204" s="392" t="str">
        <f>'A) Base RI'!B205</f>
        <v>La Rippe</v>
      </c>
      <c r="C204" s="2">
        <v>1064569.3064724498</v>
      </c>
      <c r="D204" s="430">
        <v>1033926.0024111166</v>
      </c>
      <c r="E204" s="2">
        <v>0</v>
      </c>
      <c r="F204" s="430">
        <v>0</v>
      </c>
      <c r="G204" s="2">
        <v>0</v>
      </c>
      <c r="H204" s="395">
        <f t="shared" si="41"/>
        <v>2098495.3088835664</v>
      </c>
      <c r="I204" s="157">
        <v>62420.845692307696</v>
      </c>
      <c r="J204" s="398">
        <f>'B) D RI'!U205</f>
        <v>56821.794000000002</v>
      </c>
      <c r="K204" s="66">
        <f t="shared" si="32"/>
        <v>33.618501729818284</v>
      </c>
      <c r="L204" s="34">
        <f>'B) D RI'!S205</f>
        <v>65</v>
      </c>
      <c r="M204" s="34">
        <f t="shared" si="27"/>
        <v>31.381498270181716</v>
      </c>
      <c r="N204" s="34">
        <f>'J) Plafonnement effort'!G203+'J) Plafonnement effort'!H203-'K) Plafonnement aide'!I203</f>
        <v>36.613087879132436</v>
      </c>
      <c r="O204" s="131">
        <f t="shared" si="28"/>
        <v>67.994586149314159</v>
      </c>
      <c r="P204" s="48">
        <f t="shared" si="29"/>
        <v>0</v>
      </c>
      <c r="Q204" s="58">
        <f t="shared" si="33"/>
        <v>0</v>
      </c>
      <c r="R204" s="152">
        <f t="shared" si="30"/>
        <v>67.994586149314159</v>
      </c>
      <c r="S204" s="131">
        <f t="shared" si="31"/>
        <v>2.9945861493141592</v>
      </c>
      <c r="T204" s="151">
        <f t="shared" si="42"/>
        <v>0</v>
      </c>
      <c r="V204" s="12"/>
    </row>
    <row r="205" spans="1:22" x14ac:dyDescent="0.25">
      <c r="A205" s="50">
        <f>'A) Base RI'!A206</f>
        <v>5727</v>
      </c>
      <c r="B205" s="392" t="str">
        <f>'A) Base RI'!B206</f>
        <v>Saint-Cergue</v>
      </c>
      <c r="C205" s="2">
        <v>1787669.1739847893</v>
      </c>
      <c r="D205" s="430">
        <v>842841.51526270586</v>
      </c>
      <c r="E205" s="2">
        <v>0</v>
      </c>
      <c r="F205" s="430">
        <v>0</v>
      </c>
      <c r="G205" s="2">
        <v>0</v>
      </c>
      <c r="H205" s="395">
        <f t="shared" si="41"/>
        <v>2630510.689247495</v>
      </c>
      <c r="I205" s="157">
        <v>94126.01979797981</v>
      </c>
      <c r="J205" s="398">
        <f>'B) D RI'!U206</f>
        <v>100367.45777777779</v>
      </c>
      <c r="K205" s="66">
        <f t="shared" si="32"/>
        <v>27.946689925838687</v>
      </c>
      <c r="L205" s="34">
        <f>'B) D RI'!S206</f>
        <v>66</v>
      </c>
      <c r="M205" s="34">
        <f t="shared" si="27"/>
        <v>38.053310074161317</v>
      </c>
      <c r="N205" s="34">
        <f>'J) Plafonnement effort'!G204+'J) Plafonnement effort'!H204-'K) Plafonnement aide'!I204</f>
        <v>27.128788055169395</v>
      </c>
      <c r="O205" s="131">
        <f t="shared" si="28"/>
        <v>65.182098129330711</v>
      </c>
      <c r="P205" s="48">
        <f t="shared" si="29"/>
        <v>0</v>
      </c>
      <c r="Q205" s="58">
        <f t="shared" si="33"/>
        <v>0</v>
      </c>
      <c r="R205" s="152">
        <f t="shared" si="30"/>
        <v>65.182098129330711</v>
      </c>
      <c r="S205" s="131">
        <f t="shared" si="31"/>
        <v>-0.81790187066928866</v>
      </c>
      <c r="T205" s="151">
        <f t="shared" si="42"/>
        <v>0</v>
      </c>
      <c r="V205" s="12"/>
    </row>
    <row r="206" spans="1:22" x14ac:dyDescent="0.25">
      <c r="A206" s="50">
        <f>'A) Base RI'!A207</f>
        <v>5728</v>
      </c>
      <c r="B206" s="392" t="str">
        <f>'A) Base RI'!B207</f>
        <v>Signy-Avenex</v>
      </c>
      <c r="C206" s="2">
        <v>816152.0616237619</v>
      </c>
      <c r="D206" s="430">
        <v>564155.79336008662</v>
      </c>
      <c r="E206" s="2">
        <v>0</v>
      </c>
      <c r="F206" s="430">
        <v>0</v>
      </c>
      <c r="G206" s="2">
        <v>0</v>
      </c>
      <c r="H206" s="395">
        <f t="shared" si="41"/>
        <v>1380307.8549838485</v>
      </c>
      <c r="I206" s="157">
        <v>33547.613749999997</v>
      </c>
      <c r="J206" s="398">
        <f>'B) D RI'!U207</f>
        <v>36550.556034482761</v>
      </c>
      <c r="K206" s="66">
        <f t="shared" si="32"/>
        <v>41.144740286746881</v>
      </c>
      <c r="L206" s="34">
        <f>'B) D RI'!S207</f>
        <v>58</v>
      </c>
      <c r="M206" s="34">
        <f t="shared" si="27"/>
        <v>16.855259713253119</v>
      </c>
      <c r="N206" s="34">
        <f>'J) Plafonnement effort'!G205+'J) Plafonnement effort'!H205-'K) Plafonnement aide'!I205</f>
        <v>42.223510361819351</v>
      </c>
      <c r="O206" s="131">
        <f t="shared" si="28"/>
        <v>59.07877007507247</v>
      </c>
      <c r="P206" s="48">
        <f t="shared" si="29"/>
        <v>0</v>
      </c>
      <c r="Q206" s="58">
        <f t="shared" si="33"/>
        <v>0</v>
      </c>
      <c r="R206" s="152">
        <f t="shared" si="30"/>
        <v>59.07877007507247</v>
      </c>
      <c r="S206" s="131">
        <f t="shared" si="31"/>
        <v>1.0787700750724696</v>
      </c>
      <c r="T206" s="151">
        <f t="shared" si="42"/>
        <v>0</v>
      </c>
      <c r="V206" s="12"/>
    </row>
    <row r="207" spans="1:22" x14ac:dyDescent="0.25">
      <c r="A207" s="50">
        <f>'A) Base RI'!A208</f>
        <v>5729</v>
      </c>
      <c r="B207" s="392" t="str">
        <f>'A) Base RI'!B208</f>
        <v>Tannay</v>
      </c>
      <c r="C207" s="2">
        <v>3807958.6693698717</v>
      </c>
      <c r="D207" s="430">
        <v>2160889.1069464241</v>
      </c>
      <c r="E207" s="2">
        <v>0</v>
      </c>
      <c r="F207" s="430">
        <v>0</v>
      </c>
      <c r="G207" s="2">
        <v>0</v>
      </c>
      <c r="H207" s="395">
        <f t="shared" si="41"/>
        <v>5968847.7763162963</v>
      </c>
      <c r="I207" s="157">
        <v>141635.67650273221</v>
      </c>
      <c r="J207" s="398">
        <f>'B) D RI'!U208</f>
        <v>172823.24043715847</v>
      </c>
      <c r="K207" s="66">
        <f t="shared" si="32"/>
        <v>42.142261919447641</v>
      </c>
      <c r="L207" s="34">
        <f>'B) D RI'!S208</f>
        <v>61</v>
      </c>
      <c r="M207" s="34">
        <f t="shared" si="27"/>
        <v>18.857738080552359</v>
      </c>
      <c r="N207" s="34">
        <f>'J) Plafonnement effort'!G206+'J) Plafonnement effort'!H206-'K) Plafonnement aide'!I206</f>
        <v>45</v>
      </c>
      <c r="O207" s="131">
        <f t="shared" si="28"/>
        <v>63.857738080552359</v>
      </c>
      <c r="P207" s="48">
        <f t="shared" si="29"/>
        <v>0</v>
      </c>
      <c r="Q207" s="58">
        <f t="shared" si="33"/>
        <v>0</v>
      </c>
      <c r="R207" s="152">
        <f t="shared" si="30"/>
        <v>63.857738080552359</v>
      </c>
      <c r="S207" s="131">
        <f t="shared" si="31"/>
        <v>2.8577380805523589</v>
      </c>
      <c r="T207" s="151">
        <f t="shared" si="42"/>
        <v>0</v>
      </c>
      <c r="V207" s="12"/>
    </row>
    <row r="208" spans="1:22" x14ac:dyDescent="0.25">
      <c r="A208" s="50">
        <f>'A) Base RI'!A209</f>
        <v>5730</v>
      </c>
      <c r="B208" s="392" t="str">
        <f>'A) Base RI'!B209</f>
        <v>Trélex</v>
      </c>
      <c r="C208" s="2">
        <v>3012799.6539615062</v>
      </c>
      <c r="D208" s="430">
        <v>1931714.5817822935</v>
      </c>
      <c r="E208" s="2">
        <v>0</v>
      </c>
      <c r="F208" s="430">
        <v>0</v>
      </c>
      <c r="G208" s="2">
        <v>0</v>
      </c>
      <c r="H208" s="395">
        <f t="shared" si="41"/>
        <v>4944514.2357438002</v>
      </c>
      <c r="I208" s="157">
        <v>125167.38524366473</v>
      </c>
      <c r="J208" s="398">
        <f>'B) D RI'!U209</f>
        <v>103185.50284600389</v>
      </c>
      <c r="K208" s="66">
        <f t="shared" si="32"/>
        <v>39.503215842675466</v>
      </c>
      <c r="L208" s="34">
        <f>'B) D RI'!S209</f>
        <v>57</v>
      </c>
      <c r="M208" s="34">
        <f t="shared" si="27"/>
        <v>17.496784157324534</v>
      </c>
      <c r="N208" s="34">
        <f>'J) Plafonnement effort'!G207+'J) Plafonnement effort'!H207-'K) Plafonnement aide'!I207</f>
        <v>41.975972435197995</v>
      </c>
      <c r="O208" s="131">
        <f t="shared" si="28"/>
        <v>59.472756592522529</v>
      </c>
      <c r="P208" s="48">
        <f t="shared" si="29"/>
        <v>0</v>
      </c>
      <c r="Q208" s="58">
        <f t="shared" si="33"/>
        <v>0</v>
      </c>
      <c r="R208" s="152">
        <f t="shared" si="30"/>
        <v>59.472756592522529</v>
      </c>
      <c r="S208" s="131">
        <f t="shared" si="31"/>
        <v>2.4727565925225292</v>
      </c>
      <c r="T208" s="151">
        <f t="shared" si="42"/>
        <v>0</v>
      </c>
      <c r="V208" s="12"/>
    </row>
    <row r="209" spans="1:22" x14ac:dyDescent="0.25">
      <c r="A209" s="50">
        <f>'A) Base RI'!A210</f>
        <v>5731</v>
      </c>
      <c r="B209" s="392" t="str">
        <f>'A) Base RI'!B210</f>
        <v>Le Vaud</v>
      </c>
      <c r="C209" s="2">
        <v>854435.10360267432</v>
      </c>
      <c r="D209" s="430">
        <v>480245.15400404437</v>
      </c>
      <c r="E209" s="2">
        <v>0</v>
      </c>
      <c r="F209" s="430">
        <v>0</v>
      </c>
      <c r="G209" s="2">
        <v>0</v>
      </c>
      <c r="H209" s="395">
        <f t="shared" si="41"/>
        <v>1334680.2576067187</v>
      </c>
      <c r="I209" s="157">
        <v>47266.974133333322</v>
      </c>
      <c r="J209" s="398">
        <f>'B) D RI'!U210</f>
        <v>50829.361333333334</v>
      </c>
      <c r="K209" s="66">
        <f t="shared" si="32"/>
        <v>28.237057312824341</v>
      </c>
      <c r="L209" s="34">
        <f>'B) D RI'!S210</f>
        <v>75</v>
      </c>
      <c r="M209" s="34">
        <f t="shared" si="27"/>
        <v>46.762942687175659</v>
      </c>
      <c r="N209" s="34">
        <f>'J) Plafonnement effort'!G208+'J) Plafonnement effort'!H208-'K) Plafonnement aide'!I208</f>
        <v>29.709798841329668</v>
      </c>
      <c r="O209" s="131">
        <f t="shared" si="28"/>
        <v>76.472741528505324</v>
      </c>
      <c r="P209" s="48">
        <f t="shared" si="29"/>
        <v>0</v>
      </c>
      <c r="Q209" s="58">
        <f t="shared" si="33"/>
        <v>0</v>
      </c>
      <c r="R209" s="152">
        <f t="shared" si="30"/>
        <v>76.472741528505324</v>
      </c>
      <c r="S209" s="131">
        <f t="shared" si="31"/>
        <v>1.472741528505324</v>
      </c>
      <c r="T209" s="151">
        <f t="shared" si="42"/>
        <v>0</v>
      </c>
      <c r="V209" s="12"/>
    </row>
    <row r="210" spans="1:22" x14ac:dyDescent="0.25">
      <c r="A210" s="50">
        <f>'A) Base RI'!A211</f>
        <v>5732</v>
      </c>
      <c r="B210" s="392" t="str">
        <f>'A) Base RI'!B211</f>
        <v>Vich</v>
      </c>
      <c r="C210" s="2">
        <v>1881501.3723734745</v>
      </c>
      <c r="D210" s="430">
        <v>1255404.6353843519</v>
      </c>
      <c r="E210" s="2">
        <v>0</v>
      </c>
      <c r="F210" s="430">
        <v>0</v>
      </c>
      <c r="G210" s="2">
        <v>0</v>
      </c>
      <c r="H210" s="395">
        <f t="shared" si="41"/>
        <v>3136906.0077578267</v>
      </c>
      <c r="I210" s="157">
        <v>76343.818235294122</v>
      </c>
      <c r="J210" s="398">
        <f>'B) D RI'!U211</f>
        <v>61037.471029411761</v>
      </c>
      <c r="K210" s="66">
        <f t="shared" si="32"/>
        <v>41.0891946495233</v>
      </c>
      <c r="L210" s="34">
        <f>'B) D RI'!S211</f>
        <v>68</v>
      </c>
      <c r="M210" s="34">
        <f t="shared" si="27"/>
        <v>26.9108053504767</v>
      </c>
      <c r="N210" s="34">
        <f>'J) Plafonnement effort'!G209+'J) Plafonnement effort'!H209-'K) Plafonnement aide'!I209</f>
        <v>29.649706167888169</v>
      </c>
      <c r="O210" s="131">
        <f t="shared" si="28"/>
        <v>56.560511518364869</v>
      </c>
      <c r="P210" s="48">
        <f t="shared" si="29"/>
        <v>0</v>
      </c>
      <c r="Q210" s="58">
        <f t="shared" si="33"/>
        <v>0</v>
      </c>
      <c r="R210" s="152">
        <f t="shared" si="30"/>
        <v>56.560511518364869</v>
      </c>
      <c r="S210" s="131">
        <f t="shared" si="31"/>
        <v>-11.439488481635131</v>
      </c>
      <c r="T210" s="151">
        <f t="shared" si="42"/>
        <v>0</v>
      </c>
      <c r="V210" s="12"/>
    </row>
    <row r="211" spans="1:22" x14ac:dyDescent="0.25">
      <c r="A211" s="50">
        <f>'A) Base RI'!A212</f>
        <v>5741</v>
      </c>
      <c r="B211" s="392" t="str">
        <f>'A) Base RI'!B212</f>
        <v>L'Abergement</v>
      </c>
      <c r="C211" s="2">
        <v>117321.81152598854</v>
      </c>
      <c r="D211" s="430">
        <v>-17024.700003530248</v>
      </c>
      <c r="E211" s="2">
        <v>0</v>
      </c>
      <c r="F211" s="430">
        <v>0</v>
      </c>
      <c r="G211" s="2">
        <v>0</v>
      </c>
      <c r="H211" s="395">
        <f t="shared" si="41"/>
        <v>100297.11152245829</v>
      </c>
      <c r="I211" s="157">
        <v>6474.3855761316872</v>
      </c>
      <c r="J211" s="398">
        <f>'B) D RI'!U212</f>
        <v>6619.5511522633742</v>
      </c>
      <c r="K211" s="66">
        <f t="shared" si="32"/>
        <v>15.491371396262092</v>
      </c>
      <c r="L211" s="34">
        <f>'B) D RI'!S212</f>
        <v>81</v>
      </c>
      <c r="M211" s="34">
        <f t="shared" si="27"/>
        <v>65.508628603737904</v>
      </c>
      <c r="N211" s="34">
        <f>'J) Plafonnement effort'!G210+'J) Plafonnement effort'!H210-'K) Plafonnement aide'!I210</f>
        <v>6.4984681318482611</v>
      </c>
      <c r="O211" s="131">
        <f t="shared" si="28"/>
        <v>72.00709673558616</v>
      </c>
      <c r="P211" s="48">
        <f t="shared" si="29"/>
        <v>0</v>
      </c>
      <c r="Q211" s="58">
        <f t="shared" si="33"/>
        <v>0</v>
      </c>
      <c r="R211" s="152">
        <f t="shared" si="30"/>
        <v>72.00709673558616</v>
      </c>
      <c r="S211" s="131">
        <f t="shared" si="31"/>
        <v>-8.9929032644138402</v>
      </c>
      <c r="T211" s="151">
        <f t="shared" si="42"/>
        <v>0</v>
      </c>
      <c r="V211" s="12"/>
    </row>
    <row r="212" spans="1:22" x14ac:dyDescent="0.25">
      <c r="A212" s="50">
        <f>'A) Base RI'!A213</f>
        <v>5742</v>
      </c>
      <c r="B212" s="392" t="str">
        <f>'A) Base RI'!B213</f>
        <v>Agiez</v>
      </c>
      <c r="C212" s="2">
        <v>175203.46337190378</v>
      </c>
      <c r="D212" s="430">
        <v>17029.881165391242</v>
      </c>
      <c r="E212" s="2">
        <v>0</v>
      </c>
      <c r="F212" s="430">
        <v>0</v>
      </c>
      <c r="G212" s="2">
        <v>0</v>
      </c>
      <c r="H212" s="395">
        <f t="shared" si="41"/>
        <v>192233.34453729502</v>
      </c>
      <c r="I212" s="157">
        <v>8406.0221052631568</v>
      </c>
      <c r="J212" s="398">
        <f>'B) D RI'!U213</f>
        <v>9354.2819736842121</v>
      </c>
      <c r="K212" s="66">
        <f t="shared" si="32"/>
        <v>22.868527126158089</v>
      </c>
      <c r="L212" s="34">
        <f>'B) D RI'!S213</f>
        <v>76</v>
      </c>
      <c r="M212" s="34">
        <f t="shared" si="27"/>
        <v>53.131472873841915</v>
      </c>
      <c r="N212" s="34">
        <f>'J) Plafonnement effort'!G211+'J) Plafonnement effort'!H211-'K) Plafonnement aide'!I211</f>
        <v>22.367896986956286</v>
      </c>
      <c r="O212" s="131">
        <f t="shared" si="28"/>
        <v>75.499369860798197</v>
      </c>
      <c r="P212" s="48">
        <f t="shared" si="29"/>
        <v>0</v>
      </c>
      <c r="Q212" s="58">
        <f t="shared" si="33"/>
        <v>0</v>
      </c>
      <c r="R212" s="152">
        <f t="shared" si="30"/>
        <v>75.499369860798197</v>
      </c>
      <c r="S212" s="131">
        <f t="shared" si="31"/>
        <v>-0.5006301392018031</v>
      </c>
      <c r="T212" s="151">
        <f t="shared" si="42"/>
        <v>0</v>
      </c>
      <c r="V212" s="12"/>
    </row>
    <row r="213" spans="1:22" x14ac:dyDescent="0.25">
      <c r="A213" s="50">
        <f>'A) Base RI'!A214</f>
        <v>5743</v>
      </c>
      <c r="B213" s="392" t="str">
        <f>'A) Base RI'!B214</f>
        <v>Arnex-sur-Orbe</v>
      </c>
      <c r="C213" s="2">
        <v>266845.03877809289</v>
      </c>
      <c r="D213" s="430">
        <v>-23632.376620683644</v>
      </c>
      <c r="E213" s="2">
        <v>0</v>
      </c>
      <c r="F213" s="430">
        <v>0</v>
      </c>
      <c r="G213" s="2">
        <v>0</v>
      </c>
      <c r="H213" s="395">
        <f t="shared" si="41"/>
        <v>243212.66215740924</v>
      </c>
      <c r="I213" s="157">
        <v>16157.310890410963</v>
      </c>
      <c r="J213" s="398">
        <f>'B) D RI'!U214</f>
        <v>17594.003904109592</v>
      </c>
      <c r="K213" s="66">
        <f t="shared" si="32"/>
        <v>15.052793364380396</v>
      </c>
      <c r="L213" s="34">
        <f>'B) D RI'!S214</f>
        <v>73</v>
      </c>
      <c r="M213" s="34">
        <f t="shared" si="27"/>
        <v>57.947206635619608</v>
      </c>
      <c r="N213" s="34">
        <f>'J) Plafonnement effort'!G212+'J) Plafonnement effort'!H212-'K) Plafonnement aide'!I212</f>
        <v>15.908663038662437</v>
      </c>
      <c r="O213" s="131">
        <f t="shared" si="28"/>
        <v>73.855869674282047</v>
      </c>
      <c r="P213" s="48">
        <f t="shared" si="29"/>
        <v>0</v>
      </c>
      <c r="Q213" s="58">
        <f t="shared" si="33"/>
        <v>0</v>
      </c>
      <c r="R213" s="152">
        <f t="shared" si="30"/>
        <v>73.855869674282047</v>
      </c>
      <c r="S213" s="131">
        <f t="shared" si="31"/>
        <v>0.8558696742820473</v>
      </c>
      <c r="T213" s="151">
        <f t="shared" si="42"/>
        <v>0</v>
      </c>
      <c r="V213" s="12"/>
    </row>
    <row r="214" spans="1:22" x14ac:dyDescent="0.25">
      <c r="A214" s="50">
        <f>'A) Base RI'!A215</f>
        <v>5744</v>
      </c>
      <c r="B214" s="392" t="str">
        <f>'A) Base RI'!B215</f>
        <v>Ballaigues</v>
      </c>
      <c r="C214" s="2">
        <v>1638612.6715006649</v>
      </c>
      <c r="D214" s="430">
        <v>1121728.7747905904</v>
      </c>
      <c r="E214" s="2">
        <v>0</v>
      </c>
      <c r="F214" s="430">
        <v>0</v>
      </c>
      <c r="G214" s="2">
        <v>0</v>
      </c>
      <c r="H214" s="395">
        <f t="shared" si="41"/>
        <v>2760341.4462912553</v>
      </c>
      <c r="I214" s="157">
        <v>67876.800151515155</v>
      </c>
      <c r="J214" s="398">
        <f>'B) D RI'!U215</f>
        <v>49791.438333333339</v>
      </c>
      <c r="K214" s="66">
        <f t="shared" si="32"/>
        <v>40.666935390731417</v>
      </c>
      <c r="L214" s="34">
        <f>'B) D RI'!S215</f>
        <v>66</v>
      </c>
      <c r="M214" s="34">
        <f t="shared" si="27"/>
        <v>25.333064609268583</v>
      </c>
      <c r="N214" s="34">
        <f>'J) Plafonnement effort'!G213+'J) Plafonnement effort'!H213-'K) Plafonnement aide'!I213</f>
        <v>34.330185718986023</v>
      </c>
      <c r="O214" s="131">
        <f t="shared" si="28"/>
        <v>59.663250328254605</v>
      </c>
      <c r="P214" s="48">
        <f t="shared" si="29"/>
        <v>0</v>
      </c>
      <c r="Q214" s="58">
        <f t="shared" si="33"/>
        <v>0</v>
      </c>
      <c r="R214" s="152">
        <f t="shared" si="30"/>
        <v>59.663250328254605</v>
      </c>
      <c r="S214" s="131">
        <f t="shared" si="31"/>
        <v>-6.3367496717453946</v>
      </c>
      <c r="T214" s="151">
        <f t="shared" si="42"/>
        <v>0</v>
      </c>
      <c r="V214" s="12"/>
    </row>
    <row r="215" spans="1:22" x14ac:dyDescent="0.25">
      <c r="A215" s="50">
        <f>'A) Base RI'!A216</f>
        <v>5745</v>
      </c>
      <c r="B215" s="392" t="str">
        <f>'A) Base RI'!B216</f>
        <v>Baulmes</v>
      </c>
      <c r="C215" s="2">
        <v>486986.99755400605</v>
      </c>
      <c r="D215" s="430">
        <v>-127059.60007258982</v>
      </c>
      <c r="E215" s="2">
        <v>0</v>
      </c>
      <c r="F215" s="430">
        <v>0</v>
      </c>
      <c r="G215" s="2">
        <v>0</v>
      </c>
      <c r="H215" s="395">
        <f t="shared" si="41"/>
        <v>359927.39748141624</v>
      </c>
      <c r="I215" s="157">
        <v>26708.244230769233</v>
      </c>
      <c r="J215" s="398">
        <f>'B) D RI'!U216</f>
        <v>25375.775641025641</v>
      </c>
      <c r="K215" s="66">
        <f t="shared" si="32"/>
        <v>13.476265769157596</v>
      </c>
      <c r="L215" s="34">
        <f>'B) D RI'!S216</f>
        <v>78</v>
      </c>
      <c r="M215" s="34">
        <f t="shared" si="27"/>
        <v>64.523734230842408</v>
      </c>
      <c r="N215" s="34">
        <f>'J) Plafonnement effort'!G214+'J) Plafonnement effort'!H214-'K) Plafonnement aide'!I214</f>
        <v>4.8919363380544016</v>
      </c>
      <c r="O215" s="131">
        <f t="shared" si="28"/>
        <v>69.415670568896815</v>
      </c>
      <c r="P215" s="48">
        <f t="shared" si="29"/>
        <v>0</v>
      </c>
      <c r="Q215" s="58">
        <f t="shared" si="33"/>
        <v>0</v>
      </c>
      <c r="R215" s="152">
        <f t="shared" si="30"/>
        <v>69.415670568896815</v>
      </c>
      <c r="S215" s="131">
        <f t="shared" si="31"/>
        <v>-8.5843294311031855</v>
      </c>
      <c r="T215" s="151">
        <f t="shared" si="42"/>
        <v>0</v>
      </c>
      <c r="V215" s="12"/>
    </row>
    <row r="216" spans="1:22" x14ac:dyDescent="0.25">
      <c r="A216" s="50">
        <f>'A) Base RI'!A217</f>
        <v>5746</v>
      </c>
      <c r="B216" s="392" t="str">
        <f>'A) Base RI'!B217</f>
        <v>Bavois</v>
      </c>
      <c r="C216" s="2">
        <v>458787.59747290751</v>
      </c>
      <c r="D216" s="430">
        <v>67828.551919029152</v>
      </c>
      <c r="E216" s="2">
        <v>0</v>
      </c>
      <c r="F216" s="430">
        <v>0</v>
      </c>
      <c r="G216" s="2">
        <v>0</v>
      </c>
      <c r="H216" s="395">
        <f t="shared" si="41"/>
        <v>526616.1493919366</v>
      </c>
      <c r="I216" s="157">
        <v>26575.73502283105</v>
      </c>
      <c r="J216" s="398">
        <f>'B) D RI'!U217</f>
        <v>25508.009041095891</v>
      </c>
      <c r="K216" s="66">
        <f t="shared" si="32"/>
        <v>19.815675801234619</v>
      </c>
      <c r="L216" s="34">
        <f>'B) D RI'!S217</f>
        <v>73</v>
      </c>
      <c r="M216" s="34">
        <f t="shared" si="27"/>
        <v>53.184324198765381</v>
      </c>
      <c r="N216" s="34">
        <f>'J) Plafonnement effort'!G215+'J) Plafonnement effort'!H215-'K) Plafonnement aide'!I215</f>
        <v>12.896999819695854</v>
      </c>
      <c r="O216" s="131">
        <f t="shared" si="28"/>
        <v>66.081324018461231</v>
      </c>
      <c r="P216" s="48">
        <f t="shared" si="29"/>
        <v>0</v>
      </c>
      <c r="Q216" s="58">
        <f t="shared" si="33"/>
        <v>0</v>
      </c>
      <c r="R216" s="152">
        <f t="shared" si="30"/>
        <v>66.081324018461231</v>
      </c>
      <c r="S216" s="131">
        <f t="shared" si="31"/>
        <v>-6.9186759815387688</v>
      </c>
      <c r="T216" s="151">
        <f t="shared" si="42"/>
        <v>0</v>
      </c>
      <c r="V216" s="12"/>
    </row>
    <row r="217" spans="1:22" x14ac:dyDescent="0.25">
      <c r="A217" s="50">
        <f>'A) Base RI'!A218</f>
        <v>5747</v>
      </c>
      <c r="B217" s="392" t="str">
        <f>'A) Base RI'!B218</f>
        <v>Bofflens</v>
      </c>
      <c r="C217" s="2">
        <v>87672.45444972298</v>
      </c>
      <c r="D217" s="430">
        <v>20332.206536978323</v>
      </c>
      <c r="E217" s="2">
        <v>0</v>
      </c>
      <c r="F217" s="430">
        <v>0</v>
      </c>
      <c r="G217" s="2">
        <v>0</v>
      </c>
      <c r="H217" s="395">
        <f t="shared" si="41"/>
        <v>108004.6609867013</v>
      </c>
      <c r="I217" s="157">
        <v>5307.8250724637683</v>
      </c>
      <c r="J217" s="398">
        <f>'B) D RI'!U218</f>
        <v>5402.2208695652162</v>
      </c>
      <c r="K217" s="66">
        <f t="shared" si="32"/>
        <v>20.348195261184081</v>
      </c>
      <c r="L217" s="34">
        <f>'B) D RI'!S218</f>
        <v>69</v>
      </c>
      <c r="M217" s="34">
        <f t="shared" si="27"/>
        <v>48.651804738815919</v>
      </c>
      <c r="N217" s="34">
        <f>'J) Plafonnement effort'!G216+'J) Plafonnement effort'!H216-'K) Plafonnement aide'!I216</f>
        <v>19.022389528642595</v>
      </c>
      <c r="O217" s="131">
        <f t="shared" si="28"/>
        <v>67.674194267458518</v>
      </c>
      <c r="P217" s="48">
        <f t="shared" si="29"/>
        <v>0</v>
      </c>
      <c r="Q217" s="58">
        <f t="shared" si="33"/>
        <v>0</v>
      </c>
      <c r="R217" s="152">
        <f t="shared" si="30"/>
        <v>67.674194267458518</v>
      </c>
      <c r="S217" s="131">
        <f t="shared" si="31"/>
        <v>-1.3258057325414825</v>
      </c>
      <c r="T217" s="151">
        <f t="shared" si="42"/>
        <v>0</v>
      </c>
      <c r="V217" s="12"/>
    </row>
    <row r="218" spans="1:22" x14ac:dyDescent="0.25">
      <c r="A218" s="50">
        <f>'A) Base RI'!A219</f>
        <v>5748</v>
      </c>
      <c r="B218" s="392" t="str">
        <f>'A) Base RI'!B219</f>
        <v>Bretonnières</v>
      </c>
      <c r="C218" s="2">
        <v>136788.1741392008</v>
      </c>
      <c r="D218" s="430">
        <v>19556.59635864853</v>
      </c>
      <c r="E218" s="2">
        <v>0</v>
      </c>
      <c r="F218" s="430">
        <v>0</v>
      </c>
      <c r="G218" s="2">
        <v>0</v>
      </c>
      <c r="H218" s="395">
        <f t="shared" si="41"/>
        <v>156344.77049784933</v>
      </c>
      <c r="I218" s="157">
        <v>7260.9913888888877</v>
      </c>
      <c r="J218" s="398">
        <f>'B) D RI'!U219</f>
        <v>7661.0479629629635</v>
      </c>
      <c r="K218" s="66">
        <f t="shared" si="32"/>
        <v>21.532152033274063</v>
      </c>
      <c r="L218" s="34">
        <f>'B) D RI'!S219</f>
        <v>72</v>
      </c>
      <c r="M218" s="34">
        <f t="shared" si="27"/>
        <v>50.467847966725941</v>
      </c>
      <c r="N218" s="34">
        <f>'J) Plafonnement effort'!G217+'J) Plafonnement effort'!H217-'K) Plafonnement aide'!I217</f>
        <v>28.85282984947208</v>
      </c>
      <c r="O218" s="131">
        <f t="shared" si="28"/>
        <v>79.320677816198014</v>
      </c>
      <c r="P218" s="48">
        <f t="shared" si="29"/>
        <v>0</v>
      </c>
      <c r="Q218" s="58">
        <f t="shared" si="33"/>
        <v>0</v>
      </c>
      <c r="R218" s="152">
        <f t="shared" si="30"/>
        <v>79.320677816198014</v>
      </c>
      <c r="S218" s="131">
        <f t="shared" si="31"/>
        <v>7.3206778161980139</v>
      </c>
      <c r="T218" s="151">
        <f t="shared" si="42"/>
        <v>0</v>
      </c>
      <c r="V218" s="12"/>
    </row>
    <row r="219" spans="1:22" x14ac:dyDescent="0.25">
      <c r="A219" s="50">
        <f>'A) Base RI'!A220</f>
        <v>5749</v>
      </c>
      <c r="B219" s="392" t="str">
        <f>'A) Base RI'!B220</f>
        <v>Chavornay</v>
      </c>
      <c r="C219" s="2">
        <v>2582993.4764137319</v>
      </c>
      <c r="D219" s="2">
        <v>-978628.94687071024</v>
      </c>
      <c r="E219" s="2">
        <v>0</v>
      </c>
      <c r="F219" s="2">
        <v>0</v>
      </c>
      <c r="G219" s="2">
        <v>0</v>
      </c>
      <c r="H219" s="395">
        <f t="shared" si="41"/>
        <v>1604364.5295430217</v>
      </c>
      <c r="I219" s="157">
        <v>132615.92523493644</v>
      </c>
      <c r="J219" s="398">
        <f>'B) D RI'!U220</f>
        <v>134740.63065656566</v>
      </c>
      <c r="K219" s="66">
        <f t="shared" ref="K219" si="43">H219/I219</f>
        <v>12.097827064892858</v>
      </c>
      <c r="L219" s="34">
        <f>'B) D RI'!S220</f>
        <v>72</v>
      </c>
      <c r="M219" s="34">
        <f t="shared" ref="M219" si="44">L219-K219</f>
        <v>59.902172935107146</v>
      </c>
      <c r="N219" s="34">
        <f>'J) Plafonnement effort'!G218+'J) Plafonnement effort'!H218-'K) Plafonnement aide'!I218</f>
        <v>8.3164589047372708</v>
      </c>
      <c r="O219" s="131">
        <f t="shared" ref="O219" si="45">M219+N219</f>
        <v>68.21863183984442</v>
      </c>
      <c r="P219" s="48">
        <f t="shared" ref="P219" si="46">IF(O219&gt;$P$5,$P$5-O219,0)</f>
        <v>0</v>
      </c>
      <c r="Q219" s="58">
        <f t="shared" ref="Q219" si="47">P219*J219</f>
        <v>0</v>
      </c>
      <c r="R219" s="152">
        <f t="shared" ref="R219" si="48">O219+P219</f>
        <v>68.21863183984442</v>
      </c>
      <c r="S219" s="131">
        <f t="shared" ref="S219" si="49">R219-L219</f>
        <v>-3.78136816015558</v>
      </c>
      <c r="T219" s="151">
        <f t="shared" si="42"/>
        <v>0</v>
      </c>
      <c r="V219" s="12"/>
    </row>
    <row r="220" spans="1:22" x14ac:dyDescent="0.25">
      <c r="A220" s="50">
        <f>'A) Base RI'!A221</f>
        <v>5750</v>
      </c>
      <c r="B220" s="392" t="str">
        <f>'A) Base RI'!B221</f>
        <v>Les Clées</v>
      </c>
      <c r="C220" s="2">
        <v>83679.718704196785</v>
      </c>
      <c r="D220" s="430">
        <v>-8542.9072010343807</v>
      </c>
      <c r="E220" s="2">
        <v>0</v>
      </c>
      <c r="F220" s="430">
        <v>0</v>
      </c>
      <c r="G220" s="2">
        <v>0</v>
      </c>
      <c r="H220" s="395">
        <f t="shared" si="41"/>
        <v>75136.811503162404</v>
      </c>
      <c r="I220" s="157">
        <v>4790.0727916666665</v>
      </c>
      <c r="J220" s="398">
        <f>'B) D RI'!U221</f>
        <v>5020.8349583333338</v>
      </c>
      <c r="K220" s="66">
        <f t="shared" si="32"/>
        <v>15.685943569350053</v>
      </c>
      <c r="L220" s="34">
        <f>'B) D RI'!S221</f>
        <v>80</v>
      </c>
      <c r="M220" s="34">
        <f t="shared" ref="M220:M261" si="50">L220-K220</f>
        <v>64.314056430649941</v>
      </c>
      <c r="N220" s="34">
        <f>'J) Plafonnement effort'!G219+'J) Plafonnement effort'!H219-'K) Plafonnement aide'!I219</f>
        <v>15.636807252756817</v>
      </c>
      <c r="O220" s="131">
        <f t="shared" ref="O220:O261" si="51">M220+N220</f>
        <v>79.950863683406766</v>
      </c>
      <c r="P220" s="48">
        <f t="shared" ref="P220:P261" si="52">IF(O220&gt;$P$5,$P$5-O220,0)</f>
        <v>0</v>
      </c>
      <c r="Q220" s="58">
        <f t="shared" si="33"/>
        <v>0</v>
      </c>
      <c r="R220" s="152">
        <f t="shared" ref="R220:R261" si="53">O220+P220</f>
        <v>79.950863683406766</v>
      </c>
      <c r="S220" s="131">
        <f t="shared" ref="S220:S261" si="54">R220-L220</f>
        <v>-4.9136316593234142E-2</v>
      </c>
      <c r="T220" s="151">
        <f t="shared" si="42"/>
        <v>0</v>
      </c>
      <c r="V220" s="12"/>
    </row>
    <row r="221" spans="1:22" x14ac:dyDescent="0.25">
      <c r="A221" s="50">
        <f>'A) Base RI'!A222</f>
        <v>5752</v>
      </c>
      <c r="B221" s="392" t="str">
        <f>'A) Base RI'!B222</f>
        <v>Croy</v>
      </c>
      <c r="C221" s="2">
        <v>162552.64359548243</v>
      </c>
      <c r="D221" s="430">
        <v>185.43291735553066</v>
      </c>
      <c r="E221" s="2">
        <v>0</v>
      </c>
      <c r="F221" s="430">
        <v>0</v>
      </c>
      <c r="G221" s="2">
        <v>0</v>
      </c>
      <c r="H221" s="395">
        <f t="shared" si="41"/>
        <v>162738.07651283796</v>
      </c>
      <c r="I221" s="157">
        <v>9213.5061196911174</v>
      </c>
      <c r="J221" s="398">
        <f>'B) D RI'!U222</f>
        <v>11140.896486486487</v>
      </c>
      <c r="K221" s="66">
        <f t="shared" ref="K221:K265" si="55">H221/I221</f>
        <v>17.662991091418924</v>
      </c>
      <c r="L221" s="34">
        <f>'B) D RI'!S222</f>
        <v>74</v>
      </c>
      <c r="M221" s="34">
        <f t="shared" si="50"/>
        <v>56.337008908581076</v>
      </c>
      <c r="N221" s="34">
        <f>'J) Plafonnement effort'!G220+'J) Plafonnement effort'!H220-'K) Plafonnement aide'!I220</f>
        <v>12.956923531987682</v>
      </c>
      <c r="O221" s="131">
        <f t="shared" si="51"/>
        <v>69.293932440568753</v>
      </c>
      <c r="P221" s="48">
        <f t="shared" si="52"/>
        <v>0</v>
      </c>
      <c r="Q221" s="58">
        <f t="shared" si="33"/>
        <v>0</v>
      </c>
      <c r="R221" s="152">
        <f t="shared" si="53"/>
        <v>69.293932440568753</v>
      </c>
      <c r="S221" s="131">
        <f t="shared" si="54"/>
        <v>-4.7060675594312471</v>
      </c>
      <c r="T221" s="151">
        <f t="shared" si="42"/>
        <v>0</v>
      </c>
      <c r="V221" s="12"/>
    </row>
    <row r="222" spans="1:22" x14ac:dyDescent="0.25">
      <c r="A222" s="50">
        <f>'A) Base RI'!A223</f>
        <v>5754</v>
      </c>
      <c r="B222" s="392" t="str">
        <f>'A) Base RI'!B223</f>
        <v>Juriens</v>
      </c>
      <c r="C222" s="2">
        <v>124785.28307301083</v>
      </c>
      <c r="D222" s="430">
        <v>-55620.261649898195</v>
      </c>
      <c r="E222" s="2">
        <v>0</v>
      </c>
      <c r="F222" s="430">
        <v>0</v>
      </c>
      <c r="G222" s="2">
        <v>0</v>
      </c>
      <c r="H222" s="395">
        <f t="shared" si="41"/>
        <v>69165.02142311263</v>
      </c>
      <c r="I222" s="157">
        <v>7202.565316455697</v>
      </c>
      <c r="J222" s="398">
        <f>'B) D RI'!U223</f>
        <v>8138.4883785546344</v>
      </c>
      <c r="K222" s="66">
        <f t="shared" si="55"/>
        <v>9.6028315446291543</v>
      </c>
      <c r="L222" s="34">
        <f>'B) D RI'!S223</f>
        <v>79</v>
      </c>
      <c r="M222" s="34">
        <f t="shared" si="50"/>
        <v>69.397168455370846</v>
      </c>
      <c r="N222" s="34">
        <f>'J) Plafonnement effort'!G221+'J) Plafonnement effort'!H221-'K) Plafonnement aide'!I221</f>
        <v>6.6921492462989471</v>
      </c>
      <c r="O222" s="131">
        <f t="shared" si="51"/>
        <v>76.089317701669799</v>
      </c>
      <c r="P222" s="48">
        <f t="shared" si="52"/>
        <v>0</v>
      </c>
      <c r="Q222" s="58">
        <f t="shared" ref="Q222:Q266" si="56">P222*J222</f>
        <v>0</v>
      </c>
      <c r="R222" s="152">
        <f t="shared" si="53"/>
        <v>76.089317701669799</v>
      </c>
      <c r="S222" s="131">
        <f t="shared" si="54"/>
        <v>-2.910682298330201</v>
      </c>
      <c r="T222" s="151">
        <f t="shared" si="42"/>
        <v>0</v>
      </c>
      <c r="V222" s="12"/>
    </row>
    <row r="223" spans="1:22" x14ac:dyDescent="0.25">
      <c r="A223" s="50">
        <f>'A) Base RI'!A224</f>
        <v>5755</v>
      </c>
      <c r="B223" s="392" t="str">
        <f>'A) Base RI'!B224</f>
        <v>Lignerolle</v>
      </c>
      <c r="C223" s="2">
        <v>177448.77354080381</v>
      </c>
      <c r="D223" s="430">
        <v>-104165.33476413539</v>
      </c>
      <c r="E223" s="2">
        <v>0</v>
      </c>
      <c r="F223" s="430">
        <v>0</v>
      </c>
      <c r="G223" s="2">
        <v>0</v>
      </c>
      <c r="H223" s="395">
        <f t="shared" si="41"/>
        <v>73283.438776668423</v>
      </c>
      <c r="I223" s="157">
        <v>9116.1979107142852</v>
      </c>
      <c r="J223" s="398">
        <f>'B) D RI'!U224</f>
        <v>9320.3381401087972</v>
      </c>
      <c r="K223" s="66">
        <f t="shared" si="55"/>
        <v>8.0388161264619153</v>
      </c>
      <c r="L223" s="34">
        <f>'B) D RI'!S224</f>
        <v>80</v>
      </c>
      <c r="M223" s="34">
        <f t="shared" si="50"/>
        <v>71.96118387353809</v>
      </c>
      <c r="N223" s="34">
        <f>'J) Plafonnement effort'!G222+'J) Plafonnement effort'!H222-'K) Plafonnement aide'!I222</f>
        <v>-12.537884923974755</v>
      </c>
      <c r="O223" s="131">
        <f t="shared" si="51"/>
        <v>59.423298949563332</v>
      </c>
      <c r="P223" s="48">
        <f t="shared" si="52"/>
        <v>0</v>
      </c>
      <c r="Q223" s="58">
        <f t="shared" si="56"/>
        <v>0</v>
      </c>
      <c r="R223" s="152">
        <f t="shared" si="53"/>
        <v>59.423298949563332</v>
      </c>
      <c r="S223" s="131">
        <f t="shared" si="54"/>
        <v>-20.576701050436668</v>
      </c>
      <c r="T223" s="151">
        <f t="shared" si="42"/>
        <v>0</v>
      </c>
      <c r="V223" s="12"/>
    </row>
    <row r="224" spans="1:22" x14ac:dyDescent="0.25">
      <c r="A224" s="50">
        <f>'A) Base RI'!A225</f>
        <v>5756</v>
      </c>
      <c r="B224" s="392" t="str">
        <f>'A) Base RI'!B225</f>
        <v>Montcherand</v>
      </c>
      <c r="C224" s="2">
        <v>284717.55053661764</v>
      </c>
      <c r="D224" s="430">
        <v>92585.300558934308</v>
      </c>
      <c r="E224" s="2">
        <v>0</v>
      </c>
      <c r="F224" s="430">
        <v>0</v>
      </c>
      <c r="G224" s="2">
        <v>0</v>
      </c>
      <c r="H224" s="395">
        <f t="shared" si="41"/>
        <v>377302.85109555197</v>
      </c>
      <c r="I224" s="157">
        <v>14643.939999999999</v>
      </c>
      <c r="J224" s="398">
        <f>'B) D RI'!U225</f>
        <v>18436.632028742581</v>
      </c>
      <c r="K224" s="66">
        <f t="shared" si="55"/>
        <v>25.76511861531473</v>
      </c>
      <c r="L224" s="34">
        <f>'B) D RI'!S225</f>
        <v>72</v>
      </c>
      <c r="M224" s="34">
        <f t="shared" si="50"/>
        <v>46.234881384685266</v>
      </c>
      <c r="N224" s="34">
        <f>'J) Plafonnement effort'!G223+'J) Plafonnement effort'!H223-'K) Plafonnement aide'!I223</f>
        <v>27.862362935855369</v>
      </c>
      <c r="O224" s="131">
        <f t="shared" si="51"/>
        <v>74.097244320540639</v>
      </c>
      <c r="P224" s="48">
        <f t="shared" si="52"/>
        <v>0</v>
      </c>
      <c r="Q224" s="58">
        <f t="shared" si="56"/>
        <v>0</v>
      </c>
      <c r="R224" s="152">
        <f t="shared" si="53"/>
        <v>74.097244320540639</v>
      </c>
      <c r="S224" s="131">
        <f t="shared" si="54"/>
        <v>2.0972443205406393</v>
      </c>
      <c r="T224" s="151">
        <f t="shared" si="42"/>
        <v>0</v>
      </c>
      <c r="V224" s="12"/>
    </row>
    <row r="225" spans="1:22" x14ac:dyDescent="0.25">
      <c r="A225" s="50">
        <f>'A) Base RI'!A226</f>
        <v>5757</v>
      </c>
      <c r="B225" s="392" t="str">
        <f>'A) Base RI'!B226</f>
        <v>Orbe</v>
      </c>
      <c r="C225" s="2">
        <v>4357406.1148128072</v>
      </c>
      <c r="D225" s="430">
        <v>-655978.15093489923</v>
      </c>
      <c r="E225" s="2">
        <v>0</v>
      </c>
      <c r="F225" s="430">
        <v>0</v>
      </c>
      <c r="G225" s="2">
        <v>0</v>
      </c>
      <c r="H225" s="395">
        <f t="shared" si="41"/>
        <v>3701427.963877908</v>
      </c>
      <c r="I225" s="157">
        <v>219459.11337837842</v>
      </c>
      <c r="J225" s="398">
        <f>'B) D RI'!U226</f>
        <v>195350.61852415255</v>
      </c>
      <c r="K225" s="66">
        <f t="shared" si="55"/>
        <v>16.866139240689108</v>
      </c>
      <c r="L225" s="34">
        <f>'B) D RI'!S226</f>
        <v>77</v>
      </c>
      <c r="M225" s="34">
        <f t="shared" si="50"/>
        <v>60.133860759310892</v>
      </c>
      <c r="N225" s="34">
        <f>'J) Plafonnement effort'!G224+'J) Plafonnement effort'!H224-'K) Plafonnement aide'!I224</f>
        <v>3.7172700607318898</v>
      </c>
      <c r="O225" s="131">
        <f t="shared" si="51"/>
        <v>63.851130820042783</v>
      </c>
      <c r="P225" s="48">
        <f t="shared" si="52"/>
        <v>0</v>
      </c>
      <c r="Q225" s="58">
        <f t="shared" si="56"/>
        <v>0</v>
      </c>
      <c r="R225" s="152">
        <f t="shared" si="53"/>
        <v>63.851130820042783</v>
      </c>
      <c r="S225" s="131">
        <f t="shared" si="54"/>
        <v>-13.148869179957217</v>
      </c>
      <c r="T225" s="151">
        <f t="shared" si="42"/>
        <v>0</v>
      </c>
      <c r="V225" s="12"/>
    </row>
    <row r="226" spans="1:22" x14ac:dyDescent="0.25">
      <c r="A226" s="50">
        <f>'A) Base RI'!A227</f>
        <v>5758</v>
      </c>
      <c r="B226" s="392" t="str">
        <f>'A) Base RI'!B227</f>
        <v>La Praz</v>
      </c>
      <c r="C226" s="2">
        <v>63169.436828248254</v>
      </c>
      <c r="D226" s="430">
        <v>-38073.212191764484</v>
      </c>
      <c r="E226" s="2">
        <v>0</v>
      </c>
      <c r="F226" s="430">
        <v>0</v>
      </c>
      <c r="G226" s="2">
        <v>0</v>
      </c>
      <c r="H226" s="395">
        <f t="shared" si="41"/>
        <v>25096.22463648377</v>
      </c>
      <c r="I226" s="157">
        <v>3792.6817536813919</v>
      </c>
      <c r="J226" s="398">
        <f>'B) D RI'!U227</f>
        <v>3217.0835405215335</v>
      </c>
      <c r="K226" s="66">
        <f t="shared" si="55"/>
        <v>6.6170130441669546</v>
      </c>
      <c r="L226" s="34">
        <f>'B) D RI'!S227</f>
        <v>83</v>
      </c>
      <c r="M226" s="34">
        <f t="shared" si="50"/>
        <v>76.382986955833047</v>
      </c>
      <c r="N226" s="34">
        <f>'J) Plafonnement effort'!G225+'J) Plafonnement effort'!H225-'K) Plafonnement aide'!I225</f>
        <v>-2.6756640065664179</v>
      </c>
      <c r="O226" s="131">
        <f t="shared" si="51"/>
        <v>73.707322949266626</v>
      </c>
      <c r="P226" s="48">
        <f t="shared" si="52"/>
        <v>0</v>
      </c>
      <c r="Q226" s="58">
        <f t="shared" si="56"/>
        <v>0</v>
      </c>
      <c r="R226" s="152">
        <f t="shared" si="53"/>
        <v>73.707322949266626</v>
      </c>
      <c r="S226" s="131">
        <f t="shared" si="54"/>
        <v>-9.2926770507333742</v>
      </c>
      <c r="T226" s="151">
        <f t="shared" si="42"/>
        <v>0</v>
      </c>
      <c r="V226" s="12"/>
    </row>
    <row r="227" spans="1:22" x14ac:dyDescent="0.25">
      <c r="A227" s="50">
        <f>'A) Base RI'!A228</f>
        <v>5759</v>
      </c>
      <c r="B227" s="392" t="str">
        <f>'A) Base RI'!B228</f>
        <v>Premier</v>
      </c>
      <c r="C227" s="2">
        <v>74040.358285149137</v>
      </c>
      <c r="D227" s="430">
        <v>-40790.47689956674</v>
      </c>
      <c r="E227" s="2">
        <v>0</v>
      </c>
      <c r="F227" s="430">
        <v>0</v>
      </c>
      <c r="G227" s="2">
        <v>0</v>
      </c>
      <c r="H227" s="395">
        <f t="shared" si="41"/>
        <v>33249.881385582397</v>
      </c>
      <c r="I227" s="157">
        <v>4689.5245679012341</v>
      </c>
      <c r="J227" s="398">
        <f>'B) D RI'!U228</f>
        <v>4730.0976887452725</v>
      </c>
      <c r="K227" s="66">
        <f t="shared" si="55"/>
        <v>7.0902456963698484</v>
      </c>
      <c r="L227" s="34">
        <f>'B) D RI'!S228</f>
        <v>81</v>
      </c>
      <c r="M227" s="34">
        <f t="shared" si="50"/>
        <v>73.909754303630152</v>
      </c>
      <c r="N227" s="34">
        <f>'J) Plafonnement effort'!G226+'J) Plafonnement effort'!H226-'K) Plafonnement aide'!I226</f>
        <v>1.543509460754211</v>
      </c>
      <c r="O227" s="131">
        <f t="shared" si="51"/>
        <v>75.45326376438436</v>
      </c>
      <c r="P227" s="48">
        <f t="shared" si="52"/>
        <v>0</v>
      </c>
      <c r="Q227" s="58">
        <f t="shared" si="56"/>
        <v>0</v>
      </c>
      <c r="R227" s="152">
        <f t="shared" si="53"/>
        <v>75.45326376438436</v>
      </c>
      <c r="S227" s="131">
        <f t="shared" si="54"/>
        <v>-5.54673623561564</v>
      </c>
      <c r="T227" s="151">
        <f t="shared" si="42"/>
        <v>0</v>
      </c>
      <c r="V227" s="12"/>
    </row>
    <row r="228" spans="1:22" x14ac:dyDescent="0.25">
      <c r="A228" s="50">
        <f>'A) Base RI'!A229</f>
        <v>5760</v>
      </c>
      <c r="B228" s="392" t="str">
        <f>'A) Base RI'!B229</f>
        <v>Rances</v>
      </c>
      <c r="C228" s="2">
        <v>307296.95974714204</v>
      </c>
      <c r="D228" s="430">
        <v>3084.2551422524848</v>
      </c>
      <c r="E228" s="2">
        <v>0</v>
      </c>
      <c r="F228" s="430">
        <v>0</v>
      </c>
      <c r="G228" s="2">
        <v>0</v>
      </c>
      <c r="H228" s="395">
        <f t="shared" si="41"/>
        <v>310381.21488939453</v>
      </c>
      <c r="I228" s="157">
        <v>13227.609572649571</v>
      </c>
      <c r="J228" s="398">
        <f>'B) D RI'!U229</f>
        <v>10427.733324716695</v>
      </c>
      <c r="K228" s="66">
        <f t="shared" si="55"/>
        <v>23.464648936355267</v>
      </c>
      <c r="L228" s="34">
        <f>'B) D RI'!S229</f>
        <v>78</v>
      </c>
      <c r="M228" s="34">
        <f t="shared" si="50"/>
        <v>54.535351063644733</v>
      </c>
      <c r="N228" s="34">
        <f>'J) Plafonnement effort'!G227+'J) Plafonnement effort'!H227-'K) Plafonnement aide'!I227</f>
        <v>-19.056664687398985</v>
      </c>
      <c r="O228" s="131">
        <f t="shared" si="51"/>
        <v>35.478686376245747</v>
      </c>
      <c r="P228" s="48">
        <f t="shared" si="52"/>
        <v>0</v>
      </c>
      <c r="Q228" s="58">
        <f t="shared" si="56"/>
        <v>0</v>
      </c>
      <c r="R228" s="152">
        <f t="shared" si="53"/>
        <v>35.478686376245747</v>
      </c>
      <c r="S228" s="131">
        <f t="shared" si="54"/>
        <v>-42.521313623754253</v>
      </c>
      <c r="T228" s="151">
        <f t="shared" si="42"/>
        <v>0</v>
      </c>
      <c r="V228" s="12"/>
    </row>
    <row r="229" spans="1:22" x14ac:dyDescent="0.25">
      <c r="A229" s="50">
        <f>'A) Base RI'!A230</f>
        <v>5761</v>
      </c>
      <c r="B229" s="392" t="str">
        <f>'A) Base RI'!B230</f>
        <v>Romainmôtier-Envy</v>
      </c>
      <c r="C229" s="2">
        <v>257953.48923517141</v>
      </c>
      <c r="D229" s="430">
        <v>-114642.38292006857</v>
      </c>
      <c r="E229" s="2">
        <v>0</v>
      </c>
      <c r="F229" s="430">
        <v>0</v>
      </c>
      <c r="G229" s="2">
        <v>0</v>
      </c>
      <c r="H229" s="395">
        <f t="shared" si="41"/>
        <v>143311.10631510284</v>
      </c>
      <c r="I229" s="157">
        <v>12165.915592105261</v>
      </c>
      <c r="J229" s="398">
        <f>'B) D RI'!U230</f>
        <v>12825.466828901401</v>
      </c>
      <c r="K229" s="66">
        <f t="shared" si="55"/>
        <v>11.779722227244505</v>
      </c>
      <c r="L229" s="34">
        <f>'B) D RI'!S230</f>
        <v>81</v>
      </c>
      <c r="M229" s="34">
        <f t="shared" si="50"/>
        <v>69.220277772755495</v>
      </c>
      <c r="N229" s="34">
        <f>'J) Plafonnement effort'!G228+'J) Plafonnement effort'!H228-'K) Plafonnement aide'!I228</f>
        <v>4.1786568420053021</v>
      </c>
      <c r="O229" s="131">
        <f t="shared" si="51"/>
        <v>73.39893461476079</v>
      </c>
      <c r="P229" s="48">
        <f t="shared" si="52"/>
        <v>0</v>
      </c>
      <c r="Q229" s="58">
        <f t="shared" si="56"/>
        <v>0</v>
      </c>
      <c r="R229" s="152">
        <f t="shared" si="53"/>
        <v>73.39893461476079</v>
      </c>
      <c r="S229" s="131">
        <f t="shared" si="54"/>
        <v>-7.6010653852392096</v>
      </c>
      <c r="T229" s="151">
        <f t="shared" si="42"/>
        <v>0</v>
      </c>
      <c r="V229" s="12"/>
    </row>
    <row r="230" spans="1:22" x14ac:dyDescent="0.25">
      <c r="A230" s="50">
        <f>'A) Base RI'!A231</f>
        <v>5762</v>
      </c>
      <c r="B230" s="392" t="str">
        <f>'A) Base RI'!B231</f>
        <v>Sergey</v>
      </c>
      <c r="C230" s="2">
        <v>58345.469299163386</v>
      </c>
      <c r="D230" s="430">
        <v>-13239.138017223697</v>
      </c>
      <c r="E230" s="2">
        <v>0</v>
      </c>
      <c r="F230" s="430">
        <v>0</v>
      </c>
      <c r="G230" s="2">
        <v>0</v>
      </c>
      <c r="H230" s="395">
        <f t="shared" si="41"/>
        <v>45106.331281939689</v>
      </c>
      <c r="I230" s="157">
        <v>3586.5485897435897</v>
      </c>
      <c r="J230" s="398">
        <f>'B) D RI'!U231</f>
        <v>3985.6390801086227</v>
      </c>
      <c r="K230" s="66">
        <f t="shared" si="55"/>
        <v>12.57652870253305</v>
      </c>
      <c r="L230" s="34">
        <f>'B) D RI'!S231</f>
        <v>78</v>
      </c>
      <c r="M230" s="34">
        <f t="shared" si="50"/>
        <v>65.423471297466946</v>
      </c>
      <c r="N230" s="34">
        <f>'J) Plafonnement effort'!G229+'J) Plafonnement effort'!H229-'K) Plafonnement aide'!I229</f>
        <v>18.492716307111081</v>
      </c>
      <c r="O230" s="131">
        <f t="shared" si="51"/>
        <v>83.916187604578028</v>
      </c>
      <c r="P230" s="48">
        <f t="shared" si="52"/>
        <v>0</v>
      </c>
      <c r="Q230" s="58">
        <f t="shared" si="56"/>
        <v>0</v>
      </c>
      <c r="R230" s="152">
        <f t="shared" si="53"/>
        <v>83.916187604578028</v>
      </c>
      <c r="S230" s="131">
        <f t="shared" si="54"/>
        <v>5.9161876045780275</v>
      </c>
      <c r="T230" s="151">
        <f t="shared" si="42"/>
        <v>0</v>
      </c>
      <c r="V230" s="12"/>
    </row>
    <row r="231" spans="1:22" x14ac:dyDescent="0.25">
      <c r="A231" s="50">
        <f>'A) Base RI'!A232</f>
        <v>5763</v>
      </c>
      <c r="B231" s="392" t="str">
        <f>'A) Base RI'!B232</f>
        <v>Valeyres-sous-Rances</v>
      </c>
      <c r="C231" s="2">
        <v>293030.25772953063</v>
      </c>
      <c r="D231" s="430">
        <v>36516.002252517093</v>
      </c>
      <c r="E231" s="2">
        <v>0</v>
      </c>
      <c r="F231" s="430">
        <v>0</v>
      </c>
      <c r="G231" s="2">
        <v>0</v>
      </c>
      <c r="H231" s="395">
        <f t="shared" si="41"/>
        <v>329546.25998204772</v>
      </c>
      <c r="I231" s="157">
        <v>16085.850769230768</v>
      </c>
      <c r="J231" s="398">
        <f>'B) D RI'!U232</f>
        <v>20114.818063776223</v>
      </c>
      <c r="K231" s="66">
        <f t="shared" si="55"/>
        <v>20.486716227183223</v>
      </c>
      <c r="L231" s="34">
        <f>'B) D RI'!S232</f>
        <v>65</v>
      </c>
      <c r="M231" s="34">
        <f t="shared" si="50"/>
        <v>44.513283772816777</v>
      </c>
      <c r="N231" s="34">
        <f>'J) Plafonnement effort'!G230+'J) Plafonnement effort'!H230-'K) Plafonnement aide'!I230</f>
        <v>20.775015898987469</v>
      </c>
      <c r="O231" s="131">
        <f t="shared" si="51"/>
        <v>65.288299671804253</v>
      </c>
      <c r="P231" s="48">
        <f t="shared" si="52"/>
        <v>0</v>
      </c>
      <c r="Q231" s="58">
        <f t="shared" si="56"/>
        <v>0</v>
      </c>
      <c r="R231" s="152">
        <f t="shared" si="53"/>
        <v>65.288299671804253</v>
      </c>
      <c r="S231" s="131">
        <f t="shared" si="54"/>
        <v>0.28829967180425342</v>
      </c>
      <c r="T231" s="151">
        <f t="shared" si="42"/>
        <v>0</v>
      </c>
      <c r="V231" s="12"/>
    </row>
    <row r="232" spans="1:22" x14ac:dyDescent="0.25">
      <c r="A232" s="50">
        <f>'A) Base RI'!A233</f>
        <v>5764</v>
      </c>
      <c r="B232" s="392" t="str">
        <f>'A) Base RI'!B233</f>
        <v>Vallorbe</v>
      </c>
      <c r="C232" s="2">
        <v>2134174.7583654081</v>
      </c>
      <c r="D232" s="430">
        <v>-1429477.8620252886</v>
      </c>
      <c r="E232" s="2">
        <v>0</v>
      </c>
      <c r="F232" s="430">
        <v>0</v>
      </c>
      <c r="G232" s="2">
        <v>0</v>
      </c>
      <c r="H232" s="395">
        <f t="shared" si="41"/>
        <v>704696.89634011942</v>
      </c>
      <c r="I232" s="157">
        <v>84513.608378378369</v>
      </c>
      <c r="J232" s="398">
        <f>'B) D RI'!U233</f>
        <v>81234.457849579077</v>
      </c>
      <c r="K232" s="66">
        <f t="shared" si="55"/>
        <v>8.3382653972730658</v>
      </c>
      <c r="L232" s="34">
        <f>'B) D RI'!S233</f>
        <v>73</v>
      </c>
      <c r="M232" s="34">
        <f t="shared" si="50"/>
        <v>64.661734602726938</v>
      </c>
      <c r="N232" s="34">
        <f>'J) Plafonnement effort'!G231+'J) Plafonnement effort'!H231-'K) Plafonnement aide'!I231</f>
        <v>-20.031542777354097</v>
      </c>
      <c r="O232" s="131">
        <f t="shared" si="51"/>
        <v>44.63019182537284</v>
      </c>
      <c r="P232" s="48">
        <f t="shared" si="52"/>
        <v>0</v>
      </c>
      <c r="Q232" s="58">
        <f t="shared" si="56"/>
        <v>0</v>
      </c>
      <c r="R232" s="152">
        <f t="shared" si="53"/>
        <v>44.63019182537284</v>
      </c>
      <c r="S232" s="131">
        <f t="shared" si="54"/>
        <v>-28.36980817462716</v>
      </c>
      <c r="T232" s="151">
        <f t="shared" si="42"/>
        <v>0</v>
      </c>
      <c r="V232" s="12"/>
    </row>
    <row r="233" spans="1:22" x14ac:dyDescent="0.25">
      <c r="A233" s="50">
        <f>'A) Base RI'!A234</f>
        <v>5765</v>
      </c>
      <c r="B233" s="392" t="str">
        <f>'A) Base RI'!B234</f>
        <v>Vaulion</v>
      </c>
      <c r="C233" s="2">
        <v>173787.53783767912</v>
      </c>
      <c r="D233" s="430">
        <v>-175681.61203232239</v>
      </c>
      <c r="E233" s="2">
        <v>0</v>
      </c>
      <c r="F233" s="430">
        <v>0</v>
      </c>
      <c r="G233" s="2">
        <v>0</v>
      </c>
      <c r="H233" s="395">
        <f t="shared" si="41"/>
        <v>-1894.0741946432681</v>
      </c>
      <c r="I233" s="157">
        <v>10199.027160493826</v>
      </c>
      <c r="J233" s="398">
        <f>'B) D RI'!U234</f>
        <v>9570.1875488405149</v>
      </c>
      <c r="K233" s="66">
        <f t="shared" si="55"/>
        <v>-0.18571126097006679</v>
      </c>
      <c r="L233" s="34">
        <f>'B) D RI'!S234</f>
        <v>81</v>
      </c>
      <c r="M233" s="34">
        <f t="shared" si="50"/>
        <v>81.185711260970066</v>
      </c>
      <c r="N233" s="34">
        <f>'J) Plafonnement effort'!G232+'J) Plafonnement effort'!H232-'K) Plafonnement aide'!I232</f>
        <v>-19.524684394707862</v>
      </c>
      <c r="O233" s="131">
        <f t="shared" si="51"/>
        <v>61.661026866262205</v>
      </c>
      <c r="P233" s="48">
        <f t="shared" si="52"/>
        <v>0</v>
      </c>
      <c r="Q233" s="58">
        <f t="shared" si="56"/>
        <v>0</v>
      </c>
      <c r="R233" s="152">
        <f t="shared" si="53"/>
        <v>61.661026866262205</v>
      </c>
      <c r="S233" s="131">
        <f t="shared" si="54"/>
        <v>-19.338973133737795</v>
      </c>
      <c r="T233" s="151">
        <f t="shared" si="42"/>
        <v>0</v>
      </c>
      <c r="V233" s="12"/>
    </row>
    <row r="234" spans="1:22" x14ac:dyDescent="0.25">
      <c r="A234" s="50">
        <f>'A) Base RI'!A235</f>
        <v>5766</v>
      </c>
      <c r="B234" s="392" t="str">
        <f>'A) Base RI'!B235</f>
        <v>Vuiteboeuf</v>
      </c>
      <c r="C234" s="2">
        <v>225231.88117527807</v>
      </c>
      <c r="D234" s="430">
        <v>-97589.007767775212</v>
      </c>
      <c r="E234" s="2">
        <v>0</v>
      </c>
      <c r="F234" s="430">
        <v>0</v>
      </c>
      <c r="G234" s="2">
        <v>0</v>
      </c>
      <c r="H234" s="395">
        <f t="shared" si="41"/>
        <v>127642.87340750286</v>
      </c>
      <c r="I234" s="157">
        <v>13023.960575139146</v>
      </c>
      <c r="J234" s="398">
        <f>'B) D RI'!U235</f>
        <v>12893.801548266167</v>
      </c>
      <c r="K234" s="66">
        <f t="shared" si="55"/>
        <v>9.8006188417949147</v>
      </c>
      <c r="L234" s="34">
        <f>'B) D RI'!S235</f>
        <v>77</v>
      </c>
      <c r="M234" s="34">
        <f t="shared" si="50"/>
        <v>67.199381158205085</v>
      </c>
      <c r="N234" s="34">
        <f>'J) Plafonnement effort'!G233+'J) Plafonnement effort'!H233-'K) Plafonnement aide'!I233</f>
        <v>2.8919136769432603</v>
      </c>
      <c r="O234" s="131">
        <f t="shared" si="51"/>
        <v>70.091294835148346</v>
      </c>
      <c r="P234" s="48">
        <f t="shared" si="52"/>
        <v>0</v>
      </c>
      <c r="Q234" s="58">
        <f t="shared" si="56"/>
        <v>0</v>
      </c>
      <c r="R234" s="152">
        <f t="shared" si="53"/>
        <v>70.091294835148346</v>
      </c>
      <c r="S234" s="131">
        <f t="shared" si="54"/>
        <v>-6.9087051648516535</v>
      </c>
      <c r="T234" s="151">
        <f t="shared" si="42"/>
        <v>0</v>
      </c>
      <c r="V234" s="12"/>
    </row>
    <row r="235" spans="1:22" x14ac:dyDescent="0.25">
      <c r="A235" s="50">
        <f>'A) Base RI'!A236</f>
        <v>5785</v>
      </c>
      <c r="B235" s="392" t="str">
        <f>'A) Base RI'!B236</f>
        <v>Corcelles-le-Jorat</v>
      </c>
      <c r="C235" s="2">
        <v>205321.39540706811</v>
      </c>
      <c r="D235" s="430">
        <v>23881.173958080646</v>
      </c>
      <c r="E235" s="2">
        <v>0</v>
      </c>
      <c r="F235" s="430">
        <v>0</v>
      </c>
      <c r="G235" s="2">
        <v>0</v>
      </c>
      <c r="H235" s="395">
        <f t="shared" si="41"/>
        <v>229202.56936514875</v>
      </c>
      <c r="I235" s="157">
        <v>12275.22831168831</v>
      </c>
      <c r="J235" s="398">
        <f>'B) D RI'!U236</f>
        <v>15470.207510777882</v>
      </c>
      <c r="K235" s="66">
        <f t="shared" si="55"/>
        <v>18.671959783176099</v>
      </c>
      <c r="L235" s="34">
        <f>'B) D RI'!S236</f>
        <v>77</v>
      </c>
      <c r="M235" s="34">
        <f t="shared" si="50"/>
        <v>58.328040216823901</v>
      </c>
      <c r="N235" s="34">
        <f>'J) Plafonnement effort'!G234+'J) Plafonnement effort'!H234-'K) Plafonnement aide'!I234</f>
        <v>26.011308514223884</v>
      </c>
      <c r="O235" s="131">
        <f t="shared" si="51"/>
        <v>84.339348731047778</v>
      </c>
      <c r="P235" s="48">
        <f t="shared" si="52"/>
        <v>0</v>
      </c>
      <c r="Q235" s="58">
        <f t="shared" si="56"/>
        <v>0</v>
      </c>
      <c r="R235" s="152">
        <f t="shared" si="53"/>
        <v>84.339348731047778</v>
      </c>
      <c r="S235" s="131">
        <f t="shared" si="54"/>
        <v>7.3393487310477781</v>
      </c>
      <c r="T235" s="151">
        <f t="shared" si="42"/>
        <v>0</v>
      </c>
      <c r="V235" s="12"/>
    </row>
    <row r="236" spans="1:22" x14ac:dyDescent="0.25">
      <c r="A236" s="50">
        <f>'A) Base RI'!A237</f>
        <v>5788</v>
      </c>
      <c r="B236" s="392" t="str">
        <f>'A) Base RI'!B237</f>
        <v>Essertes</v>
      </c>
      <c r="C236" s="2">
        <v>159796.63917706936</v>
      </c>
      <c r="D236" s="430">
        <v>34678.010645086062</v>
      </c>
      <c r="E236" s="2">
        <v>0</v>
      </c>
      <c r="F236" s="430">
        <v>0</v>
      </c>
      <c r="G236" s="2">
        <v>0</v>
      </c>
      <c r="H236" s="395">
        <f t="shared" si="41"/>
        <v>194474.64982215542</v>
      </c>
      <c r="I236" s="157">
        <v>9663.2152777777756</v>
      </c>
      <c r="J236" s="398">
        <f>'B) D RI'!U237</f>
        <v>11538.273586899442</v>
      </c>
      <c r="K236" s="66">
        <f t="shared" si="55"/>
        <v>20.125252747849188</v>
      </c>
      <c r="L236" s="34">
        <f>'B) D RI'!S237</f>
        <v>72</v>
      </c>
      <c r="M236" s="34">
        <f t="shared" si="50"/>
        <v>51.874747252150812</v>
      </c>
      <c r="N236" s="34">
        <f>'J) Plafonnement effort'!G235+'J) Plafonnement effort'!H235-'K) Plafonnement aide'!I235</f>
        <v>28.715696966350134</v>
      </c>
      <c r="O236" s="131">
        <f t="shared" si="51"/>
        <v>80.590444218500949</v>
      </c>
      <c r="P236" s="48">
        <f t="shared" si="52"/>
        <v>0</v>
      </c>
      <c r="Q236" s="58">
        <f t="shared" si="56"/>
        <v>0</v>
      </c>
      <c r="R236" s="152">
        <f t="shared" si="53"/>
        <v>80.590444218500949</v>
      </c>
      <c r="S236" s="131">
        <f t="shared" si="54"/>
        <v>8.5904442185009486</v>
      </c>
      <c r="T236" s="151">
        <f t="shared" si="42"/>
        <v>0</v>
      </c>
      <c r="V236" s="12"/>
    </row>
    <row r="237" spans="1:22" x14ac:dyDescent="0.25">
      <c r="A237" s="50">
        <f>'A) Base RI'!A238</f>
        <v>5790</v>
      </c>
      <c r="B237" s="392" t="str">
        <f>'A) Base RI'!B238</f>
        <v>Maracon</v>
      </c>
      <c r="C237" s="2">
        <v>212730.26133067408</v>
      </c>
      <c r="D237" s="430">
        <v>-7535.0452183947782</v>
      </c>
      <c r="E237" s="2">
        <v>0</v>
      </c>
      <c r="F237" s="430">
        <v>0</v>
      </c>
      <c r="G237" s="2">
        <v>0</v>
      </c>
      <c r="H237" s="395">
        <f t="shared" si="41"/>
        <v>205195.2161122793</v>
      </c>
      <c r="I237" s="157">
        <v>12077.747368421051</v>
      </c>
      <c r="J237" s="398">
        <f>'B) D RI'!U238</f>
        <v>12104.202592846941</v>
      </c>
      <c r="K237" s="66">
        <f t="shared" si="55"/>
        <v>16.989527090853937</v>
      </c>
      <c r="L237" s="34">
        <f>'B) D RI'!S238</f>
        <v>76</v>
      </c>
      <c r="M237" s="34">
        <f t="shared" si="50"/>
        <v>59.01047290914606</v>
      </c>
      <c r="N237" s="34">
        <f>'J) Plafonnement effort'!G236+'J) Plafonnement effort'!H236-'K) Plafonnement aide'!I236</f>
        <v>7.8426460916923944</v>
      </c>
      <c r="O237" s="131">
        <f t="shared" si="51"/>
        <v>66.853119000838461</v>
      </c>
      <c r="P237" s="48">
        <f t="shared" si="52"/>
        <v>0</v>
      </c>
      <c r="Q237" s="58">
        <f t="shared" si="56"/>
        <v>0</v>
      </c>
      <c r="R237" s="152">
        <f t="shared" si="53"/>
        <v>66.853119000838461</v>
      </c>
      <c r="S237" s="131">
        <f t="shared" si="54"/>
        <v>-9.1468809991615387</v>
      </c>
      <c r="T237" s="151">
        <f t="shared" si="42"/>
        <v>0</v>
      </c>
      <c r="V237" s="12"/>
    </row>
    <row r="238" spans="1:22" x14ac:dyDescent="0.25">
      <c r="A238" s="50">
        <f>'A) Base RI'!A239</f>
        <v>5792</v>
      </c>
      <c r="B238" s="392" t="str">
        <f>'A) Base RI'!B239</f>
        <v>Montpreveyres</v>
      </c>
      <c r="C238" s="2">
        <v>304291.89757266256</v>
      </c>
      <c r="D238" s="430">
        <v>-61270.76276781701</v>
      </c>
      <c r="E238" s="2">
        <v>0</v>
      </c>
      <c r="F238" s="430">
        <v>0</v>
      </c>
      <c r="G238" s="2">
        <v>0</v>
      </c>
      <c r="H238" s="395">
        <f t="shared" si="41"/>
        <v>243021.13480484555</v>
      </c>
      <c r="I238" s="157">
        <v>15670.869999999999</v>
      </c>
      <c r="J238" s="398">
        <f>'B) D RI'!U239</f>
        <v>17389.927760878301</v>
      </c>
      <c r="K238" s="66">
        <f t="shared" si="55"/>
        <v>15.507826611084488</v>
      </c>
      <c r="L238" s="34">
        <f>'B) D RI'!S239</f>
        <v>77</v>
      </c>
      <c r="M238" s="34">
        <f t="shared" si="50"/>
        <v>61.492173388915511</v>
      </c>
      <c r="N238" s="34">
        <f>'J) Plafonnement effort'!G237+'J) Plafonnement effort'!H237-'K) Plafonnement aide'!I237</f>
        <v>13.008719522996305</v>
      </c>
      <c r="O238" s="131">
        <f t="shared" si="51"/>
        <v>74.500892911911819</v>
      </c>
      <c r="P238" s="48">
        <f t="shared" si="52"/>
        <v>0</v>
      </c>
      <c r="Q238" s="58">
        <f t="shared" si="56"/>
        <v>0</v>
      </c>
      <c r="R238" s="152">
        <f t="shared" si="53"/>
        <v>74.500892911911819</v>
      </c>
      <c r="S238" s="131">
        <f t="shared" si="54"/>
        <v>-2.4991070880881807</v>
      </c>
      <c r="T238" s="151">
        <f t="shared" si="42"/>
        <v>0</v>
      </c>
      <c r="V238" s="12"/>
    </row>
    <row r="239" spans="1:22" x14ac:dyDescent="0.25">
      <c r="A239" s="50">
        <f>'A) Base RI'!A240</f>
        <v>5798</v>
      </c>
      <c r="B239" s="392" t="str">
        <f>'A) Base RI'!B240</f>
        <v>Ropraz</v>
      </c>
      <c r="C239" s="2">
        <v>186987.53918211299</v>
      </c>
      <c r="D239" s="430">
        <v>-49382.729067562206</v>
      </c>
      <c r="E239" s="2">
        <v>0</v>
      </c>
      <c r="F239" s="430">
        <v>0</v>
      </c>
      <c r="G239" s="2">
        <v>0</v>
      </c>
      <c r="H239" s="395">
        <f t="shared" si="41"/>
        <v>137604.81011455078</v>
      </c>
      <c r="I239" s="157">
        <v>10971.989935483871</v>
      </c>
      <c r="J239" s="398">
        <f>'B) D RI'!U240</f>
        <v>13992.205782654681</v>
      </c>
      <c r="K239" s="66">
        <f t="shared" si="55"/>
        <v>12.541463392117333</v>
      </c>
      <c r="L239" s="34">
        <f>'B) D RI'!S240</f>
        <v>77.5</v>
      </c>
      <c r="M239" s="34">
        <f t="shared" si="50"/>
        <v>64.958536607882664</v>
      </c>
      <c r="N239" s="34">
        <f>'J) Plafonnement effort'!G238+'J) Plafonnement effort'!H238-'K) Plafonnement aide'!I238</f>
        <v>18.725702613669789</v>
      </c>
      <c r="O239" s="131">
        <f t="shared" si="51"/>
        <v>83.684239221552446</v>
      </c>
      <c r="P239" s="48">
        <f t="shared" si="52"/>
        <v>0</v>
      </c>
      <c r="Q239" s="58">
        <f t="shared" si="56"/>
        <v>0</v>
      </c>
      <c r="R239" s="152">
        <f t="shared" si="53"/>
        <v>83.684239221552446</v>
      </c>
      <c r="S239" s="131">
        <f t="shared" si="54"/>
        <v>6.1842392215524455</v>
      </c>
      <c r="T239" s="151">
        <f t="shared" si="42"/>
        <v>0</v>
      </c>
      <c r="V239" s="12"/>
    </row>
    <row r="240" spans="1:22" x14ac:dyDescent="0.25">
      <c r="A240" s="50">
        <f>'A) Base RI'!A241</f>
        <v>5799</v>
      </c>
      <c r="B240" s="392" t="str">
        <f>'A) Base RI'!B241</f>
        <v>Servion</v>
      </c>
      <c r="C240" s="2">
        <v>1041769.8230891421</v>
      </c>
      <c r="D240" s="430">
        <v>224829.49897812842</v>
      </c>
      <c r="E240" s="2">
        <v>0</v>
      </c>
      <c r="F240" s="430">
        <v>0</v>
      </c>
      <c r="G240" s="2">
        <v>0</v>
      </c>
      <c r="H240" s="395">
        <f t="shared" si="41"/>
        <v>1266599.3220672705</v>
      </c>
      <c r="I240" s="157">
        <v>60598.657971014502</v>
      </c>
      <c r="J240" s="398">
        <f>'B) D RI'!U241</f>
        <v>65260.062669214836</v>
      </c>
      <c r="K240" s="66">
        <f t="shared" si="55"/>
        <v>20.901441788910724</v>
      </c>
      <c r="L240" s="34">
        <f>'B) D RI'!S241</f>
        <v>69</v>
      </c>
      <c r="M240" s="34">
        <f t="shared" si="50"/>
        <v>48.098558211089276</v>
      </c>
      <c r="N240" s="34">
        <f>'J) Plafonnement effort'!G239+'J) Plafonnement effort'!H239-'K) Plafonnement aide'!I239</f>
        <v>21.88258222098305</v>
      </c>
      <c r="O240" s="131">
        <f t="shared" si="51"/>
        <v>69.981140432072323</v>
      </c>
      <c r="P240" s="48">
        <f t="shared" si="52"/>
        <v>0</v>
      </c>
      <c r="Q240" s="58">
        <f t="shared" si="56"/>
        <v>0</v>
      </c>
      <c r="R240" s="152">
        <f t="shared" si="53"/>
        <v>69.981140432072323</v>
      </c>
      <c r="S240" s="131">
        <f t="shared" si="54"/>
        <v>0.98114043207232271</v>
      </c>
      <c r="T240" s="151">
        <f t="shared" si="42"/>
        <v>0</v>
      </c>
      <c r="V240" s="12"/>
    </row>
    <row r="241" spans="1:22" x14ac:dyDescent="0.25">
      <c r="A241" s="50">
        <f>'A) Base RI'!A242</f>
        <v>5803</v>
      </c>
      <c r="B241" s="392" t="str">
        <f>'A) Base RI'!B242</f>
        <v>Vulliens</v>
      </c>
      <c r="C241" s="2">
        <v>293587.12878125865</v>
      </c>
      <c r="D241" s="430">
        <v>53997.662528041401</v>
      </c>
      <c r="E241" s="2">
        <v>0</v>
      </c>
      <c r="F241" s="430">
        <v>0</v>
      </c>
      <c r="G241" s="2">
        <v>0</v>
      </c>
      <c r="H241" s="395">
        <f t="shared" si="41"/>
        <v>347584.79130930005</v>
      </c>
      <c r="I241" s="157">
        <v>14215.08564102564</v>
      </c>
      <c r="J241" s="398">
        <f>'B) D RI'!U242</f>
        <v>15516.870988563373</v>
      </c>
      <c r="K241" s="66">
        <f t="shared" si="55"/>
        <v>24.451825341533524</v>
      </c>
      <c r="L241" s="34">
        <f>'B) D RI'!S242</f>
        <v>78</v>
      </c>
      <c r="M241" s="34">
        <f t="shared" si="50"/>
        <v>53.548174658466479</v>
      </c>
      <c r="N241" s="34">
        <f>'J) Plafonnement effort'!G240+'J) Plafonnement effort'!H240-'K) Plafonnement aide'!I240</f>
        <v>21.254666744986764</v>
      </c>
      <c r="O241" s="131">
        <f t="shared" si="51"/>
        <v>74.802841403453243</v>
      </c>
      <c r="P241" s="48">
        <f t="shared" si="52"/>
        <v>0</v>
      </c>
      <c r="Q241" s="58">
        <f t="shared" si="56"/>
        <v>0</v>
      </c>
      <c r="R241" s="152">
        <f t="shared" si="53"/>
        <v>74.802841403453243</v>
      </c>
      <c r="S241" s="131">
        <f t="shared" si="54"/>
        <v>-3.1971585965467568</v>
      </c>
      <c r="T241" s="151">
        <f t="shared" si="42"/>
        <v>0</v>
      </c>
      <c r="V241" s="12"/>
    </row>
    <row r="242" spans="1:22" x14ac:dyDescent="0.25">
      <c r="A242" s="50">
        <f>'A) Base RI'!A243</f>
        <v>5804</v>
      </c>
      <c r="B242" s="392" t="str">
        <f>'A) Base RI'!B243</f>
        <v>Jorat-Menthue</v>
      </c>
      <c r="C242" s="2">
        <v>800934.23664683593</v>
      </c>
      <c r="D242" s="430">
        <v>183056.4432032418</v>
      </c>
      <c r="E242" s="2">
        <v>0</v>
      </c>
      <c r="F242" s="430">
        <v>0</v>
      </c>
      <c r="G242" s="2">
        <v>0</v>
      </c>
      <c r="H242" s="395">
        <f t="shared" si="41"/>
        <v>983990.67985007772</v>
      </c>
      <c r="I242" s="157">
        <v>48554.511111111118</v>
      </c>
      <c r="J242" s="398">
        <f>'B) D RI'!U243</f>
        <v>47010.590890855121</v>
      </c>
      <c r="K242" s="66">
        <f>H242/I242</f>
        <v>20.26569019711339</v>
      </c>
      <c r="L242" s="34">
        <f>'B) D RI'!S243</f>
        <v>72</v>
      </c>
      <c r="M242" s="34">
        <f>L242-K242</f>
        <v>51.734309802886614</v>
      </c>
      <c r="N242" s="34">
        <f>'J) Plafonnement effort'!G241+'J) Plafonnement effort'!H241-'K) Plafonnement aide'!I241</f>
        <v>9.2851977338392118</v>
      </c>
      <c r="O242" s="131">
        <f>M242+N242</f>
        <v>61.019507536725826</v>
      </c>
      <c r="P242" s="48">
        <f t="shared" si="52"/>
        <v>0</v>
      </c>
      <c r="Q242" s="58">
        <f>P242*J242</f>
        <v>0</v>
      </c>
      <c r="R242" s="152">
        <f>O242+P242</f>
        <v>61.019507536725826</v>
      </c>
      <c r="S242" s="131">
        <f>R242-L242</f>
        <v>-10.980492463274174</v>
      </c>
      <c r="T242" s="151">
        <f t="shared" si="42"/>
        <v>0</v>
      </c>
      <c r="V242" s="12"/>
    </row>
    <row r="243" spans="1:22" x14ac:dyDescent="0.25">
      <c r="A243" s="50">
        <f>'A) Base RI'!A244</f>
        <v>5805</v>
      </c>
      <c r="B243" s="392" t="str">
        <f>'A) Base RI'!B244</f>
        <v>Oron</v>
      </c>
      <c r="C243" s="2">
        <v>2646803.4953070823</v>
      </c>
      <c r="D243" s="430">
        <v>-1092866.1953447629</v>
      </c>
      <c r="E243" s="2">
        <v>0</v>
      </c>
      <c r="F243" s="430">
        <v>0</v>
      </c>
      <c r="G243" s="2">
        <v>0</v>
      </c>
      <c r="H243" s="395">
        <f t="shared" si="41"/>
        <v>1553937.2999623194</v>
      </c>
      <c r="I243" s="157">
        <v>147104.2625559947</v>
      </c>
      <c r="J243" s="398">
        <f>'B) D RI'!U244</f>
        <v>145333.30890614819</v>
      </c>
      <c r="K243" s="66">
        <f>H243/I243</f>
        <v>10.56350966968628</v>
      </c>
      <c r="L243" s="34">
        <f>'B) D RI'!S244</f>
        <v>69</v>
      </c>
      <c r="M243" s="34">
        <f>L243-K243</f>
        <v>58.436490330313717</v>
      </c>
      <c r="N243" s="34">
        <f>'J) Plafonnement effort'!G242+'J) Plafonnement effort'!H242-'K) Plafonnement aide'!I242</f>
        <v>4.1166669640681972</v>
      </c>
      <c r="O243" s="131">
        <f>M243+N243</f>
        <v>62.553157294381911</v>
      </c>
      <c r="P243" s="48">
        <f t="shared" si="52"/>
        <v>0</v>
      </c>
      <c r="Q243" s="58">
        <f>P243*J243</f>
        <v>0</v>
      </c>
      <c r="R243" s="152">
        <f>O243+P243</f>
        <v>62.553157294381911</v>
      </c>
      <c r="S243" s="131">
        <f>R243-L243</f>
        <v>-6.4468427056180886</v>
      </c>
      <c r="T243" s="151">
        <f t="shared" si="42"/>
        <v>0</v>
      </c>
      <c r="V243" s="12"/>
    </row>
    <row r="244" spans="1:22" x14ac:dyDescent="0.25">
      <c r="A244" s="50">
        <f>'A) Base RI'!A245</f>
        <v>5806</v>
      </c>
      <c r="B244" s="392" t="str">
        <f>'A) Base RI'!B245</f>
        <v>Jorat-Mézières</v>
      </c>
      <c r="C244" s="2">
        <v>1693820.2176094356</v>
      </c>
      <c r="D244" s="2">
        <v>145211.37584473146</v>
      </c>
      <c r="E244" s="2">
        <v>0</v>
      </c>
      <c r="F244" s="2">
        <v>0</v>
      </c>
      <c r="G244" s="2">
        <v>0</v>
      </c>
      <c r="H244" s="395">
        <f t="shared" si="41"/>
        <v>1839031.593454167</v>
      </c>
      <c r="I244" s="157">
        <v>90980.17</v>
      </c>
      <c r="J244" s="398">
        <f>'B) D RI'!U245</f>
        <v>85087.623552631558</v>
      </c>
      <c r="K244" s="66">
        <f>H244/I244</f>
        <v>20.213543165001418</v>
      </c>
      <c r="L244" s="34">
        <f>'B) D RI'!S245</f>
        <v>76</v>
      </c>
      <c r="M244" s="34">
        <f>L244-K244</f>
        <v>55.786456834998582</v>
      </c>
      <c r="N244" s="34">
        <f>'J) Plafonnement effort'!G243+'J) Plafonnement effort'!H243-'K) Plafonnement aide'!I243</f>
        <v>13.663029686566965</v>
      </c>
      <c r="O244" s="131">
        <f>M244+N244</f>
        <v>69.449486521565547</v>
      </c>
      <c r="P244" s="48">
        <f t="shared" ref="P244" si="57">IF(O244&gt;$P$5,$P$5-O244,0)</f>
        <v>0</v>
      </c>
      <c r="Q244" s="58">
        <f>P244*J244</f>
        <v>0</v>
      </c>
      <c r="R244" s="152">
        <f>O244+P244</f>
        <v>69.449486521565547</v>
      </c>
      <c r="S244" s="131">
        <f>R244-L244</f>
        <v>-6.5505134784344534</v>
      </c>
      <c r="T244" s="151">
        <f t="shared" si="42"/>
        <v>0</v>
      </c>
      <c r="V244" s="12"/>
    </row>
    <row r="245" spans="1:22" x14ac:dyDescent="0.25">
      <c r="A245" s="50">
        <f>'A) Base RI'!A246</f>
        <v>5812</v>
      </c>
      <c r="B245" s="392" t="str">
        <f>'A) Base RI'!B246</f>
        <v>Champtauroz</v>
      </c>
      <c r="C245" s="2">
        <v>44880.211722728236</v>
      </c>
      <c r="D245" s="430">
        <v>-53321.57804209317</v>
      </c>
      <c r="E245" s="2">
        <v>0</v>
      </c>
      <c r="F245" s="430">
        <v>0</v>
      </c>
      <c r="G245" s="2">
        <v>0</v>
      </c>
      <c r="H245" s="395">
        <f t="shared" si="41"/>
        <v>-8441.3663193649336</v>
      </c>
      <c r="I245" s="157">
        <v>2326.5760389610391</v>
      </c>
      <c r="J245" s="398">
        <f>'B) D RI'!U246</f>
        <v>2414.7620603829159</v>
      </c>
      <c r="K245" s="66">
        <f>H245/I245</f>
        <v>-3.6282357326840384</v>
      </c>
      <c r="L245" s="34">
        <f>'B) D RI'!S246</f>
        <v>77</v>
      </c>
      <c r="M245" s="34">
        <f>L245-K245</f>
        <v>80.628235732684033</v>
      </c>
      <c r="N245" s="34">
        <f>'J) Plafonnement effort'!G244+'J) Plafonnement effort'!H244-'K) Plafonnement aide'!I244</f>
        <v>-14.098633402616901</v>
      </c>
      <c r="O245" s="131">
        <f>M245+N245</f>
        <v>66.529602330067135</v>
      </c>
      <c r="P245" s="48">
        <f t="shared" si="52"/>
        <v>0</v>
      </c>
      <c r="Q245" s="58">
        <f>P245*J245</f>
        <v>0</v>
      </c>
      <c r="R245" s="152">
        <f>O245+P245</f>
        <v>66.529602330067135</v>
      </c>
      <c r="S245" s="131">
        <f>R245-L245</f>
        <v>-10.470397669932865</v>
      </c>
      <c r="T245" s="151">
        <f t="shared" si="42"/>
        <v>0</v>
      </c>
      <c r="V245" s="12"/>
    </row>
    <row r="246" spans="1:22" x14ac:dyDescent="0.25">
      <c r="A246" s="50">
        <f>'A) Base RI'!A247</f>
        <v>5813</v>
      </c>
      <c r="B246" s="392" t="str">
        <f>'A) Base RI'!B247</f>
        <v>Chevroux</v>
      </c>
      <c r="C246" s="2">
        <v>206144.33054294501</v>
      </c>
      <c r="D246" s="430">
        <v>2267.9187265696528</v>
      </c>
      <c r="E246" s="2">
        <v>0</v>
      </c>
      <c r="F246" s="430">
        <v>0</v>
      </c>
      <c r="G246" s="2">
        <v>0</v>
      </c>
      <c r="H246" s="395">
        <f t="shared" si="41"/>
        <v>208412.24926951466</v>
      </c>
      <c r="I246" s="157">
        <v>11503.329976190478</v>
      </c>
      <c r="J246" s="398">
        <f>'B) D RI'!U247</f>
        <v>13113.471464382501</v>
      </c>
      <c r="K246" s="66">
        <f t="shared" si="55"/>
        <v>18.117558107164193</v>
      </c>
      <c r="L246" s="34">
        <f>'B) D RI'!S247</f>
        <v>70</v>
      </c>
      <c r="M246" s="34">
        <f t="shared" si="50"/>
        <v>51.882441892835807</v>
      </c>
      <c r="N246" s="34">
        <f>'J) Plafonnement effort'!G245+'J) Plafonnement effort'!H245-'K) Plafonnement aide'!I245</f>
        <v>23.813782469620406</v>
      </c>
      <c r="O246" s="131">
        <f t="shared" si="51"/>
        <v>75.696224362456206</v>
      </c>
      <c r="P246" s="48">
        <f t="shared" si="52"/>
        <v>0</v>
      </c>
      <c r="Q246" s="58">
        <f t="shared" si="56"/>
        <v>0</v>
      </c>
      <c r="R246" s="152">
        <f t="shared" si="53"/>
        <v>75.696224362456206</v>
      </c>
      <c r="S246" s="131">
        <f t="shared" si="54"/>
        <v>5.6962243624562063</v>
      </c>
      <c r="T246" s="151">
        <f t="shared" si="42"/>
        <v>0</v>
      </c>
      <c r="V246" s="12"/>
    </row>
    <row r="247" spans="1:22" x14ac:dyDescent="0.25">
      <c r="A247" s="50">
        <f>'A) Base RI'!A248</f>
        <v>5816</v>
      </c>
      <c r="B247" s="392" t="str">
        <f>'A) Base RI'!B248</f>
        <v>Corcelles-près-Payerne</v>
      </c>
      <c r="C247" s="2">
        <v>982528.98729013372</v>
      </c>
      <c r="D247" s="430">
        <v>-584614.39691015449</v>
      </c>
      <c r="E247" s="2">
        <v>0</v>
      </c>
      <c r="F247" s="430">
        <v>0</v>
      </c>
      <c r="G247" s="2">
        <v>0</v>
      </c>
      <c r="H247" s="395">
        <f t="shared" si="41"/>
        <v>397914.59037997923</v>
      </c>
      <c r="I247" s="157">
        <v>56641.066845238092</v>
      </c>
      <c r="J247" s="398">
        <f>'B) D RI'!U248</f>
        <v>56475.749877973358</v>
      </c>
      <c r="K247" s="66">
        <f t="shared" si="55"/>
        <v>7.0251958965958732</v>
      </c>
      <c r="L247" s="34">
        <f>'B) D RI'!S248</f>
        <v>72</v>
      </c>
      <c r="M247" s="34">
        <f t="shared" si="50"/>
        <v>64.974804103404125</v>
      </c>
      <c r="N247" s="34">
        <f>'J) Plafonnement effort'!G246+'J) Plafonnement effort'!H246-'K) Plafonnement aide'!I246</f>
        <v>2.251788791993774</v>
      </c>
      <c r="O247" s="131">
        <f t="shared" si="51"/>
        <v>67.2265928953979</v>
      </c>
      <c r="P247" s="48">
        <f t="shared" si="52"/>
        <v>0</v>
      </c>
      <c r="Q247" s="58">
        <f t="shared" si="56"/>
        <v>0</v>
      </c>
      <c r="R247" s="152">
        <f t="shared" si="53"/>
        <v>67.2265928953979</v>
      </c>
      <c r="S247" s="131">
        <f t="shared" si="54"/>
        <v>-4.7734071046021</v>
      </c>
      <c r="T247" s="151">
        <f t="shared" si="42"/>
        <v>0</v>
      </c>
      <c r="V247" s="12"/>
    </row>
    <row r="248" spans="1:22" x14ac:dyDescent="0.25">
      <c r="A248" s="50">
        <f>'A) Base RI'!A249</f>
        <v>5817</v>
      </c>
      <c r="B248" s="392" t="str">
        <f>'A) Base RI'!B249</f>
        <v>Grandcour</v>
      </c>
      <c r="C248" s="2">
        <v>355579.57659723633</v>
      </c>
      <c r="D248" s="430">
        <v>-174114.03391356068</v>
      </c>
      <c r="E248" s="2">
        <v>0</v>
      </c>
      <c r="F248" s="430">
        <v>0</v>
      </c>
      <c r="G248" s="2">
        <v>0</v>
      </c>
      <c r="H248" s="395">
        <f t="shared" si="41"/>
        <v>181465.54268367565</v>
      </c>
      <c r="I248" s="157">
        <v>20990.550314465407</v>
      </c>
      <c r="J248" s="398">
        <f>'B) D RI'!U249</f>
        <v>22082.516537974258</v>
      </c>
      <c r="K248" s="66">
        <f t="shared" si="55"/>
        <v>8.6451064867327787</v>
      </c>
      <c r="L248" s="34">
        <f>'B) D RI'!S249</f>
        <v>79.5</v>
      </c>
      <c r="M248" s="34">
        <f t="shared" si="50"/>
        <v>70.854893513267228</v>
      </c>
      <c r="N248" s="34">
        <f>'J) Plafonnement effort'!G247+'J) Plafonnement effort'!H247-'K) Plafonnement aide'!I247</f>
        <v>7.7245530154303168</v>
      </c>
      <c r="O248" s="131">
        <f t="shared" si="51"/>
        <v>78.579446528697545</v>
      </c>
      <c r="P248" s="48">
        <f t="shared" si="52"/>
        <v>0</v>
      </c>
      <c r="Q248" s="58">
        <f t="shared" si="56"/>
        <v>0</v>
      </c>
      <c r="R248" s="152">
        <f t="shared" si="53"/>
        <v>78.579446528697545</v>
      </c>
      <c r="S248" s="131">
        <f t="shared" si="54"/>
        <v>-0.9205534713024548</v>
      </c>
      <c r="T248" s="151">
        <f t="shared" si="42"/>
        <v>0</v>
      </c>
      <c r="V248" s="12"/>
    </row>
    <row r="249" spans="1:22" x14ac:dyDescent="0.25">
      <c r="A249" s="50">
        <f>'A) Base RI'!A250</f>
        <v>5819</v>
      </c>
      <c r="B249" s="392" t="str">
        <f>'A) Base RI'!B250</f>
        <v>Henniez</v>
      </c>
      <c r="C249" s="2">
        <v>249974.31792252182</v>
      </c>
      <c r="D249" s="430">
        <v>241290.16859407135</v>
      </c>
      <c r="E249" s="2">
        <v>0</v>
      </c>
      <c r="F249" s="430">
        <v>0</v>
      </c>
      <c r="G249" s="2">
        <v>0</v>
      </c>
      <c r="H249" s="395">
        <f t="shared" si="41"/>
        <v>491264.48651659314</v>
      </c>
      <c r="I249" s="157">
        <v>14949.743880597016</v>
      </c>
      <c r="J249" s="398">
        <f>'B) D RI'!U250</f>
        <v>13743.862603576948</v>
      </c>
      <c r="K249" s="66">
        <f t="shared" si="55"/>
        <v>32.861063737298927</v>
      </c>
      <c r="L249" s="34">
        <f>'B) D RI'!S250</f>
        <v>69</v>
      </c>
      <c r="M249" s="34">
        <f t="shared" si="50"/>
        <v>36.138936262701073</v>
      </c>
      <c r="N249" s="34">
        <f>'J) Plafonnement effort'!G248+'J) Plafonnement effort'!H248-'K) Plafonnement aide'!I248</f>
        <v>27.690645090295853</v>
      </c>
      <c r="O249" s="131">
        <f t="shared" si="51"/>
        <v>63.829581352996925</v>
      </c>
      <c r="P249" s="48">
        <f t="shared" si="52"/>
        <v>0</v>
      </c>
      <c r="Q249" s="58">
        <f t="shared" si="56"/>
        <v>0</v>
      </c>
      <c r="R249" s="152">
        <f t="shared" si="53"/>
        <v>63.829581352996925</v>
      </c>
      <c r="S249" s="131">
        <f t="shared" si="54"/>
        <v>-5.1704186470030749</v>
      </c>
      <c r="T249" s="151">
        <f t="shared" si="42"/>
        <v>0</v>
      </c>
      <c r="V249" s="12"/>
    </row>
    <row r="250" spans="1:22" x14ac:dyDescent="0.25">
      <c r="A250" s="50">
        <f>'A) Base RI'!A251</f>
        <v>5821</v>
      </c>
      <c r="B250" s="392" t="str">
        <f>'A) Base RI'!B251</f>
        <v>Missy</v>
      </c>
      <c r="C250" s="2">
        <v>136854.2953409914</v>
      </c>
      <c r="D250" s="430">
        <v>-66733.479521441535</v>
      </c>
      <c r="E250" s="2">
        <v>0</v>
      </c>
      <c r="F250" s="430">
        <v>0</v>
      </c>
      <c r="G250" s="2">
        <v>0</v>
      </c>
      <c r="H250" s="395">
        <f t="shared" si="41"/>
        <v>70120.815819549869</v>
      </c>
      <c r="I250" s="157">
        <v>7776.2584722222218</v>
      </c>
      <c r="J250" s="398">
        <f>'B) D RI'!U251</f>
        <v>7638.0636098287778</v>
      </c>
      <c r="K250" s="66">
        <f t="shared" si="55"/>
        <v>9.0172948944573132</v>
      </c>
      <c r="L250" s="34">
        <f>'B) D RI'!S251</f>
        <v>72</v>
      </c>
      <c r="M250" s="34">
        <f t="shared" si="50"/>
        <v>62.982705105542685</v>
      </c>
      <c r="N250" s="34">
        <f>'J) Plafonnement effort'!G249+'J) Plafonnement effort'!H249-'K) Plafonnement aide'!I249</f>
        <v>6.2749566789412246</v>
      </c>
      <c r="O250" s="131">
        <f t="shared" si="51"/>
        <v>69.257661784483915</v>
      </c>
      <c r="P250" s="48">
        <f t="shared" si="52"/>
        <v>0</v>
      </c>
      <c r="Q250" s="58">
        <f t="shared" si="56"/>
        <v>0</v>
      </c>
      <c r="R250" s="152">
        <f t="shared" si="53"/>
        <v>69.257661784483915</v>
      </c>
      <c r="S250" s="131">
        <f t="shared" si="54"/>
        <v>-2.7423382155160851</v>
      </c>
      <c r="T250" s="151">
        <f t="shared" si="42"/>
        <v>0</v>
      </c>
      <c r="V250" s="12"/>
    </row>
    <row r="251" spans="1:22" x14ac:dyDescent="0.25">
      <c r="A251" s="50">
        <f>'A) Base RI'!A252</f>
        <v>5822</v>
      </c>
      <c r="B251" s="392" t="str">
        <f>'A) Base RI'!B252</f>
        <v>Payerne</v>
      </c>
      <c r="C251" s="2">
        <v>4245168.3976395139</v>
      </c>
      <c r="D251" s="430">
        <v>-4300033.6679074457</v>
      </c>
      <c r="E251" s="2">
        <v>0</v>
      </c>
      <c r="F251" s="430">
        <v>0</v>
      </c>
      <c r="G251" s="2">
        <v>0</v>
      </c>
      <c r="H251" s="395">
        <f t="shared" si="41"/>
        <v>-54865.270267931744</v>
      </c>
      <c r="I251" s="157">
        <v>231493.6713333333</v>
      </c>
      <c r="J251" s="398">
        <f>'B) D RI'!U252</f>
        <v>236156.50420606061</v>
      </c>
      <c r="K251" s="66">
        <f t="shared" si="55"/>
        <v>-0.23700548681060885</v>
      </c>
      <c r="L251" s="34">
        <f>'B) D RI'!S252</f>
        <v>75</v>
      </c>
      <c r="M251" s="34">
        <f t="shared" si="50"/>
        <v>75.237005486810602</v>
      </c>
      <c r="N251" s="34">
        <f>'J) Plafonnement effort'!G250+'J) Plafonnement effort'!H250-'K) Plafonnement aide'!I250</f>
        <v>-6.4453336385729321</v>
      </c>
      <c r="O251" s="131">
        <f t="shared" si="51"/>
        <v>68.791671848237669</v>
      </c>
      <c r="P251" s="48">
        <f t="shared" si="52"/>
        <v>0</v>
      </c>
      <c r="Q251" s="58">
        <f t="shared" si="56"/>
        <v>0</v>
      </c>
      <c r="R251" s="152">
        <f t="shared" si="53"/>
        <v>68.791671848237669</v>
      </c>
      <c r="S251" s="131">
        <f t="shared" si="54"/>
        <v>-6.2083281517623305</v>
      </c>
      <c r="T251" s="151">
        <f t="shared" si="42"/>
        <v>0</v>
      </c>
      <c r="V251" s="12"/>
    </row>
    <row r="252" spans="1:22" x14ac:dyDescent="0.25">
      <c r="A252" s="50">
        <f>'A) Base RI'!A253</f>
        <v>5827</v>
      </c>
      <c r="B252" s="392" t="str">
        <f>'A) Base RI'!B253</f>
        <v>Trey</v>
      </c>
      <c r="C252" s="2">
        <v>130409.19250318741</v>
      </c>
      <c r="D252" s="430">
        <v>-51244.125869910436</v>
      </c>
      <c r="E252" s="2">
        <v>0</v>
      </c>
      <c r="F252" s="430">
        <v>0</v>
      </c>
      <c r="G252" s="2">
        <v>0</v>
      </c>
      <c r="H252" s="395">
        <f t="shared" si="41"/>
        <v>79165.066633276976</v>
      </c>
      <c r="I252" s="157">
        <v>6204.9173749999991</v>
      </c>
      <c r="J252" s="398">
        <f>'B) D RI'!U253</f>
        <v>6690.1986933784046</v>
      </c>
      <c r="K252" s="66">
        <f t="shared" si="55"/>
        <v>12.7584400965979</v>
      </c>
      <c r="L252" s="34">
        <f>'B) D RI'!S253</f>
        <v>80</v>
      </c>
      <c r="M252" s="34">
        <f t="shared" si="50"/>
        <v>67.241559903402106</v>
      </c>
      <c r="N252" s="34">
        <f>'J) Plafonnement effort'!G251+'J) Plafonnement effort'!H251-'K) Plafonnement aide'!I251</f>
        <v>4.2904390898864992</v>
      </c>
      <c r="O252" s="131">
        <f t="shared" si="51"/>
        <v>71.53199899328861</v>
      </c>
      <c r="P252" s="48">
        <f t="shared" si="52"/>
        <v>0</v>
      </c>
      <c r="Q252" s="58">
        <f t="shared" si="56"/>
        <v>0</v>
      </c>
      <c r="R252" s="152">
        <f t="shared" si="53"/>
        <v>71.53199899328861</v>
      </c>
      <c r="S252" s="131">
        <f t="shared" si="54"/>
        <v>-8.4680010067113898</v>
      </c>
      <c r="T252" s="151">
        <f t="shared" si="42"/>
        <v>0</v>
      </c>
      <c r="V252" s="12"/>
    </row>
    <row r="253" spans="1:22" x14ac:dyDescent="0.25">
      <c r="A253" s="50">
        <f>'A) Base RI'!A254</f>
        <v>5828</v>
      </c>
      <c r="B253" s="392" t="str">
        <f>'A) Base RI'!B254</f>
        <v>Treytorrens (Payerne)</v>
      </c>
      <c r="C253" s="2">
        <v>40713.84903467702</v>
      </c>
      <c r="D253" s="430">
        <v>-69492.768427914285</v>
      </c>
      <c r="E253" s="2">
        <v>13487.438797999177</v>
      </c>
      <c r="F253" s="430">
        <v>0</v>
      </c>
      <c r="G253" s="2">
        <v>0</v>
      </c>
      <c r="H253" s="395">
        <f t="shared" si="41"/>
        <v>-15291.480595238088</v>
      </c>
      <c r="I253" s="157">
        <v>2352.5354761904764</v>
      </c>
      <c r="J253" s="398">
        <f>'B) D RI'!U254</f>
        <v>2279.6786771708244</v>
      </c>
      <c r="K253" s="66">
        <f t="shared" si="55"/>
        <v>-6.4999999999999964</v>
      </c>
      <c r="L253" s="34">
        <f>'B) D RI'!S254</f>
        <v>84</v>
      </c>
      <c r="M253" s="34">
        <f t="shared" si="50"/>
        <v>90.5</v>
      </c>
      <c r="N253" s="34">
        <f>'J) Plafonnement effort'!G252+'J) Plafonnement effort'!H252-'K) Plafonnement aide'!I252</f>
        <v>-27.08509067827401</v>
      </c>
      <c r="O253" s="131">
        <f t="shared" si="51"/>
        <v>63.414909321725986</v>
      </c>
      <c r="P253" s="48">
        <f t="shared" si="52"/>
        <v>0</v>
      </c>
      <c r="Q253" s="58">
        <f t="shared" si="56"/>
        <v>0</v>
      </c>
      <c r="R253" s="152">
        <f t="shared" si="53"/>
        <v>63.414909321725986</v>
      </c>
      <c r="S253" s="131">
        <f t="shared" si="54"/>
        <v>-20.585090678274014</v>
      </c>
      <c r="T253" s="151">
        <f t="shared" si="42"/>
        <v>0</v>
      </c>
      <c r="V253" s="12"/>
    </row>
    <row r="254" spans="1:22" x14ac:dyDescent="0.25">
      <c r="A254" s="50">
        <f>'A) Base RI'!A255</f>
        <v>5830</v>
      </c>
      <c r="B254" s="392" t="str">
        <f>'A) Base RI'!B255</f>
        <v>Villarzel</v>
      </c>
      <c r="C254" s="2">
        <v>175810.57625685414</v>
      </c>
      <c r="D254" s="430">
        <v>-94466.713821185986</v>
      </c>
      <c r="E254" s="2">
        <v>0</v>
      </c>
      <c r="F254" s="430">
        <v>0</v>
      </c>
      <c r="G254" s="2">
        <v>0</v>
      </c>
      <c r="H254" s="395">
        <f t="shared" si="41"/>
        <v>81343.862435668154</v>
      </c>
      <c r="I254" s="157">
        <v>9737.3892405063307</v>
      </c>
      <c r="J254" s="398">
        <f>'B) D RI'!U255</f>
        <v>10447.04854538646</v>
      </c>
      <c r="K254" s="66">
        <f t="shared" si="55"/>
        <v>8.3537651034106535</v>
      </c>
      <c r="L254" s="34">
        <f>'B) D RI'!S255</f>
        <v>79</v>
      </c>
      <c r="M254" s="34">
        <f t="shared" si="50"/>
        <v>70.646234896589348</v>
      </c>
      <c r="N254" s="34">
        <f>'J) Plafonnement effort'!G253+'J) Plafonnement effort'!H253-'K) Plafonnement aide'!I253</f>
        <v>2.5676917350440895</v>
      </c>
      <c r="O254" s="131">
        <f t="shared" si="51"/>
        <v>73.213926631633441</v>
      </c>
      <c r="P254" s="48">
        <f t="shared" si="52"/>
        <v>0</v>
      </c>
      <c r="Q254" s="58">
        <f t="shared" si="56"/>
        <v>0</v>
      </c>
      <c r="R254" s="152">
        <f t="shared" si="53"/>
        <v>73.213926631633441</v>
      </c>
      <c r="S254" s="131">
        <f t="shared" si="54"/>
        <v>-5.7860733683665586</v>
      </c>
      <c r="T254" s="151">
        <f t="shared" si="42"/>
        <v>0</v>
      </c>
      <c r="V254" s="12"/>
    </row>
    <row r="255" spans="1:22" x14ac:dyDescent="0.25">
      <c r="A255" s="50">
        <f>'A) Base RI'!A256</f>
        <v>5831</v>
      </c>
      <c r="B255" s="392" t="str">
        <f>'A) Base RI'!B256</f>
        <v>Valbroye</v>
      </c>
      <c r="C255" s="2">
        <v>1306372.6638704627</v>
      </c>
      <c r="D255" s="430">
        <v>-633354.85023482423</v>
      </c>
      <c r="E255" s="2">
        <v>0</v>
      </c>
      <c r="F255" s="430">
        <v>0</v>
      </c>
      <c r="G255" s="2">
        <v>0</v>
      </c>
      <c r="H255" s="395">
        <f t="shared" si="41"/>
        <v>673017.81363563845</v>
      </c>
      <c r="I255" s="157">
        <v>75142.69210045661</v>
      </c>
      <c r="J255" s="398">
        <f>'B) D RI'!U256</f>
        <v>80393.76686206559</v>
      </c>
      <c r="K255" s="66">
        <f>H255/I255</f>
        <v>8.9565304998108903</v>
      </c>
      <c r="L255" s="34">
        <f>'B) D RI'!S256</f>
        <v>73</v>
      </c>
      <c r="M255" s="34">
        <f>L255-K255</f>
        <v>64.043469500189104</v>
      </c>
      <c r="N255" s="34">
        <f>'J) Plafonnement effort'!G254+'J) Plafonnement effort'!H254-'K) Plafonnement aide'!I254</f>
        <v>5.6710376219593019</v>
      </c>
      <c r="O255" s="131">
        <f>M255+N255</f>
        <v>69.714507122148405</v>
      </c>
      <c r="P255" s="48">
        <f t="shared" si="52"/>
        <v>0</v>
      </c>
      <c r="Q255" s="58">
        <f>P255*J255</f>
        <v>0</v>
      </c>
      <c r="R255" s="152">
        <f>O255+P255</f>
        <v>69.714507122148405</v>
      </c>
      <c r="S255" s="131">
        <f>R255-L255</f>
        <v>-3.2854928778515955</v>
      </c>
      <c r="T255" s="151">
        <f t="shared" si="42"/>
        <v>0</v>
      </c>
      <c r="V255" s="12"/>
    </row>
    <row r="256" spans="1:22" x14ac:dyDescent="0.25">
      <c r="A256" s="50">
        <f>'A) Base RI'!A257</f>
        <v>5841</v>
      </c>
      <c r="B256" s="392" t="str">
        <f>'A) Base RI'!B257</f>
        <v>Château-d'Oex</v>
      </c>
      <c r="C256" s="2">
        <v>2193257.4052813496</v>
      </c>
      <c r="D256" s="430">
        <v>-425234.43519792007</v>
      </c>
      <c r="E256" s="2">
        <v>0</v>
      </c>
      <c r="F256" s="430">
        <v>0</v>
      </c>
      <c r="G256" s="2">
        <v>0</v>
      </c>
      <c r="H256" s="395">
        <f t="shared" si="41"/>
        <v>1768022.9700834295</v>
      </c>
      <c r="I256" s="157">
        <v>106457.35927710844</v>
      </c>
      <c r="J256" s="398">
        <f>'B) D RI'!U257</f>
        <v>112439.97706211945</v>
      </c>
      <c r="K256" s="66">
        <f>H256/I256</f>
        <v>16.607804120720925</v>
      </c>
      <c r="L256" s="34">
        <f>'B) D RI'!S257</f>
        <v>83</v>
      </c>
      <c r="M256" s="34">
        <f>L256-K256</f>
        <v>66.392195879279072</v>
      </c>
      <c r="N256" s="34">
        <f>'J) Plafonnement effort'!G255+'J) Plafonnement effort'!H255-'K) Plafonnement aide'!I255</f>
        <v>1.1670548956217921</v>
      </c>
      <c r="O256" s="131">
        <f>M256+N256</f>
        <v>67.55925077490086</v>
      </c>
      <c r="P256" s="48">
        <f t="shared" si="52"/>
        <v>0</v>
      </c>
      <c r="Q256" s="58">
        <f>P256*J256</f>
        <v>0</v>
      </c>
      <c r="R256" s="152">
        <f>O256+P256</f>
        <v>67.55925077490086</v>
      </c>
      <c r="S256" s="131">
        <f>R256-L256</f>
        <v>-15.44074922509914</v>
      </c>
      <c r="T256" s="151">
        <f t="shared" si="42"/>
        <v>0</v>
      </c>
      <c r="V256" s="12"/>
    </row>
    <row r="257" spans="1:22" x14ac:dyDescent="0.25">
      <c r="A257" s="50">
        <f>'A) Base RI'!A258</f>
        <v>5842</v>
      </c>
      <c r="B257" s="392" t="str">
        <f>'A) Base RI'!B258</f>
        <v>Rossinière</v>
      </c>
      <c r="C257" s="2">
        <v>310802.56557317771</v>
      </c>
      <c r="D257" s="430">
        <v>-93136.822522982431</v>
      </c>
      <c r="E257" s="2">
        <v>0</v>
      </c>
      <c r="F257" s="430">
        <v>0</v>
      </c>
      <c r="G257" s="2">
        <v>0</v>
      </c>
      <c r="H257" s="395">
        <f t="shared" si="41"/>
        <v>217665.74305019528</v>
      </c>
      <c r="I257" s="157">
        <v>13519.399629629628</v>
      </c>
      <c r="J257" s="398">
        <f>'B) D RI'!U258</f>
        <v>12463.858686572428</v>
      </c>
      <c r="K257" s="66">
        <f t="shared" si="55"/>
        <v>16.100252157140972</v>
      </c>
      <c r="L257" s="34">
        <f>'B) D RI'!S258</f>
        <v>81</v>
      </c>
      <c r="M257" s="34">
        <f t="shared" si="50"/>
        <v>64.899747842859028</v>
      </c>
      <c r="N257" s="34">
        <f>'J) Plafonnement effort'!G256+'J) Plafonnement effort'!H256-'K) Plafonnement aide'!I256</f>
        <v>-17.134983915001833</v>
      </c>
      <c r="O257" s="131">
        <f t="shared" si="51"/>
        <v>47.764763927857196</v>
      </c>
      <c r="P257" s="48">
        <f t="shared" si="52"/>
        <v>0</v>
      </c>
      <c r="Q257" s="58">
        <f t="shared" si="56"/>
        <v>0</v>
      </c>
      <c r="R257" s="152">
        <f t="shared" si="53"/>
        <v>47.764763927857196</v>
      </c>
      <c r="S257" s="131">
        <f t="shared" si="54"/>
        <v>-33.235236072142804</v>
      </c>
      <c r="T257" s="151">
        <f t="shared" si="42"/>
        <v>0</v>
      </c>
      <c r="V257" s="12"/>
    </row>
    <row r="258" spans="1:22" x14ac:dyDescent="0.25">
      <c r="A258" s="50">
        <f>'A) Base RI'!A259</f>
        <v>5843</v>
      </c>
      <c r="B258" s="392" t="str">
        <f>'A) Base RI'!B259</f>
        <v>Rougemont</v>
      </c>
      <c r="C258" s="2">
        <v>3211933.7771427855</v>
      </c>
      <c r="D258" s="430">
        <v>1412187.4675768428</v>
      </c>
      <c r="E258" s="2">
        <v>0</v>
      </c>
      <c r="F258" s="430">
        <v>0</v>
      </c>
      <c r="G258" s="2">
        <v>0</v>
      </c>
      <c r="H258" s="395">
        <f t="shared" si="41"/>
        <v>4624121.2447196282</v>
      </c>
      <c r="I258" s="157">
        <v>88213.430628019312</v>
      </c>
      <c r="J258" s="398">
        <f>'B) D RI'!U259</f>
        <v>87105.84628297943</v>
      </c>
      <c r="K258" s="66">
        <f t="shared" si="55"/>
        <v>52.419696318338907</v>
      </c>
      <c r="L258" s="34">
        <f>'B) D RI'!S259</f>
        <v>74</v>
      </c>
      <c r="M258" s="34">
        <f t="shared" si="50"/>
        <v>21.580303681661093</v>
      </c>
      <c r="N258" s="34">
        <f>'J) Plafonnement effort'!G257+'J) Plafonnement effort'!H257-'K) Plafonnement aide'!I257</f>
        <v>44.380115827706035</v>
      </c>
      <c r="O258" s="131">
        <f t="shared" si="51"/>
        <v>65.960419509367128</v>
      </c>
      <c r="P258" s="48">
        <f t="shared" si="52"/>
        <v>0</v>
      </c>
      <c r="Q258" s="58">
        <f t="shared" si="56"/>
        <v>0</v>
      </c>
      <c r="R258" s="152">
        <f t="shared" si="53"/>
        <v>65.960419509367128</v>
      </c>
      <c r="S258" s="131">
        <f t="shared" si="54"/>
        <v>-8.0395804906328721</v>
      </c>
      <c r="T258" s="151">
        <f t="shared" si="42"/>
        <v>0</v>
      </c>
      <c r="V258" s="12"/>
    </row>
    <row r="259" spans="1:22" x14ac:dyDescent="0.25">
      <c r="A259" s="50">
        <f>'A) Base RI'!A260</f>
        <v>5851</v>
      </c>
      <c r="B259" s="392" t="str">
        <f>'A) Base RI'!B260</f>
        <v>Allaman</v>
      </c>
      <c r="C259" s="2">
        <v>909012.39209880668</v>
      </c>
      <c r="D259" s="430">
        <v>454030.58187768125</v>
      </c>
      <c r="E259" s="2">
        <v>0</v>
      </c>
      <c r="F259" s="430">
        <v>-152514.65828733833</v>
      </c>
      <c r="G259" s="2">
        <v>0</v>
      </c>
      <c r="H259" s="395">
        <f t="shared" si="41"/>
        <v>1210528.3156891498</v>
      </c>
      <c r="I259" s="157">
        <v>26900.629237536661</v>
      </c>
      <c r="J259" s="398">
        <f>'B) D RI'!U260</f>
        <v>27785.537982029753</v>
      </c>
      <c r="K259" s="66">
        <f t="shared" si="55"/>
        <v>45</v>
      </c>
      <c r="L259" s="34">
        <f>'B) D RI'!S260</f>
        <v>62</v>
      </c>
      <c r="M259" s="34">
        <f t="shared" si="50"/>
        <v>17</v>
      </c>
      <c r="N259" s="34">
        <f>'J) Plafonnement effort'!G258+'J) Plafonnement effort'!H258-'K) Plafonnement aide'!I258</f>
        <v>39.687306274423179</v>
      </c>
      <c r="O259" s="131">
        <f t="shared" si="51"/>
        <v>56.687306274423179</v>
      </c>
      <c r="P259" s="48">
        <f t="shared" si="52"/>
        <v>0</v>
      </c>
      <c r="Q259" s="58">
        <f t="shared" si="56"/>
        <v>0</v>
      </c>
      <c r="R259" s="152">
        <f t="shared" si="53"/>
        <v>56.687306274423179</v>
      </c>
      <c r="S259" s="131">
        <f t="shared" si="54"/>
        <v>-5.3126937255768212</v>
      </c>
      <c r="T259" s="151">
        <f t="shared" si="42"/>
        <v>0</v>
      </c>
      <c r="V259" s="12"/>
    </row>
    <row r="260" spans="1:22" x14ac:dyDescent="0.25">
      <c r="A260" s="50">
        <f>'A) Base RI'!A261</f>
        <v>5852</v>
      </c>
      <c r="B260" s="392" t="str">
        <f>'A) Base RI'!B261</f>
        <v>Bursinel</v>
      </c>
      <c r="C260" s="2">
        <v>526886.07053510495</v>
      </c>
      <c r="D260" s="430">
        <v>505436.27579291572</v>
      </c>
      <c r="E260" s="2">
        <v>0</v>
      </c>
      <c r="F260" s="430">
        <v>0</v>
      </c>
      <c r="G260" s="2">
        <v>0</v>
      </c>
      <c r="H260" s="395">
        <f t="shared" si="41"/>
        <v>1032322.3463280207</v>
      </c>
      <c r="I260" s="157">
        <v>29922.291297709922</v>
      </c>
      <c r="J260" s="398">
        <f>'B) D RI'!U261</f>
        <v>38740.127027310053</v>
      </c>
      <c r="K260" s="66">
        <f t="shared" si="55"/>
        <v>34.50011017060811</v>
      </c>
      <c r="L260" s="34">
        <f>'B) D RI'!S261</f>
        <v>65.5</v>
      </c>
      <c r="M260" s="34">
        <f t="shared" si="50"/>
        <v>30.99988982939189</v>
      </c>
      <c r="N260" s="34">
        <f>'J) Plafonnement effort'!G259+'J) Plafonnement effort'!H259-'K) Plafonnement aide'!I259</f>
        <v>45</v>
      </c>
      <c r="O260" s="131">
        <f t="shared" si="51"/>
        <v>75.99988982939189</v>
      </c>
      <c r="P260" s="48">
        <f t="shared" si="52"/>
        <v>0</v>
      </c>
      <c r="Q260" s="58">
        <f t="shared" si="56"/>
        <v>0</v>
      </c>
      <c r="R260" s="152">
        <f t="shared" si="53"/>
        <v>75.99988982939189</v>
      </c>
      <c r="S260" s="131">
        <f t="shared" si="54"/>
        <v>10.49988982939189</v>
      </c>
      <c r="T260" s="151">
        <f t="shared" si="42"/>
        <v>0</v>
      </c>
      <c r="V260" s="12"/>
    </row>
    <row r="261" spans="1:22" x14ac:dyDescent="0.25">
      <c r="A261" s="50">
        <f>'A) Base RI'!A262</f>
        <v>5853</v>
      </c>
      <c r="B261" s="392" t="str">
        <f>'A) Base RI'!B262</f>
        <v>Bursins</v>
      </c>
      <c r="C261" s="2">
        <v>803376.13705280307</v>
      </c>
      <c r="D261" s="430">
        <v>686960.43880945013</v>
      </c>
      <c r="E261" s="2">
        <v>0</v>
      </c>
      <c r="F261" s="430">
        <v>0</v>
      </c>
      <c r="G261" s="2">
        <v>0</v>
      </c>
      <c r="H261" s="395">
        <f t="shared" si="41"/>
        <v>1490336.5758622531</v>
      </c>
      <c r="I261" s="157">
        <v>40543.223380281692</v>
      </c>
      <c r="J261" s="398">
        <f>'B) D RI'!U262</f>
        <v>35932.419772150381</v>
      </c>
      <c r="K261" s="66">
        <f t="shared" si="55"/>
        <v>36.759202934690251</v>
      </c>
      <c r="L261" s="34">
        <f>'B) D RI'!S262</f>
        <v>71</v>
      </c>
      <c r="M261" s="34">
        <f t="shared" si="50"/>
        <v>34.240797065309749</v>
      </c>
      <c r="N261" s="34">
        <f>'J) Plafonnement effort'!G260+'J) Plafonnement effort'!H260-'K) Plafonnement aide'!I260</f>
        <v>38.107662716563418</v>
      </c>
      <c r="O261" s="131">
        <f t="shared" si="51"/>
        <v>72.348459781873174</v>
      </c>
      <c r="P261" s="48">
        <f t="shared" si="52"/>
        <v>0</v>
      </c>
      <c r="Q261" s="58">
        <f t="shared" si="56"/>
        <v>0</v>
      </c>
      <c r="R261" s="152">
        <f t="shared" si="53"/>
        <v>72.348459781873174</v>
      </c>
      <c r="S261" s="131">
        <f t="shared" si="54"/>
        <v>1.3484597818731743</v>
      </c>
      <c r="T261" s="151">
        <f t="shared" si="42"/>
        <v>0</v>
      </c>
      <c r="V261" s="12"/>
    </row>
    <row r="262" spans="1:22" x14ac:dyDescent="0.25">
      <c r="A262" s="50">
        <f>'A) Base RI'!A263</f>
        <v>5854</v>
      </c>
      <c r="B262" s="392" t="str">
        <f>'A) Base RI'!B263</f>
        <v>Burtigny</v>
      </c>
      <c r="C262" s="2">
        <v>187034.95193861774</v>
      </c>
      <c r="D262" s="430">
        <v>18352.558151655394</v>
      </c>
      <c r="E262" s="2">
        <v>0</v>
      </c>
      <c r="F262" s="430">
        <v>0</v>
      </c>
      <c r="G262" s="2">
        <v>0</v>
      </c>
      <c r="H262" s="395">
        <f t="shared" si="41"/>
        <v>205387.51009027314</v>
      </c>
      <c r="I262" s="157">
        <v>10577.787833333332</v>
      </c>
      <c r="J262" s="398">
        <f>'B) D RI'!U263</f>
        <v>9853.2751063664073</v>
      </c>
      <c r="K262" s="66">
        <f t="shared" si="55"/>
        <v>19.416867999851938</v>
      </c>
      <c r="L262" s="34">
        <f>'B) D RI'!S263</f>
        <v>80</v>
      </c>
      <c r="M262" s="34">
        <f t="shared" ref="M262:M291" si="58">L262-K262</f>
        <v>60.583132000148062</v>
      </c>
      <c r="N262" s="34">
        <f>'J) Plafonnement effort'!G261+'J) Plafonnement effort'!H261-'K) Plafonnement aide'!I261</f>
        <v>16.559910046054082</v>
      </c>
      <c r="O262" s="131">
        <f t="shared" ref="O262:O314" si="59">M262+N262</f>
        <v>77.14304204620214</v>
      </c>
      <c r="P262" s="48">
        <f t="shared" ref="P262:P314" si="60">IF(O262&gt;$P$5,$P$5-O262,0)</f>
        <v>0</v>
      </c>
      <c r="Q262" s="58">
        <f t="shared" si="56"/>
        <v>0</v>
      </c>
      <c r="R262" s="152">
        <f t="shared" ref="R262:R314" si="61">O262+P262</f>
        <v>77.14304204620214</v>
      </c>
      <c r="S262" s="131">
        <f t="shared" ref="S262:S314" si="62">R262-L262</f>
        <v>-2.8569579537978598</v>
      </c>
      <c r="T262" s="151">
        <f t="shared" si="42"/>
        <v>0</v>
      </c>
      <c r="V262" s="12"/>
    </row>
    <row r="263" spans="1:22" x14ac:dyDescent="0.25">
      <c r="A263" s="50">
        <f>'A) Base RI'!A264</f>
        <v>5855</v>
      </c>
      <c r="B263" s="392" t="str">
        <f>'A) Base RI'!B264</f>
        <v>Dully</v>
      </c>
      <c r="C263" s="2">
        <v>2547050.7839073734</v>
      </c>
      <c r="D263" s="430">
        <v>1229467.4593374501</v>
      </c>
      <c r="E263" s="2">
        <v>0</v>
      </c>
      <c r="F263" s="430">
        <v>-204068.47385706854</v>
      </c>
      <c r="G263" s="2">
        <v>0</v>
      </c>
      <c r="H263" s="395">
        <f t="shared" ref="H263:H314" si="63">SUM(C263:G263)</f>
        <v>3572449.7693877551</v>
      </c>
      <c r="I263" s="157">
        <v>79387.772653061227</v>
      </c>
      <c r="J263" s="398">
        <f>'B) D RI'!U264</f>
        <v>78259.066078216143</v>
      </c>
      <c r="K263" s="66">
        <f t="shared" si="55"/>
        <v>45</v>
      </c>
      <c r="L263" s="34">
        <f>'B) D RI'!S264</f>
        <v>49</v>
      </c>
      <c r="M263" s="34">
        <f t="shared" si="58"/>
        <v>4</v>
      </c>
      <c r="N263" s="34">
        <f>'J) Plafonnement effort'!G262+'J) Plafonnement effort'!H262-'K) Plafonnement aide'!I262</f>
        <v>45</v>
      </c>
      <c r="O263" s="131">
        <f t="shared" si="59"/>
        <v>49</v>
      </c>
      <c r="P263" s="48">
        <f t="shared" si="60"/>
        <v>0</v>
      </c>
      <c r="Q263" s="58">
        <f t="shared" si="56"/>
        <v>0</v>
      </c>
      <c r="R263" s="152">
        <f t="shared" si="61"/>
        <v>49</v>
      </c>
      <c r="S263" s="131">
        <f t="shared" si="62"/>
        <v>0</v>
      </c>
      <c r="T263" s="151">
        <f t="shared" ref="T263:T314" si="64">+C263+D263+E263+F263+G263-H263</f>
        <v>0</v>
      </c>
      <c r="V263" s="12"/>
    </row>
    <row r="264" spans="1:22" x14ac:dyDescent="0.25">
      <c r="A264" s="50">
        <f>'A) Base RI'!A265</f>
        <v>5856</v>
      </c>
      <c r="B264" s="392" t="str">
        <f>'A) Base RI'!B265</f>
        <v>Essertines-sur-Rolle</v>
      </c>
      <c r="C264" s="2">
        <v>539097.94430913753</v>
      </c>
      <c r="D264" s="430">
        <v>530710.93581841257</v>
      </c>
      <c r="E264" s="2">
        <v>0</v>
      </c>
      <c r="F264" s="430">
        <v>0</v>
      </c>
      <c r="G264" s="2">
        <v>0</v>
      </c>
      <c r="H264" s="395">
        <f t="shared" si="63"/>
        <v>1069808.8801275501</v>
      </c>
      <c r="I264" s="157">
        <v>31862.802285067875</v>
      </c>
      <c r="J264" s="398">
        <f>'B) D RI'!U265</f>
        <v>34358.63256703021</v>
      </c>
      <c r="K264" s="66">
        <f t="shared" si="55"/>
        <v>33.575479976816204</v>
      </c>
      <c r="L264" s="34">
        <f>'B) D RI'!S265</f>
        <v>68</v>
      </c>
      <c r="M264" s="34">
        <f t="shared" si="58"/>
        <v>34.424520023183796</v>
      </c>
      <c r="N264" s="34">
        <f>'J) Plafonnement effort'!G263+'J) Plafonnement effort'!H263-'K) Plafonnement aide'!I263</f>
        <v>38.792027741902274</v>
      </c>
      <c r="O264" s="131">
        <f t="shared" si="59"/>
        <v>73.216547765086062</v>
      </c>
      <c r="P264" s="48">
        <f t="shared" si="60"/>
        <v>0</v>
      </c>
      <c r="Q264" s="58">
        <f t="shared" si="56"/>
        <v>0</v>
      </c>
      <c r="R264" s="152">
        <f t="shared" si="61"/>
        <v>73.216547765086062</v>
      </c>
      <c r="S264" s="131">
        <f t="shared" si="62"/>
        <v>5.2165477650860623</v>
      </c>
      <c r="T264" s="151">
        <f t="shared" si="64"/>
        <v>0</v>
      </c>
      <c r="V264" s="12"/>
    </row>
    <row r="265" spans="1:22" x14ac:dyDescent="0.25">
      <c r="A265" s="50">
        <f>'A) Base RI'!A266</f>
        <v>5857</v>
      </c>
      <c r="B265" s="392" t="str">
        <f>'A) Base RI'!B266</f>
        <v>Gilly</v>
      </c>
      <c r="C265" s="2">
        <v>1460104.4475267315</v>
      </c>
      <c r="D265" s="430">
        <v>998217.52774334233</v>
      </c>
      <c r="E265" s="2">
        <v>0</v>
      </c>
      <c r="F265" s="430">
        <v>0</v>
      </c>
      <c r="G265" s="2">
        <v>0</v>
      </c>
      <c r="H265" s="395">
        <f t="shared" si="63"/>
        <v>2458321.9752700739</v>
      </c>
      <c r="I265" s="157">
        <v>62540.44560606061</v>
      </c>
      <c r="J265" s="398">
        <f>'B) D RI'!U266</f>
        <v>76506.459222154648</v>
      </c>
      <c r="K265" s="66">
        <f t="shared" si="55"/>
        <v>39.307714415003225</v>
      </c>
      <c r="L265" s="34">
        <f>'B) D RI'!S266</f>
        <v>66</v>
      </c>
      <c r="M265" s="34">
        <f t="shared" si="58"/>
        <v>26.692285584996775</v>
      </c>
      <c r="N265" s="34">
        <f>'J) Plafonnement effort'!G264+'J) Plafonnement effort'!H264-'K) Plafonnement aide'!I264</f>
        <v>39.995712915504811</v>
      </c>
      <c r="O265" s="131">
        <f t="shared" si="59"/>
        <v>66.687998500501578</v>
      </c>
      <c r="P265" s="48">
        <f t="shared" si="60"/>
        <v>0</v>
      </c>
      <c r="Q265" s="58">
        <f t="shared" si="56"/>
        <v>0</v>
      </c>
      <c r="R265" s="152">
        <f t="shared" si="61"/>
        <v>66.687998500501578</v>
      </c>
      <c r="S265" s="131">
        <f t="shared" si="62"/>
        <v>0.68799850050157829</v>
      </c>
      <c r="T265" s="151">
        <f t="shared" si="64"/>
        <v>0</v>
      </c>
      <c r="V265" s="12"/>
    </row>
    <row r="266" spans="1:22" x14ac:dyDescent="0.25">
      <c r="A266" s="50">
        <f>'A) Base RI'!A267</f>
        <v>5858</v>
      </c>
      <c r="B266" s="392" t="str">
        <f>'A) Base RI'!B267</f>
        <v>Luins</v>
      </c>
      <c r="C266" s="2">
        <v>532494.14520653698</v>
      </c>
      <c r="D266" s="430">
        <v>597139.04194549646</v>
      </c>
      <c r="E266" s="2">
        <v>0</v>
      </c>
      <c r="F266" s="430">
        <v>0</v>
      </c>
      <c r="G266" s="2">
        <v>0</v>
      </c>
      <c r="H266" s="395">
        <f t="shared" si="63"/>
        <v>1129633.1871520334</v>
      </c>
      <c r="I266" s="157">
        <v>35045.301944444444</v>
      </c>
      <c r="J266" s="398">
        <f>'B) D RI'!U267</f>
        <v>34277.61170447935</v>
      </c>
      <c r="K266" s="66">
        <f t="shared" ref="K266:K314" si="65">H266/I266</f>
        <v>32.233512752801623</v>
      </c>
      <c r="L266" s="34">
        <f>'B) D RI'!S267</f>
        <v>60</v>
      </c>
      <c r="M266" s="34">
        <f t="shared" si="58"/>
        <v>27.766487247198377</v>
      </c>
      <c r="N266" s="34">
        <f>'J) Plafonnement effort'!G265+'J) Plafonnement effort'!H265-'K) Plafonnement aide'!I265</f>
        <v>37.816059709537214</v>
      </c>
      <c r="O266" s="131">
        <f t="shared" si="59"/>
        <v>65.582546956735598</v>
      </c>
      <c r="P266" s="48">
        <f t="shared" si="60"/>
        <v>0</v>
      </c>
      <c r="Q266" s="58">
        <f t="shared" si="56"/>
        <v>0</v>
      </c>
      <c r="R266" s="152">
        <f t="shared" si="61"/>
        <v>65.582546956735598</v>
      </c>
      <c r="S266" s="131">
        <f t="shared" si="62"/>
        <v>5.5825469567355981</v>
      </c>
      <c r="T266" s="151">
        <f t="shared" si="64"/>
        <v>0</v>
      </c>
      <c r="V266" s="12"/>
    </row>
    <row r="267" spans="1:22" x14ac:dyDescent="0.25">
      <c r="A267" s="50">
        <f>'A) Base RI'!A268</f>
        <v>5859</v>
      </c>
      <c r="B267" s="392" t="str">
        <f>'A) Base RI'!B268</f>
        <v>Mont-sur-Rolle</v>
      </c>
      <c r="C267" s="2">
        <v>2322611.1477026818</v>
      </c>
      <c r="D267" s="430">
        <v>1781547.9933925807</v>
      </c>
      <c r="E267" s="2">
        <v>0</v>
      </c>
      <c r="F267" s="430">
        <v>0</v>
      </c>
      <c r="G267" s="2">
        <v>0</v>
      </c>
      <c r="H267" s="395">
        <f t="shared" si="63"/>
        <v>4104159.1410952625</v>
      </c>
      <c r="I267" s="157">
        <v>130430.38093750003</v>
      </c>
      <c r="J267" s="398">
        <f>'B) D RI'!U268</f>
        <v>136265.21065164401</v>
      </c>
      <c r="K267" s="66">
        <f t="shared" si="65"/>
        <v>31.466281947469771</v>
      </c>
      <c r="L267" s="34">
        <f>'B) D RI'!S268</f>
        <v>64</v>
      </c>
      <c r="M267" s="34">
        <f t="shared" si="58"/>
        <v>32.533718052530233</v>
      </c>
      <c r="N267" s="34">
        <f>'J) Plafonnement effort'!G266+'J) Plafonnement effort'!H266-'K) Plafonnement aide'!I266</f>
        <v>36.30289322082124</v>
      </c>
      <c r="O267" s="131">
        <f t="shared" si="59"/>
        <v>68.83661127335148</v>
      </c>
      <c r="P267" s="48">
        <f t="shared" si="60"/>
        <v>0</v>
      </c>
      <c r="Q267" s="58">
        <f t="shared" ref="Q267:Q314" si="66">P267*J267</f>
        <v>0</v>
      </c>
      <c r="R267" s="152">
        <f t="shared" si="61"/>
        <v>68.83661127335148</v>
      </c>
      <c r="S267" s="131">
        <f t="shared" si="62"/>
        <v>4.8366112733514797</v>
      </c>
      <c r="T267" s="151">
        <f t="shared" si="64"/>
        <v>0</v>
      </c>
      <c r="V267" s="12"/>
    </row>
    <row r="268" spans="1:22" x14ac:dyDescent="0.25">
      <c r="A268" s="50">
        <f>'A) Base RI'!A269</f>
        <v>5860</v>
      </c>
      <c r="B268" s="392" t="str">
        <f>'A) Base RI'!B269</f>
        <v>Perroy</v>
      </c>
      <c r="C268" s="2">
        <v>1869054.8463160102</v>
      </c>
      <c r="D268" s="430">
        <v>1450473.1668090587</v>
      </c>
      <c r="E268" s="2">
        <v>0</v>
      </c>
      <c r="F268" s="430">
        <v>0</v>
      </c>
      <c r="G268" s="2">
        <v>0</v>
      </c>
      <c r="H268" s="395">
        <f t="shared" si="63"/>
        <v>3319528.013125069</v>
      </c>
      <c r="I268" s="157">
        <v>92749.778038461533</v>
      </c>
      <c r="J268" s="398">
        <f>'B) D RI'!U269</f>
        <v>87566.238279299258</v>
      </c>
      <c r="K268" s="66">
        <f t="shared" si="65"/>
        <v>35.790145090681783</v>
      </c>
      <c r="L268" s="34">
        <f>'B) D RI'!S269</f>
        <v>60</v>
      </c>
      <c r="M268" s="34">
        <f t="shared" si="58"/>
        <v>24.209854909318217</v>
      </c>
      <c r="N268" s="34">
        <f>'J) Plafonnement effort'!G267+'J) Plafonnement effort'!H267-'K) Plafonnement aide'!I267</f>
        <v>38.794886688233063</v>
      </c>
      <c r="O268" s="131">
        <f t="shared" si="59"/>
        <v>63.004741597551281</v>
      </c>
      <c r="P268" s="48">
        <f t="shared" si="60"/>
        <v>0</v>
      </c>
      <c r="Q268" s="58">
        <f t="shared" si="66"/>
        <v>0</v>
      </c>
      <c r="R268" s="152">
        <f t="shared" si="61"/>
        <v>63.004741597551281</v>
      </c>
      <c r="S268" s="131">
        <f t="shared" si="62"/>
        <v>3.0047415975512806</v>
      </c>
      <c r="T268" s="151">
        <f t="shared" si="64"/>
        <v>0</v>
      </c>
      <c r="V268" s="12"/>
    </row>
    <row r="269" spans="1:22" x14ac:dyDescent="0.25">
      <c r="A269" s="50">
        <f>'A) Base RI'!A270</f>
        <v>5861</v>
      </c>
      <c r="B269" s="392" t="str">
        <f>'A) Base RI'!B270</f>
        <v>Rolle</v>
      </c>
      <c r="C269" s="2">
        <v>26259772.659344018</v>
      </c>
      <c r="D269" s="430">
        <v>10958104.245836318</v>
      </c>
      <c r="E269" s="2">
        <v>0</v>
      </c>
      <c r="F269" s="430">
        <v>0</v>
      </c>
      <c r="G269" s="2">
        <v>0</v>
      </c>
      <c r="H269" s="395">
        <f t="shared" si="63"/>
        <v>37217876.905180335</v>
      </c>
      <c r="I269" s="157">
        <v>834788.40991596645</v>
      </c>
      <c r="J269" s="398">
        <f>'B) D RI'!U270</f>
        <v>773954.77123318054</v>
      </c>
      <c r="K269" s="66">
        <f t="shared" si="65"/>
        <v>44.58360521431635</v>
      </c>
      <c r="L269" s="34">
        <f>'B) D RI'!S270</f>
        <v>59.5</v>
      </c>
      <c r="M269" s="34">
        <f t="shared" si="58"/>
        <v>14.91639478568365</v>
      </c>
      <c r="N269" s="34">
        <f>'J) Plafonnement effort'!G268+'J) Plafonnement effort'!H268-'K) Plafonnement aide'!I268</f>
        <v>45</v>
      </c>
      <c r="O269" s="131">
        <f t="shared" si="59"/>
        <v>59.91639478568365</v>
      </c>
      <c r="P269" s="48">
        <f t="shared" si="60"/>
        <v>0</v>
      </c>
      <c r="Q269" s="58">
        <f t="shared" si="66"/>
        <v>0</v>
      </c>
      <c r="R269" s="152">
        <f t="shared" si="61"/>
        <v>59.91639478568365</v>
      </c>
      <c r="S269" s="131">
        <f t="shared" si="62"/>
        <v>0.41639478568365007</v>
      </c>
      <c r="T269" s="151">
        <f t="shared" si="64"/>
        <v>0</v>
      </c>
      <c r="V269" s="12"/>
    </row>
    <row r="270" spans="1:22" x14ac:dyDescent="0.25">
      <c r="A270" s="50">
        <f>'A) Base RI'!A271</f>
        <v>5862</v>
      </c>
      <c r="B270" s="392" t="str">
        <f>'A) Base RI'!B271</f>
        <v>Tartegnin</v>
      </c>
      <c r="C270" s="2">
        <v>152979.72809473585</v>
      </c>
      <c r="D270" s="430">
        <v>65551.405820576809</v>
      </c>
      <c r="E270" s="2">
        <v>0</v>
      </c>
      <c r="F270" s="430">
        <v>0</v>
      </c>
      <c r="G270" s="2">
        <v>0</v>
      </c>
      <c r="H270" s="395">
        <f t="shared" si="63"/>
        <v>218531.13391531265</v>
      </c>
      <c r="I270" s="157">
        <v>8301.4215873015874</v>
      </c>
      <c r="J270" s="398">
        <f>'B) D RI'!U271</f>
        <v>10589.245656408681</v>
      </c>
      <c r="K270" s="66">
        <f t="shared" si="65"/>
        <v>26.324543527531787</v>
      </c>
      <c r="L270" s="34">
        <f>'B) D RI'!S271</f>
        <v>81</v>
      </c>
      <c r="M270" s="34">
        <f t="shared" si="58"/>
        <v>54.675456472468213</v>
      </c>
      <c r="N270" s="34">
        <f>'J) Plafonnement effort'!G269+'J) Plafonnement effort'!H269-'K) Plafonnement aide'!I269</f>
        <v>39.840541685133807</v>
      </c>
      <c r="O270" s="131">
        <f t="shared" si="59"/>
        <v>94.515998157602013</v>
      </c>
      <c r="P270" s="48">
        <f t="shared" si="60"/>
        <v>-2.2911815485216493</v>
      </c>
      <c r="Q270" s="58">
        <f t="shared" si="66"/>
        <v>-24261.884260726591</v>
      </c>
      <c r="R270" s="152">
        <f t="shared" si="61"/>
        <v>92.224816609080364</v>
      </c>
      <c r="S270" s="131">
        <f t="shared" si="62"/>
        <v>11.224816609080364</v>
      </c>
      <c r="T270" s="151">
        <f t="shared" si="64"/>
        <v>0</v>
      </c>
      <c r="V270" s="12"/>
    </row>
    <row r="271" spans="1:22" x14ac:dyDescent="0.25">
      <c r="A271" s="50">
        <f>'A) Base RI'!A272</f>
        <v>5863</v>
      </c>
      <c r="B271" s="392" t="str">
        <f>'A) Base RI'!B272</f>
        <v>Vinzel</v>
      </c>
      <c r="C271" s="2">
        <v>493247.55759369198</v>
      </c>
      <c r="D271" s="430">
        <v>410190.6209936036</v>
      </c>
      <c r="E271" s="2">
        <v>0</v>
      </c>
      <c r="F271" s="430">
        <v>0</v>
      </c>
      <c r="G271" s="2">
        <v>0</v>
      </c>
      <c r="H271" s="395">
        <f t="shared" si="63"/>
        <v>903438.17858729558</v>
      </c>
      <c r="I271" s="157">
        <v>24528.370999999999</v>
      </c>
      <c r="J271" s="398">
        <f>'B) D RI'!U272</f>
        <v>22777.907701128508</v>
      </c>
      <c r="K271" s="66">
        <f t="shared" si="65"/>
        <v>36.832375806256991</v>
      </c>
      <c r="L271" s="34">
        <f>'B) D RI'!S272</f>
        <v>67</v>
      </c>
      <c r="M271" s="34">
        <f t="shared" si="58"/>
        <v>30.167624193743009</v>
      </c>
      <c r="N271" s="34">
        <f>'J) Plafonnement effort'!G270+'J) Plafonnement effort'!H270-'K) Plafonnement aide'!I270</f>
        <v>25.881371270204315</v>
      </c>
      <c r="O271" s="131">
        <f t="shared" si="59"/>
        <v>56.048995463947321</v>
      </c>
      <c r="P271" s="48">
        <f t="shared" si="60"/>
        <v>0</v>
      </c>
      <c r="Q271" s="58">
        <f t="shared" si="66"/>
        <v>0</v>
      </c>
      <c r="R271" s="152">
        <f t="shared" si="61"/>
        <v>56.048995463947321</v>
      </c>
      <c r="S271" s="131">
        <f t="shared" si="62"/>
        <v>-10.951004536052679</v>
      </c>
      <c r="T271" s="151">
        <f t="shared" si="64"/>
        <v>0</v>
      </c>
      <c r="V271" s="12"/>
    </row>
    <row r="272" spans="1:22" x14ac:dyDescent="0.25">
      <c r="A272" s="50">
        <f>'A) Base RI'!A273</f>
        <v>5871</v>
      </c>
      <c r="B272" s="392" t="str">
        <f>'A) Base RI'!B273</f>
        <v>L'Abbaye</v>
      </c>
      <c r="C272" s="2">
        <v>1034165.7644592854</v>
      </c>
      <c r="D272" s="430">
        <v>285927.73699025065</v>
      </c>
      <c r="E272" s="2">
        <v>0</v>
      </c>
      <c r="F272" s="430">
        <v>0</v>
      </c>
      <c r="G272" s="2">
        <v>0</v>
      </c>
      <c r="H272" s="395">
        <f t="shared" si="63"/>
        <v>1320093.5014495361</v>
      </c>
      <c r="I272" s="157">
        <v>48996.378091415252</v>
      </c>
      <c r="J272" s="398">
        <f>'B) D RI'!U273</f>
        <v>46463.831419219103</v>
      </c>
      <c r="K272" s="66">
        <f t="shared" si="65"/>
        <v>26.942675211350615</v>
      </c>
      <c r="L272" s="34">
        <f>'B) D RI'!S273</f>
        <v>77.3</v>
      </c>
      <c r="M272" s="34">
        <f t="shared" si="58"/>
        <v>50.357324788649379</v>
      </c>
      <c r="N272" s="34">
        <f>'J) Plafonnement effort'!G271+'J) Plafonnement effort'!H271-'K) Plafonnement aide'!I271</f>
        <v>17.731711582008785</v>
      </c>
      <c r="O272" s="131">
        <f t="shared" si="59"/>
        <v>68.089036370658164</v>
      </c>
      <c r="P272" s="48">
        <f t="shared" si="60"/>
        <v>0</v>
      </c>
      <c r="Q272" s="58">
        <f t="shared" si="66"/>
        <v>0</v>
      </c>
      <c r="R272" s="152">
        <f t="shared" si="61"/>
        <v>68.089036370658164</v>
      </c>
      <c r="S272" s="131">
        <f t="shared" si="62"/>
        <v>-9.2109636293418333</v>
      </c>
      <c r="T272" s="151">
        <f t="shared" si="64"/>
        <v>0</v>
      </c>
      <c r="V272" s="12"/>
    </row>
    <row r="273" spans="1:22" x14ac:dyDescent="0.25">
      <c r="A273" s="50">
        <f>'A) Base RI'!A274</f>
        <v>5872</v>
      </c>
      <c r="B273" s="392" t="str">
        <f>'A) Base RI'!B274</f>
        <v>Le Chenit</v>
      </c>
      <c r="C273" s="2">
        <v>7799331.0608018357</v>
      </c>
      <c r="D273" s="430">
        <v>4156699.8785239644</v>
      </c>
      <c r="E273" s="2">
        <v>0</v>
      </c>
      <c r="F273" s="430">
        <v>0</v>
      </c>
      <c r="G273" s="2">
        <v>0</v>
      </c>
      <c r="H273" s="395">
        <f t="shared" si="63"/>
        <v>11956030.9393258</v>
      </c>
      <c r="I273" s="157">
        <v>315523.99059233442</v>
      </c>
      <c r="J273" s="398">
        <f>'B) D RI'!U274</f>
        <v>203474.88252883923</v>
      </c>
      <c r="K273" s="66">
        <f t="shared" si="65"/>
        <v>37.892620833302395</v>
      </c>
      <c r="L273" s="34">
        <f>'B) D RI'!S274</f>
        <v>69.56</v>
      </c>
      <c r="M273" s="34">
        <f t="shared" si="58"/>
        <v>31.667379166697607</v>
      </c>
      <c r="N273" s="34">
        <f>'J) Plafonnement effort'!G272+'J) Plafonnement effort'!H272-'K) Plafonnement aide'!I272</f>
        <v>26.676937454164637</v>
      </c>
      <c r="O273" s="131">
        <f t="shared" si="59"/>
        <v>58.344316620862244</v>
      </c>
      <c r="P273" s="48">
        <f t="shared" si="60"/>
        <v>0</v>
      </c>
      <c r="Q273" s="58">
        <f t="shared" si="66"/>
        <v>0</v>
      </c>
      <c r="R273" s="152">
        <f t="shared" si="61"/>
        <v>58.344316620862244</v>
      </c>
      <c r="S273" s="131">
        <f t="shared" si="62"/>
        <v>-11.215683379137758</v>
      </c>
      <c r="T273" s="151">
        <f t="shared" si="64"/>
        <v>0</v>
      </c>
      <c r="V273" s="12"/>
    </row>
    <row r="274" spans="1:22" x14ac:dyDescent="0.25">
      <c r="A274" s="50">
        <f>'A) Base RI'!A275</f>
        <v>5873</v>
      </c>
      <c r="B274" s="392" t="str">
        <f>'A) Base RI'!B275</f>
        <v>Le Lieu</v>
      </c>
      <c r="C274" s="2">
        <v>762813.13670527504</v>
      </c>
      <c r="D274" s="430">
        <v>338053.57680374285</v>
      </c>
      <c r="E274" s="2">
        <v>0</v>
      </c>
      <c r="F274" s="430">
        <v>0</v>
      </c>
      <c r="G274" s="2">
        <v>0</v>
      </c>
      <c r="H274" s="395">
        <f t="shared" si="63"/>
        <v>1100866.7135090178</v>
      </c>
      <c r="I274" s="157">
        <v>30587.067025641027</v>
      </c>
      <c r="J274" s="398">
        <f>'B) D RI'!U275</f>
        <v>32044.127943123549</v>
      </c>
      <c r="K274" s="66">
        <f t="shared" si="65"/>
        <v>35.991247954116204</v>
      </c>
      <c r="L274" s="34">
        <f>'B) D RI'!S275</f>
        <v>65</v>
      </c>
      <c r="M274" s="34">
        <f t="shared" si="58"/>
        <v>29.008752045883796</v>
      </c>
      <c r="N274" s="34">
        <f>'J) Plafonnement effort'!G273+'J) Plafonnement effort'!H273-'K) Plafonnement aide'!I273</f>
        <v>13.200634442532415</v>
      </c>
      <c r="O274" s="131">
        <f t="shared" si="59"/>
        <v>42.209386488416214</v>
      </c>
      <c r="P274" s="48">
        <f t="shared" si="60"/>
        <v>0</v>
      </c>
      <c r="Q274" s="58">
        <f t="shared" si="66"/>
        <v>0</v>
      </c>
      <c r="R274" s="152">
        <f t="shared" si="61"/>
        <v>42.209386488416214</v>
      </c>
      <c r="S274" s="131">
        <f t="shared" si="62"/>
        <v>-22.790613511583786</v>
      </c>
      <c r="T274" s="151">
        <f t="shared" si="64"/>
        <v>0</v>
      </c>
      <c r="V274" s="12"/>
    </row>
    <row r="275" spans="1:22" x14ac:dyDescent="0.25">
      <c r="A275" s="50">
        <f>'A) Base RI'!A276</f>
        <v>5881</v>
      </c>
      <c r="B275" s="392" t="str">
        <f>'A) Base RI'!B276</f>
        <v>Blonay</v>
      </c>
      <c r="C275" s="2">
        <v>6450144.7916750982</v>
      </c>
      <c r="D275" s="430">
        <v>3816656.1085553216</v>
      </c>
      <c r="E275" s="2">
        <v>0</v>
      </c>
      <c r="F275" s="430">
        <v>0</v>
      </c>
      <c r="G275" s="2">
        <v>0</v>
      </c>
      <c r="H275" s="395">
        <f t="shared" si="63"/>
        <v>10266800.900230419</v>
      </c>
      <c r="I275" s="157">
        <v>332407.86157142854</v>
      </c>
      <c r="J275" s="398">
        <f>'B) D RI'!U276</f>
        <v>337666.7615162601</v>
      </c>
      <c r="K275" s="66">
        <f t="shared" si="65"/>
        <v>30.886155494924317</v>
      </c>
      <c r="L275" s="34">
        <f>'B) D RI'!S276</f>
        <v>70</v>
      </c>
      <c r="M275" s="34">
        <f t="shared" si="58"/>
        <v>39.113844505075683</v>
      </c>
      <c r="N275" s="34">
        <f>'J) Plafonnement effort'!G274+'J) Plafonnement effort'!H274-'K) Plafonnement aide'!I274</f>
        <v>29.980961118872663</v>
      </c>
      <c r="O275" s="131">
        <f t="shared" si="59"/>
        <v>69.094805623948346</v>
      </c>
      <c r="P275" s="48">
        <f t="shared" si="60"/>
        <v>0</v>
      </c>
      <c r="Q275" s="58">
        <f t="shared" si="66"/>
        <v>0</v>
      </c>
      <c r="R275" s="152">
        <f t="shared" si="61"/>
        <v>69.094805623948346</v>
      </c>
      <c r="S275" s="131">
        <f t="shared" si="62"/>
        <v>-0.90519437605165365</v>
      </c>
      <c r="T275" s="151">
        <f t="shared" si="64"/>
        <v>0</v>
      </c>
      <c r="V275" s="12"/>
    </row>
    <row r="276" spans="1:22" x14ac:dyDescent="0.25">
      <c r="A276" s="50">
        <f>'A) Base RI'!A277</f>
        <v>5882</v>
      </c>
      <c r="B276" s="392" t="str">
        <f>'A) Base RI'!B277</f>
        <v>Chardonne</v>
      </c>
      <c r="C276" s="2">
        <v>2886903.4482290386</v>
      </c>
      <c r="D276" s="430">
        <v>2081737.8212478538</v>
      </c>
      <c r="E276" s="2">
        <v>0</v>
      </c>
      <c r="F276" s="430">
        <v>0</v>
      </c>
      <c r="G276" s="2">
        <v>0</v>
      </c>
      <c r="H276" s="395">
        <f t="shared" si="63"/>
        <v>4968641.2694768924</v>
      </c>
      <c r="I276" s="157">
        <v>151089.46617647054</v>
      </c>
      <c r="J276" s="398">
        <f>'B) D RI'!U277</f>
        <v>156481.45987298383</v>
      </c>
      <c r="K276" s="66">
        <f t="shared" si="65"/>
        <v>32.885424743466785</v>
      </c>
      <c r="L276" s="34">
        <f>'B) D RI'!S277</f>
        <v>68</v>
      </c>
      <c r="M276" s="34">
        <f t="shared" si="58"/>
        <v>35.114575256533215</v>
      </c>
      <c r="N276" s="34">
        <f>'J) Plafonnement effort'!G275+'J) Plafonnement effort'!H275-'K) Plafonnement aide'!I275</f>
        <v>39.218161656389853</v>
      </c>
      <c r="O276" s="131">
        <f t="shared" si="59"/>
        <v>74.332736912923068</v>
      </c>
      <c r="P276" s="48">
        <f t="shared" si="60"/>
        <v>0</v>
      </c>
      <c r="Q276" s="58">
        <f t="shared" si="66"/>
        <v>0</v>
      </c>
      <c r="R276" s="152">
        <f t="shared" si="61"/>
        <v>74.332736912923068</v>
      </c>
      <c r="S276" s="131">
        <f t="shared" si="62"/>
        <v>6.3327369129230675</v>
      </c>
      <c r="T276" s="151">
        <f t="shared" si="64"/>
        <v>0</v>
      </c>
      <c r="V276" s="12"/>
    </row>
    <row r="277" spans="1:22" x14ac:dyDescent="0.25">
      <c r="A277" s="50">
        <f>'A) Base RI'!A278</f>
        <v>5883</v>
      </c>
      <c r="B277" s="392" t="str">
        <f>'A) Base RI'!B278</f>
        <v>Corseaux</v>
      </c>
      <c r="C277" s="2">
        <v>3315775.4023358594</v>
      </c>
      <c r="D277" s="430">
        <v>2232356.3913859092</v>
      </c>
      <c r="E277" s="2">
        <v>0</v>
      </c>
      <c r="F277" s="430">
        <v>0</v>
      </c>
      <c r="G277" s="2">
        <v>0</v>
      </c>
      <c r="H277" s="395">
        <f t="shared" si="63"/>
        <v>5548131.793721769</v>
      </c>
      <c r="I277" s="157">
        <v>151117.63015625</v>
      </c>
      <c r="J277" s="398">
        <f>'B) D RI'!U278</f>
        <v>150144.54939318728</v>
      </c>
      <c r="K277" s="66">
        <f t="shared" si="65"/>
        <v>36.713994177815039</v>
      </c>
      <c r="L277" s="34">
        <f>'B) D RI'!S278</f>
        <v>69</v>
      </c>
      <c r="M277" s="34">
        <f t="shared" si="58"/>
        <v>32.286005822184961</v>
      </c>
      <c r="N277" s="34">
        <f>'J) Plafonnement effort'!G276+'J) Plafonnement effort'!H276-'K) Plafonnement aide'!I276</f>
        <v>40.349699938789122</v>
      </c>
      <c r="O277" s="131">
        <f t="shared" si="59"/>
        <v>72.635705760974076</v>
      </c>
      <c r="P277" s="48">
        <f t="shared" si="60"/>
        <v>0</v>
      </c>
      <c r="Q277" s="58">
        <f t="shared" si="66"/>
        <v>0</v>
      </c>
      <c r="R277" s="152">
        <f t="shared" si="61"/>
        <v>72.635705760974076</v>
      </c>
      <c r="S277" s="131">
        <f t="shared" si="62"/>
        <v>3.6357057609740764</v>
      </c>
      <c r="T277" s="151">
        <f t="shared" si="64"/>
        <v>0</v>
      </c>
      <c r="V277" s="12"/>
    </row>
    <row r="278" spans="1:22" x14ac:dyDescent="0.25">
      <c r="A278" s="50">
        <f>'A) Base RI'!A279</f>
        <v>5884</v>
      </c>
      <c r="B278" s="392" t="str">
        <f>'A) Base RI'!B279</f>
        <v>Corsier-sur-Vevey</v>
      </c>
      <c r="C278" s="2">
        <v>2097472.978034969</v>
      </c>
      <c r="D278" s="430">
        <v>546687.95382803469</v>
      </c>
      <c r="E278" s="2">
        <v>0</v>
      </c>
      <c r="F278" s="430">
        <v>0</v>
      </c>
      <c r="G278" s="2">
        <v>0</v>
      </c>
      <c r="H278" s="395">
        <f t="shared" si="63"/>
        <v>2644160.9318630034</v>
      </c>
      <c r="I278" s="157">
        <v>116440.6211111111</v>
      </c>
      <c r="J278" s="398">
        <f>'B) D RI'!U279</f>
        <v>120582.14380721933</v>
      </c>
      <c r="K278" s="66">
        <f t="shared" si="65"/>
        <v>22.708234520149684</v>
      </c>
      <c r="L278" s="34">
        <f>'B) D RI'!S279</f>
        <v>66</v>
      </c>
      <c r="M278" s="34">
        <f t="shared" si="58"/>
        <v>43.291765479850312</v>
      </c>
      <c r="N278" s="34">
        <f>'J) Plafonnement effort'!G277+'J) Plafonnement effort'!H277-'K) Plafonnement aide'!I277</f>
        <v>16.721110952275929</v>
      </c>
      <c r="O278" s="131">
        <f t="shared" si="59"/>
        <v>60.012876432126241</v>
      </c>
      <c r="P278" s="48">
        <f t="shared" si="60"/>
        <v>0</v>
      </c>
      <c r="Q278" s="58">
        <f t="shared" si="66"/>
        <v>0</v>
      </c>
      <c r="R278" s="152">
        <f t="shared" si="61"/>
        <v>60.012876432126241</v>
      </c>
      <c r="S278" s="131">
        <f t="shared" si="62"/>
        <v>-5.9871235678737591</v>
      </c>
      <c r="T278" s="151">
        <f t="shared" si="64"/>
        <v>0</v>
      </c>
      <c r="V278" s="12"/>
    </row>
    <row r="279" spans="1:22" x14ac:dyDescent="0.25">
      <c r="A279" s="50">
        <f>'A) Base RI'!A280</f>
        <v>5885</v>
      </c>
      <c r="B279" s="392" t="str">
        <f>'A) Base RI'!B280</f>
        <v>Jongny</v>
      </c>
      <c r="C279" s="2">
        <v>1453550.2369855621</v>
      </c>
      <c r="D279" s="430">
        <v>1272207.7493109079</v>
      </c>
      <c r="E279" s="2">
        <v>0</v>
      </c>
      <c r="F279" s="430">
        <v>0</v>
      </c>
      <c r="G279" s="2">
        <v>0</v>
      </c>
      <c r="H279" s="395">
        <f t="shared" si="63"/>
        <v>2725757.9862964703</v>
      </c>
      <c r="I279" s="157">
        <v>81843.123028169022</v>
      </c>
      <c r="J279" s="398">
        <f>'B) D RI'!U280</f>
        <v>92637.81830716609</v>
      </c>
      <c r="K279" s="66">
        <f t="shared" si="65"/>
        <v>33.30466733727048</v>
      </c>
      <c r="L279" s="34">
        <f>'B) D RI'!S280</f>
        <v>71</v>
      </c>
      <c r="M279" s="34">
        <f t="shared" si="58"/>
        <v>37.69533266272952</v>
      </c>
      <c r="N279" s="34">
        <f>'J) Plafonnement effort'!G278+'J) Plafonnement effort'!H278-'K) Plafonnement aide'!I278</f>
        <v>39.909809691603847</v>
      </c>
      <c r="O279" s="131">
        <f t="shared" si="59"/>
        <v>77.605142354333367</v>
      </c>
      <c r="P279" s="48">
        <f t="shared" si="60"/>
        <v>0</v>
      </c>
      <c r="Q279" s="58">
        <f t="shared" si="66"/>
        <v>0</v>
      </c>
      <c r="R279" s="152">
        <f t="shared" si="61"/>
        <v>77.605142354333367</v>
      </c>
      <c r="S279" s="131">
        <f t="shared" si="62"/>
        <v>6.6051423543333669</v>
      </c>
      <c r="T279" s="151">
        <f t="shared" si="64"/>
        <v>0</v>
      </c>
      <c r="V279" s="12"/>
    </row>
    <row r="280" spans="1:22" x14ac:dyDescent="0.25">
      <c r="A280" s="50">
        <f>'A) Base RI'!A281</f>
        <v>5886</v>
      </c>
      <c r="B280" s="392" t="str">
        <f>'A) Base RI'!B281</f>
        <v>Montreux</v>
      </c>
      <c r="C280" s="2">
        <v>24848167.552296158</v>
      </c>
      <c r="D280" s="430">
        <v>331298.11184677854</v>
      </c>
      <c r="E280" s="2">
        <v>0</v>
      </c>
      <c r="F280" s="430">
        <v>0</v>
      </c>
      <c r="G280" s="2">
        <v>0</v>
      </c>
      <c r="H280" s="395">
        <f t="shared" si="63"/>
        <v>25179465.664142936</v>
      </c>
      <c r="I280" s="157">
        <v>1175239.0178974359</v>
      </c>
      <c r="J280" s="398">
        <f>'B) D RI'!U281</f>
        <v>1120957.3291830304</v>
      </c>
      <c r="K280" s="66">
        <f t="shared" si="65"/>
        <v>21.424974222852402</v>
      </c>
      <c r="L280" s="34">
        <f>'B) D RI'!S281</f>
        <v>65</v>
      </c>
      <c r="M280" s="34">
        <f t="shared" si="58"/>
        <v>43.575025777147602</v>
      </c>
      <c r="N280" s="34">
        <f>'J) Plafonnement effort'!G279+'J) Plafonnement effort'!H279-'K) Plafonnement aide'!I279</f>
        <v>17.04552065193225</v>
      </c>
      <c r="O280" s="131">
        <f t="shared" si="59"/>
        <v>60.620546429079852</v>
      </c>
      <c r="P280" s="48">
        <f t="shared" si="60"/>
        <v>0</v>
      </c>
      <c r="Q280" s="58">
        <f t="shared" si="66"/>
        <v>0</v>
      </c>
      <c r="R280" s="152">
        <f t="shared" si="61"/>
        <v>60.620546429079852</v>
      </c>
      <c r="S280" s="131">
        <f t="shared" si="62"/>
        <v>-4.3794535709201483</v>
      </c>
      <c r="T280" s="151">
        <f t="shared" si="64"/>
        <v>0</v>
      </c>
      <c r="V280" s="12"/>
    </row>
    <row r="281" spans="1:22" x14ac:dyDescent="0.25">
      <c r="A281" s="50">
        <f>'A) Base RI'!A282</f>
        <v>5888</v>
      </c>
      <c r="B281" s="392" t="str">
        <f>'A) Base RI'!B282</f>
        <v>Saint-Légier-La Chiésaz</v>
      </c>
      <c r="C281" s="2">
        <v>5801847.0880207745</v>
      </c>
      <c r="D281" s="430">
        <v>3856010.5776456874</v>
      </c>
      <c r="E281" s="2">
        <v>0</v>
      </c>
      <c r="F281" s="430">
        <v>0</v>
      </c>
      <c r="G281" s="2">
        <v>0</v>
      </c>
      <c r="H281" s="395">
        <f t="shared" si="63"/>
        <v>9657857.665666461</v>
      </c>
      <c r="I281" s="157">
        <v>307135.62007462693</v>
      </c>
      <c r="J281" s="398">
        <f>'B) D RI'!U282</f>
        <v>291113.86411428853</v>
      </c>
      <c r="K281" s="66">
        <f t="shared" si="65"/>
        <v>31.444928671314067</v>
      </c>
      <c r="L281" s="34">
        <f>'B) D RI'!S282</f>
        <v>67</v>
      </c>
      <c r="M281" s="34">
        <f t="shared" si="58"/>
        <v>35.555071328685933</v>
      </c>
      <c r="N281" s="34">
        <f>'J) Plafonnement effort'!G280+'J) Plafonnement effort'!H280-'K) Plafonnement aide'!I280</f>
        <v>34.524654567955714</v>
      </c>
      <c r="O281" s="131">
        <f t="shared" si="59"/>
        <v>70.079725896641648</v>
      </c>
      <c r="P281" s="48">
        <f t="shared" si="60"/>
        <v>0</v>
      </c>
      <c r="Q281" s="58">
        <f t="shared" si="66"/>
        <v>0</v>
      </c>
      <c r="R281" s="152">
        <f t="shared" si="61"/>
        <v>70.079725896641648</v>
      </c>
      <c r="S281" s="131">
        <f t="shared" si="62"/>
        <v>3.0797258966416479</v>
      </c>
      <c r="T281" s="151">
        <f t="shared" si="64"/>
        <v>0</v>
      </c>
      <c r="V281" s="12"/>
    </row>
    <row r="282" spans="1:22" x14ac:dyDescent="0.25">
      <c r="A282" s="50">
        <f>'A) Base RI'!A283</f>
        <v>5889</v>
      </c>
      <c r="B282" s="392" t="str">
        <f>'A) Base RI'!B283</f>
        <v>La Tour-de-Peilz</v>
      </c>
      <c r="C282" s="2">
        <v>11513196.862748839</v>
      </c>
      <c r="D282" s="430">
        <v>5283265.8294313196</v>
      </c>
      <c r="E282" s="2">
        <v>0</v>
      </c>
      <c r="F282" s="430">
        <v>0</v>
      </c>
      <c r="G282" s="2">
        <v>0</v>
      </c>
      <c r="H282" s="395">
        <f t="shared" si="63"/>
        <v>16796462.692180157</v>
      </c>
      <c r="I282" s="157">
        <v>618611.02559895837</v>
      </c>
      <c r="J282" s="398">
        <f>'B) D RI'!U283</f>
        <v>674531.22490925156</v>
      </c>
      <c r="K282" s="66">
        <f t="shared" si="65"/>
        <v>27.151896744674573</v>
      </c>
      <c r="L282" s="34">
        <f>'B) D RI'!S283</f>
        <v>64</v>
      </c>
      <c r="M282" s="34">
        <f t="shared" si="58"/>
        <v>36.848103255325427</v>
      </c>
      <c r="N282" s="34">
        <f>'J) Plafonnement effort'!G281+'J) Plafonnement effort'!H281-'K) Plafonnement aide'!I281</f>
        <v>31.831764764638532</v>
      </c>
      <c r="O282" s="131">
        <f t="shared" si="59"/>
        <v>68.679868019963962</v>
      </c>
      <c r="P282" s="48">
        <f t="shared" si="60"/>
        <v>0</v>
      </c>
      <c r="Q282" s="58">
        <f t="shared" si="66"/>
        <v>0</v>
      </c>
      <c r="R282" s="152">
        <f t="shared" si="61"/>
        <v>68.679868019963962</v>
      </c>
      <c r="S282" s="131">
        <f t="shared" si="62"/>
        <v>4.679868019963962</v>
      </c>
      <c r="T282" s="151">
        <f t="shared" si="64"/>
        <v>0</v>
      </c>
      <c r="V282" s="12"/>
    </row>
    <row r="283" spans="1:22" x14ac:dyDescent="0.25">
      <c r="A283" s="50">
        <f>'A) Base RI'!A284</f>
        <v>5890</v>
      </c>
      <c r="B283" s="392" t="str">
        <f>'A) Base RI'!B284</f>
        <v>Vevey</v>
      </c>
      <c r="C283" s="2">
        <v>16078937.269525735</v>
      </c>
      <c r="D283" s="430">
        <v>2719410.5085091125</v>
      </c>
      <c r="E283" s="2">
        <v>0</v>
      </c>
      <c r="F283" s="430">
        <v>0</v>
      </c>
      <c r="G283" s="2">
        <v>0</v>
      </c>
      <c r="H283" s="395">
        <f t="shared" si="63"/>
        <v>18798347.778034847</v>
      </c>
      <c r="I283" s="157">
        <v>909212.90865296812</v>
      </c>
      <c r="J283" s="398">
        <f>'B) D RI'!U284</f>
        <v>953247.91463963222</v>
      </c>
      <c r="K283" s="66">
        <f t="shared" si="65"/>
        <v>20.675407926054724</v>
      </c>
      <c r="L283" s="34">
        <f>'B) D RI'!S284</f>
        <v>73</v>
      </c>
      <c r="M283" s="34">
        <f t="shared" si="58"/>
        <v>52.324592073945276</v>
      </c>
      <c r="N283" s="34">
        <f>'J) Plafonnement effort'!G282+'J) Plafonnement effort'!H282-'K) Plafonnement aide'!I282</f>
        <v>22.403694704463906</v>
      </c>
      <c r="O283" s="131">
        <f t="shared" si="59"/>
        <v>74.728286778409185</v>
      </c>
      <c r="P283" s="48">
        <f t="shared" si="60"/>
        <v>0</v>
      </c>
      <c r="Q283" s="58">
        <f t="shared" si="66"/>
        <v>0</v>
      </c>
      <c r="R283" s="152">
        <f t="shared" si="61"/>
        <v>74.728286778409185</v>
      </c>
      <c r="S283" s="131">
        <f t="shared" si="62"/>
        <v>1.7282867784091849</v>
      </c>
      <c r="T283" s="151">
        <f t="shared" si="64"/>
        <v>0</v>
      </c>
      <c r="V283" s="12"/>
    </row>
    <row r="284" spans="1:22" x14ac:dyDescent="0.25">
      <c r="A284" s="50">
        <f>'A) Base RI'!A285</f>
        <v>5891</v>
      </c>
      <c r="B284" s="392" t="str">
        <f>'A) Base RI'!B285</f>
        <v>Veytaux</v>
      </c>
      <c r="C284" s="2">
        <v>758273.68999530282</v>
      </c>
      <c r="D284" s="430">
        <v>659256.35636598372</v>
      </c>
      <c r="E284" s="2">
        <v>0</v>
      </c>
      <c r="F284" s="430">
        <v>0</v>
      </c>
      <c r="G284" s="2">
        <v>0</v>
      </c>
      <c r="H284" s="395">
        <f t="shared" si="63"/>
        <v>1417530.0463612867</v>
      </c>
      <c r="I284" s="157">
        <v>39510.481835748789</v>
      </c>
      <c r="J284" s="398">
        <f>'B) D RI'!U285</f>
        <v>35139.330604262883</v>
      </c>
      <c r="K284" s="66">
        <f t="shared" si="65"/>
        <v>35.877316107006216</v>
      </c>
      <c r="L284" s="34">
        <f>'B) D RI'!S285</f>
        <v>69</v>
      </c>
      <c r="M284" s="34">
        <f t="shared" si="58"/>
        <v>33.122683892993784</v>
      </c>
      <c r="N284" s="34">
        <f>'J) Plafonnement effort'!G283+'J) Plafonnement effort'!H283-'K) Plafonnement aide'!I283</f>
        <v>24.865692307920092</v>
      </c>
      <c r="O284" s="131">
        <f t="shared" si="59"/>
        <v>57.988376200913876</v>
      </c>
      <c r="P284" s="48">
        <f t="shared" si="60"/>
        <v>0</v>
      </c>
      <c r="Q284" s="58">
        <f t="shared" si="66"/>
        <v>0</v>
      </c>
      <c r="R284" s="152">
        <f t="shared" si="61"/>
        <v>57.988376200913876</v>
      </c>
      <c r="S284" s="131">
        <f t="shared" si="62"/>
        <v>-11.011623799086124</v>
      </c>
      <c r="T284" s="151">
        <f t="shared" si="64"/>
        <v>0</v>
      </c>
      <c r="V284" s="12"/>
    </row>
    <row r="285" spans="1:22" x14ac:dyDescent="0.25">
      <c r="A285" s="50">
        <f>'A) Base RI'!A286</f>
        <v>5902</v>
      </c>
      <c r="B285" s="392" t="str">
        <f>'A) Base RI'!B286</f>
        <v>Belmont-sur-Yverdon</v>
      </c>
      <c r="C285" s="2">
        <v>147717.07002548085</v>
      </c>
      <c r="D285" s="430">
        <v>-34282.019786237244</v>
      </c>
      <c r="E285" s="2">
        <v>0</v>
      </c>
      <c r="F285" s="430">
        <v>0</v>
      </c>
      <c r="G285" s="2">
        <v>0</v>
      </c>
      <c r="H285" s="395">
        <f t="shared" si="63"/>
        <v>113435.0502392436</v>
      </c>
      <c r="I285" s="157">
        <v>9227.1448684210518</v>
      </c>
      <c r="J285" s="398">
        <f>'B) D RI'!U286</f>
        <v>9890.2176826722334</v>
      </c>
      <c r="K285" s="66">
        <f t="shared" si="65"/>
        <v>12.293624068639403</v>
      </c>
      <c r="L285" s="34">
        <f>'B) D RI'!S286</f>
        <v>76</v>
      </c>
      <c r="M285" s="34">
        <f t="shared" si="58"/>
        <v>63.706375931360597</v>
      </c>
      <c r="N285" s="34">
        <f>'J) Plafonnement effort'!G284+'J) Plafonnement effort'!H284-'K) Plafonnement aide'!I284</f>
        <v>-18.942966139517004</v>
      </c>
      <c r="O285" s="131">
        <f t="shared" si="59"/>
        <v>44.763409791843593</v>
      </c>
      <c r="P285" s="48">
        <f t="shared" si="60"/>
        <v>0</v>
      </c>
      <c r="Q285" s="58">
        <f t="shared" si="66"/>
        <v>0</v>
      </c>
      <c r="R285" s="152">
        <f t="shared" si="61"/>
        <v>44.763409791843593</v>
      </c>
      <c r="S285" s="131">
        <f t="shared" si="62"/>
        <v>-31.236590208156407</v>
      </c>
      <c r="T285" s="151">
        <f t="shared" si="64"/>
        <v>0</v>
      </c>
      <c r="V285" s="12"/>
    </row>
    <row r="286" spans="1:22" x14ac:dyDescent="0.25">
      <c r="A286" s="50">
        <f>'A) Base RI'!A287</f>
        <v>5903</v>
      </c>
      <c r="B286" s="392" t="str">
        <f>'A) Base RI'!B287</f>
        <v>Bioley-Magnoux</v>
      </c>
      <c r="C286" s="2">
        <v>102956.83434367608</v>
      </c>
      <c r="D286" s="430">
        <v>-8259.9575734460959</v>
      </c>
      <c r="E286" s="2">
        <v>0</v>
      </c>
      <c r="F286" s="430">
        <v>0</v>
      </c>
      <c r="G286" s="2">
        <v>0</v>
      </c>
      <c r="H286" s="395">
        <f t="shared" si="63"/>
        <v>94696.876770229981</v>
      </c>
      <c r="I286" s="157">
        <v>5953.911158301159</v>
      </c>
      <c r="J286" s="398">
        <f>'B) D RI'!U287</f>
        <v>5925.8519470372794</v>
      </c>
      <c r="K286" s="66">
        <f t="shared" si="65"/>
        <v>15.904986529434549</v>
      </c>
      <c r="L286" s="34">
        <f>'B) D RI'!S287</f>
        <v>74</v>
      </c>
      <c r="M286" s="34">
        <f t="shared" si="58"/>
        <v>58.095013470565448</v>
      </c>
      <c r="N286" s="34">
        <f>'J) Plafonnement effort'!G285+'J) Plafonnement effort'!H285-'K) Plafonnement aide'!I285</f>
        <v>-31.529922528557474</v>
      </c>
      <c r="O286" s="131">
        <f t="shared" si="59"/>
        <v>26.565090942007973</v>
      </c>
      <c r="P286" s="48">
        <f t="shared" si="60"/>
        <v>0</v>
      </c>
      <c r="Q286" s="58">
        <f t="shared" si="66"/>
        <v>0</v>
      </c>
      <c r="R286" s="152">
        <f t="shared" si="61"/>
        <v>26.565090942007973</v>
      </c>
      <c r="S286" s="131">
        <f t="shared" si="62"/>
        <v>-47.43490905799203</v>
      </c>
      <c r="T286" s="151">
        <f t="shared" si="64"/>
        <v>0</v>
      </c>
      <c r="V286" s="12"/>
    </row>
    <row r="287" spans="1:22" x14ac:dyDescent="0.25">
      <c r="A287" s="50">
        <f>'A) Base RI'!A288</f>
        <v>5904</v>
      </c>
      <c r="B287" s="392" t="str">
        <f>'A) Base RI'!B288</f>
        <v>Chamblon</v>
      </c>
      <c r="C287" s="2">
        <v>380278.40913082188</v>
      </c>
      <c r="D287" s="430">
        <v>343618.7766549791</v>
      </c>
      <c r="E287" s="2">
        <v>0</v>
      </c>
      <c r="F287" s="430">
        <v>0</v>
      </c>
      <c r="G287" s="2">
        <v>0</v>
      </c>
      <c r="H287" s="395">
        <f t="shared" si="63"/>
        <v>723897.18578580092</v>
      </c>
      <c r="I287" s="157">
        <v>22914.009848484849</v>
      </c>
      <c r="J287" s="398">
        <f>'B) D RI'!U288</f>
        <v>21650.618671075306</v>
      </c>
      <c r="K287" s="66">
        <f t="shared" si="65"/>
        <v>31.591903406363745</v>
      </c>
      <c r="L287" s="34">
        <f>'B) D RI'!S288</f>
        <v>66</v>
      </c>
      <c r="M287" s="34">
        <f t="shared" si="58"/>
        <v>34.408096593636259</v>
      </c>
      <c r="N287" s="34">
        <f>'J) Plafonnement effort'!G286+'J) Plafonnement effort'!H286-'K) Plafonnement aide'!I286</f>
        <v>33.11162577426893</v>
      </c>
      <c r="O287" s="131">
        <f t="shared" si="59"/>
        <v>67.519722367905189</v>
      </c>
      <c r="P287" s="48">
        <f t="shared" si="60"/>
        <v>0</v>
      </c>
      <c r="Q287" s="58">
        <f t="shared" si="66"/>
        <v>0</v>
      </c>
      <c r="R287" s="152">
        <f t="shared" si="61"/>
        <v>67.519722367905189</v>
      </c>
      <c r="S287" s="131">
        <f t="shared" si="62"/>
        <v>1.5197223679051888</v>
      </c>
      <c r="T287" s="151">
        <f t="shared" si="64"/>
        <v>0</v>
      </c>
      <c r="V287" s="12"/>
    </row>
    <row r="288" spans="1:22" x14ac:dyDescent="0.25">
      <c r="A288" s="50">
        <f>'A) Base RI'!A289</f>
        <v>5905</v>
      </c>
      <c r="B288" s="392" t="str">
        <f>'A) Base RI'!B289</f>
        <v>Champvent</v>
      </c>
      <c r="C288" s="2">
        <v>450986.14798039681</v>
      </c>
      <c r="D288" s="430">
        <v>160439.85484848008</v>
      </c>
      <c r="E288" s="2">
        <v>0</v>
      </c>
      <c r="F288" s="430">
        <v>0</v>
      </c>
      <c r="G288" s="2">
        <v>0</v>
      </c>
      <c r="H288" s="395">
        <f t="shared" si="63"/>
        <v>611426.00282887695</v>
      </c>
      <c r="I288" s="157">
        <v>21038.740140845071</v>
      </c>
      <c r="J288" s="398">
        <f>'B) D RI'!U289</f>
        <v>22161.114023042239</v>
      </c>
      <c r="K288" s="66">
        <f t="shared" si="65"/>
        <v>29.061911442208515</v>
      </c>
      <c r="L288" s="34">
        <f>'B) D RI'!S289</f>
        <v>71</v>
      </c>
      <c r="M288" s="34">
        <f t="shared" si="58"/>
        <v>41.938088557791488</v>
      </c>
      <c r="N288" s="34">
        <f>'J) Plafonnement effort'!G287+'J) Plafonnement effort'!H287-'K) Plafonnement aide'!I287</f>
        <v>23.850302143486765</v>
      </c>
      <c r="O288" s="131">
        <f t="shared" si="59"/>
        <v>65.788390701278246</v>
      </c>
      <c r="P288" s="48">
        <f t="shared" si="60"/>
        <v>0</v>
      </c>
      <c r="Q288" s="58">
        <f t="shared" si="66"/>
        <v>0</v>
      </c>
      <c r="R288" s="152">
        <f t="shared" si="61"/>
        <v>65.788390701278246</v>
      </c>
      <c r="S288" s="131">
        <f t="shared" si="62"/>
        <v>-5.2116092987217542</v>
      </c>
      <c r="T288" s="151">
        <f t="shared" si="64"/>
        <v>0</v>
      </c>
      <c r="V288" s="12"/>
    </row>
    <row r="289" spans="1:22" x14ac:dyDescent="0.25">
      <c r="A289" s="50">
        <f>'A) Base RI'!A290</f>
        <v>5907</v>
      </c>
      <c r="B289" s="392" t="str">
        <f>'A) Base RI'!B290</f>
        <v>Chavannes-le-Chêne</v>
      </c>
      <c r="C289" s="2">
        <v>160554.08726606407</v>
      </c>
      <c r="D289" s="430">
        <v>20464.595668709022</v>
      </c>
      <c r="E289" s="2">
        <v>0</v>
      </c>
      <c r="F289" s="430">
        <v>0</v>
      </c>
      <c r="G289" s="2">
        <v>0</v>
      </c>
      <c r="H289" s="395">
        <f t="shared" si="63"/>
        <v>181018.6829347731</v>
      </c>
      <c r="I289" s="157">
        <v>8819.3566666666684</v>
      </c>
      <c r="J289" s="398">
        <f>'B) D RI'!U290</f>
        <v>8634.8729280902389</v>
      </c>
      <c r="K289" s="66">
        <f t="shared" si="65"/>
        <v>20.525157307555659</v>
      </c>
      <c r="L289" s="34">
        <f>'B) D RI'!S290</f>
        <v>78</v>
      </c>
      <c r="M289" s="34">
        <f t="shared" si="58"/>
        <v>57.474842692444341</v>
      </c>
      <c r="N289" s="34">
        <f>'J) Plafonnement effort'!G288+'J) Plafonnement effort'!H288-'K) Plafonnement aide'!I288</f>
        <v>9.249811374541931</v>
      </c>
      <c r="O289" s="131">
        <f t="shared" si="59"/>
        <v>66.724654066986275</v>
      </c>
      <c r="P289" s="48">
        <f t="shared" si="60"/>
        <v>0</v>
      </c>
      <c r="Q289" s="58">
        <f t="shared" si="66"/>
        <v>0</v>
      </c>
      <c r="R289" s="152">
        <f t="shared" si="61"/>
        <v>66.724654066986275</v>
      </c>
      <c r="S289" s="131">
        <f t="shared" si="62"/>
        <v>-11.275345933013725</v>
      </c>
      <c r="T289" s="151">
        <f t="shared" si="64"/>
        <v>0</v>
      </c>
      <c r="V289" s="12"/>
    </row>
    <row r="290" spans="1:22" x14ac:dyDescent="0.25">
      <c r="A290" s="50">
        <f>'A) Base RI'!A291</f>
        <v>5908</v>
      </c>
      <c r="B290" s="392" t="str">
        <f>'A) Base RI'!B291</f>
        <v>Chêne-Pâquier</v>
      </c>
      <c r="C290" s="2">
        <v>50051.955513714995</v>
      </c>
      <c r="D290" s="430">
        <v>-44301.996743948679</v>
      </c>
      <c r="E290" s="2">
        <v>0</v>
      </c>
      <c r="F290" s="430">
        <v>0</v>
      </c>
      <c r="G290" s="2">
        <v>0</v>
      </c>
      <c r="H290" s="395">
        <f t="shared" si="63"/>
        <v>5749.9587697663155</v>
      </c>
      <c r="I290" s="157">
        <v>2915.1287341772154</v>
      </c>
      <c r="J290" s="398">
        <f>'B) D RI'!U291</f>
        <v>2752.8487805406176</v>
      </c>
      <c r="K290" s="66">
        <f t="shared" si="65"/>
        <v>1.972454493125231</v>
      </c>
      <c r="L290" s="34">
        <f>'B) D RI'!S291</f>
        <v>79</v>
      </c>
      <c r="M290" s="34">
        <f t="shared" si="58"/>
        <v>77.027545506874773</v>
      </c>
      <c r="N290" s="34">
        <f>'J) Plafonnement effort'!G289+'J) Plafonnement effort'!H289-'K) Plafonnement aide'!I289</f>
        <v>-14.616502334205729</v>
      </c>
      <c r="O290" s="131">
        <f t="shared" si="59"/>
        <v>62.411043172669046</v>
      </c>
      <c r="P290" s="48">
        <f t="shared" si="60"/>
        <v>0</v>
      </c>
      <c r="Q290" s="58">
        <f t="shared" si="66"/>
        <v>0</v>
      </c>
      <c r="R290" s="152">
        <f t="shared" si="61"/>
        <v>62.411043172669046</v>
      </c>
      <c r="S290" s="131">
        <f t="shared" si="62"/>
        <v>-16.588956827330954</v>
      </c>
      <c r="T290" s="151">
        <f t="shared" si="64"/>
        <v>0</v>
      </c>
      <c r="V290" s="12"/>
    </row>
    <row r="291" spans="1:22" x14ac:dyDescent="0.25">
      <c r="A291" s="50">
        <f>'A) Base RI'!A292</f>
        <v>5909</v>
      </c>
      <c r="B291" s="392" t="str">
        <f>'A) Base RI'!B292</f>
        <v>Cheseaux-Noréaz</v>
      </c>
      <c r="C291" s="2">
        <v>426123.12311014527</v>
      </c>
      <c r="D291" s="430">
        <v>290632.55480113323</v>
      </c>
      <c r="E291" s="2">
        <v>0</v>
      </c>
      <c r="F291" s="430">
        <v>0</v>
      </c>
      <c r="G291" s="2">
        <v>0</v>
      </c>
      <c r="H291" s="395">
        <f t="shared" si="63"/>
        <v>716755.67791127856</v>
      </c>
      <c r="I291" s="157">
        <v>24771.110857142852</v>
      </c>
      <c r="J291" s="398">
        <f>'B) D RI'!U292</f>
        <v>27860.638922764225</v>
      </c>
      <c r="K291" s="66">
        <f t="shared" si="65"/>
        <v>28.935144735529658</v>
      </c>
      <c r="L291" s="34">
        <f>'B) D RI'!S292</f>
        <v>70</v>
      </c>
      <c r="M291" s="34">
        <f t="shared" si="58"/>
        <v>41.064855264470339</v>
      </c>
      <c r="N291" s="34">
        <f>'J) Plafonnement effort'!G290+'J) Plafonnement effort'!H290-'K) Plafonnement aide'!I290</f>
        <v>30.444958486308565</v>
      </c>
      <c r="O291" s="131">
        <f t="shared" si="59"/>
        <v>71.509813750778903</v>
      </c>
      <c r="P291" s="48">
        <f t="shared" si="60"/>
        <v>0</v>
      </c>
      <c r="Q291" s="58">
        <f t="shared" si="66"/>
        <v>0</v>
      </c>
      <c r="R291" s="152">
        <f t="shared" si="61"/>
        <v>71.509813750778903</v>
      </c>
      <c r="S291" s="131">
        <f t="shared" si="62"/>
        <v>1.5098137507789033</v>
      </c>
      <c r="T291" s="151">
        <f t="shared" si="64"/>
        <v>0</v>
      </c>
      <c r="V291" s="12"/>
    </row>
    <row r="292" spans="1:22" x14ac:dyDescent="0.25">
      <c r="A292" s="50">
        <f>'A) Base RI'!A293</f>
        <v>5910</v>
      </c>
      <c r="B292" s="392" t="str">
        <f>'A) Base RI'!B293</f>
        <v>Cronay</v>
      </c>
      <c r="C292" s="2">
        <v>171421.40399533397</v>
      </c>
      <c r="D292" s="430">
        <v>-24787.38143435918</v>
      </c>
      <c r="E292" s="2">
        <v>0</v>
      </c>
      <c r="F292" s="430">
        <v>0</v>
      </c>
      <c r="G292" s="2">
        <v>0</v>
      </c>
      <c r="H292" s="395">
        <f t="shared" si="63"/>
        <v>146634.02256097479</v>
      </c>
      <c r="I292" s="157">
        <v>10097.267848101266</v>
      </c>
      <c r="J292" s="398">
        <f>'B) D RI'!U293</f>
        <v>10082.92355515589</v>
      </c>
      <c r="K292" s="66">
        <f t="shared" si="65"/>
        <v>14.522148443209662</v>
      </c>
      <c r="L292" s="34">
        <f>'B) D RI'!S293</f>
        <v>79</v>
      </c>
      <c r="M292" s="34">
        <f t="shared" ref="M292:M314" si="67">L292-K292</f>
        <v>64.477851556790341</v>
      </c>
      <c r="N292" s="34">
        <f>'J) Plafonnement effort'!G291+'J) Plafonnement effort'!H291-'K) Plafonnement aide'!I291</f>
        <v>4.7179900908838235</v>
      </c>
      <c r="O292" s="131">
        <f t="shared" si="59"/>
        <v>69.195841647674172</v>
      </c>
      <c r="P292" s="48">
        <f t="shared" si="60"/>
        <v>0</v>
      </c>
      <c r="Q292" s="58">
        <f t="shared" si="66"/>
        <v>0</v>
      </c>
      <c r="R292" s="152">
        <f t="shared" si="61"/>
        <v>69.195841647674172</v>
      </c>
      <c r="S292" s="131">
        <f t="shared" si="62"/>
        <v>-9.8041583523258282</v>
      </c>
      <c r="T292" s="151">
        <f t="shared" si="64"/>
        <v>0</v>
      </c>
      <c r="V292" s="12"/>
    </row>
    <row r="293" spans="1:22" x14ac:dyDescent="0.25">
      <c r="A293" s="50">
        <f>'A) Base RI'!A294</f>
        <v>5911</v>
      </c>
      <c r="B293" s="392" t="str">
        <f>'A) Base RI'!B294</f>
        <v>Cuarny</v>
      </c>
      <c r="C293" s="2">
        <v>118072.83625065189</v>
      </c>
      <c r="D293" s="430">
        <v>47637.282376974283</v>
      </c>
      <c r="E293" s="2">
        <v>0</v>
      </c>
      <c r="F293" s="430">
        <v>0</v>
      </c>
      <c r="G293" s="2">
        <v>0</v>
      </c>
      <c r="H293" s="395">
        <f t="shared" si="63"/>
        <v>165710.11862762616</v>
      </c>
      <c r="I293" s="157">
        <v>7741.5774683544305</v>
      </c>
      <c r="J293" s="398">
        <f>'B) D RI'!U294</f>
        <v>7082.7432735873799</v>
      </c>
      <c r="K293" s="66">
        <f t="shared" si="65"/>
        <v>21.40521351171726</v>
      </c>
      <c r="L293" s="34">
        <f>'B) D RI'!S294</f>
        <v>79</v>
      </c>
      <c r="M293" s="34">
        <f t="shared" si="67"/>
        <v>57.594786488282736</v>
      </c>
      <c r="N293" s="34">
        <f>'J) Plafonnement effort'!G292+'J) Plafonnement effort'!H292-'K) Plafonnement aide'!I292</f>
        <v>15.992834858162366</v>
      </c>
      <c r="O293" s="131">
        <f t="shared" si="59"/>
        <v>73.587621346445104</v>
      </c>
      <c r="P293" s="48">
        <f t="shared" si="60"/>
        <v>0</v>
      </c>
      <c r="Q293" s="58">
        <f t="shared" si="66"/>
        <v>0</v>
      </c>
      <c r="R293" s="152">
        <f t="shared" si="61"/>
        <v>73.587621346445104</v>
      </c>
      <c r="S293" s="131">
        <f t="shared" si="62"/>
        <v>-5.4123786535548959</v>
      </c>
      <c r="T293" s="151">
        <f t="shared" si="64"/>
        <v>0</v>
      </c>
      <c r="V293" s="12"/>
    </row>
    <row r="294" spans="1:22" x14ac:dyDescent="0.25">
      <c r="A294" s="50">
        <f>'A) Base RI'!A295</f>
        <v>5912</v>
      </c>
      <c r="B294" s="392" t="str">
        <f>'A) Base RI'!B295</f>
        <v>Démoret</v>
      </c>
      <c r="C294" s="2">
        <v>46761.200248867572</v>
      </c>
      <c r="D294" s="430">
        <v>-37594.104892064242</v>
      </c>
      <c r="E294" s="2">
        <v>0</v>
      </c>
      <c r="F294" s="430">
        <v>0</v>
      </c>
      <c r="G294" s="2">
        <v>0</v>
      </c>
      <c r="H294" s="395">
        <f t="shared" si="63"/>
        <v>9167.0953568033292</v>
      </c>
      <c r="I294" s="157">
        <v>2761.8208641975311</v>
      </c>
      <c r="J294" s="398">
        <f>'B) D RI'!U295</f>
        <v>3186.2414803898018</v>
      </c>
      <c r="K294" s="66">
        <f t="shared" si="65"/>
        <v>3.3192215598193409</v>
      </c>
      <c r="L294" s="34">
        <f>'B) D RI'!S295</f>
        <v>81</v>
      </c>
      <c r="M294" s="34">
        <f t="shared" si="67"/>
        <v>77.68077844018066</v>
      </c>
      <c r="N294" s="34">
        <f>'J) Plafonnement effort'!G293+'J) Plafonnement effort'!H293-'K) Plafonnement aide'!I293</f>
        <v>-0.4303242532928655</v>
      </c>
      <c r="O294" s="131">
        <f t="shared" si="59"/>
        <v>77.250454186887794</v>
      </c>
      <c r="P294" s="48">
        <f t="shared" si="60"/>
        <v>0</v>
      </c>
      <c r="Q294" s="58">
        <f t="shared" si="66"/>
        <v>0</v>
      </c>
      <c r="R294" s="152">
        <f t="shared" si="61"/>
        <v>77.250454186887794</v>
      </c>
      <c r="S294" s="131">
        <f t="shared" si="62"/>
        <v>-3.7495458131122064</v>
      </c>
      <c r="T294" s="151">
        <f t="shared" si="64"/>
        <v>0</v>
      </c>
      <c r="V294" s="12"/>
    </row>
    <row r="295" spans="1:22" x14ac:dyDescent="0.25">
      <c r="A295" s="50">
        <f>'A) Base RI'!A296</f>
        <v>5913</v>
      </c>
      <c r="B295" s="392" t="str">
        <f>'A) Base RI'!B296</f>
        <v>Donneloye</v>
      </c>
      <c r="C295" s="2">
        <v>383711.7302325879</v>
      </c>
      <c r="D295" s="430">
        <v>15277.162996407016</v>
      </c>
      <c r="E295" s="2">
        <v>0</v>
      </c>
      <c r="F295" s="430">
        <v>0</v>
      </c>
      <c r="G295" s="2">
        <v>0</v>
      </c>
      <c r="H295" s="395">
        <f t="shared" si="63"/>
        <v>398988.89322899492</v>
      </c>
      <c r="I295" s="157">
        <v>21023.999589041094</v>
      </c>
      <c r="J295" s="398">
        <f>'B) D RI'!U296</f>
        <v>20035.3963318641</v>
      </c>
      <c r="K295" s="66">
        <f t="shared" si="65"/>
        <v>18.977782583147054</v>
      </c>
      <c r="L295" s="34">
        <f>'B) D RI'!S296</f>
        <v>73</v>
      </c>
      <c r="M295" s="34">
        <f t="shared" si="67"/>
        <v>54.022217416852946</v>
      </c>
      <c r="N295" s="34">
        <f>'J) Plafonnement effort'!G294+'J) Plafonnement effort'!H294-'K) Plafonnement aide'!I294</f>
        <v>8.8850970063368937</v>
      </c>
      <c r="O295" s="131">
        <f t="shared" si="59"/>
        <v>62.907314423189838</v>
      </c>
      <c r="P295" s="48">
        <f t="shared" si="60"/>
        <v>0</v>
      </c>
      <c r="Q295" s="58">
        <f t="shared" si="66"/>
        <v>0</v>
      </c>
      <c r="R295" s="152">
        <f t="shared" si="61"/>
        <v>62.907314423189838</v>
      </c>
      <c r="S295" s="131">
        <f t="shared" si="62"/>
        <v>-10.092685576810162</v>
      </c>
      <c r="T295" s="151">
        <f t="shared" si="64"/>
        <v>0</v>
      </c>
      <c r="V295" s="12"/>
    </row>
    <row r="296" spans="1:22" x14ac:dyDescent="0.25">
      <c r="A296" s="50">
        <f>'A) Base RI'!A297</f>
        <v>5914</v>
      </c>
      <c r="B296" s="392" t="str">
        <f>'A) Base RI'!B297</f>
        <v>Ependes</v>
      </c>
      <c r="C296" s="2">
        <v>140681.74586742613</v>
      </c>
      <c r="D296" s="430">
        <v>-25773.430811879603</v>
      </c>
      <c r="E296" s="2">
        <v>0</v>
      </c>
      <c r="F296" s="430">
        <v>0</v>
      </c>
      <c r="G296" s="2">
        <v>0</v>
      </c>
      <c r="H296" s="395">
        <f t="shared" si="63"/>
        <v>114908.31505554653</v>
      </c>
      <c r="I296" s="157">
        <v>8838.0616000000009</v>
      </c>
      <c r="J296" s="398">
        <f>'B) D RI'!U297</f>
        <v>10170.223624242424</v>
      </c>
      <c r="K296" s="66">
        <f t="shared" si="65"/>
        <v>13.001529097234004</v>
      </c>
      <c r="L296" s="34">
        <f>'B) D RI'!S297</f>
        <v>75</v>
      </c>
      <c r="M296" s="34">
        <f t="shared" si="67"/>
        <v>61.998470902765995</v>
      </c>
      <c r="N296" s="34">
        <f>'J) Plafonnement effort'!G295+'J) Plafonnement effort'!H295-'K) Plafonnement aide'!I295</f>
        <v>12.975148988553105</v>
      </c>
      <c r="O296" s="131">
        <f t="shared" si="59"/>
        <v>74.973619891319103</v>
      </c>
      <c r="P296" s="48">
        <f t="shared" si="60"/>
        <v>0</v>
      </c>
      <c r="Q296" s="58">
        <f t="shared" si="66"/>
        <v>0</v>
      </c>
      <c r="R296" s="152">
        <f t="shared" si="61"/>
        <v>74.973619891319103</v>
      </c>
      <c r="S296" s="131">
        <f t="shared" si="62"/>
        <v>-2.6380108680896797E-2</v>
      </c>
      <c r="T296" s="151">
        <f t="shared" si="64"/>
        <v>0</v>
      </c>
      <c r="V296" s="12"/>
    </row>
    <row r="297" spans="1:22" x14ac:dyDescent="0.25">
      <c r="A297" s="50">
        <f>'A) Base RI'!A298</f>
        <v>5919</v>
      </c>
      <c r="B297" s="392" t="str">
        <f>'A) Base RI'!B298</f>
        <v>Mathod</v>
      </c>
      <c r="C297" s="2">
        <v>340863.38918798167</v>
      </c>
      <c r="D297" s="430">
        <v>18166.872552938294</v>
      </c>
      <c r="E297" s="2">
        <v>0</v>
      </c>
      <c r="F297" s="430">
        <v>0</v>
      </c>
      <c r="G297" s="2">
        <v>0</v>
      </c>
      <c r="H297" s="395">
        <f t="shared" si="63"/>
        <v>359030.26174091996</v>
      </c>
      <c r="I297" s="157">
        <v>16883.878828828827</v>
      </c>
      <c r="J297" s="398">
        <f>'B) D RI'!U298</f>
        <v>15960.347228765168</v>
      </c>
      <c r="K297" s="66">
        <f t="shared" si="65"/>
        <v>21.26467889167057</v>
      </c>
      <c r="L297" s="34">
        <f>'B) D RI'!S298</f>
        <v>72</v>
      </c>
      <c r="M297" s="34">
        <f t="shared" si="67"/>
        <v>50.73532110832943</v>
      </c>
      <c r="N297" s="34">
        <f>'J) Plafonnement effort'!G296+'J) Plafonnement effort'!H296-'K) Plafonnement aide'!I296</f>
        <v>0.29578714945752438</v>
      </c>
      <c r="O297" s="131">
        <f t="shared" si="59"/>
        <v>51.031108257786954</v>
      </c>
      <c r="P297" s="48">
        <f t="shared" si="60"/>
        <v>0</v>
      </c>
      <c r="Q297" s="58">
        <f t="shared" si="66"/>
        <v>0</v>
      </c>
      <c r="R297" s="152">
        <f t="shared" si="61"/>
        <v>51.031108257786954</v>
      </c>
      <c r="S297" s="131">
        <f t="shared" si="62"/>
        <v>-20.968891742213046</v>
      </c>
      <c r="T297" s="151">
        <f t="shared" si="64"/>
        <v>0</v>
      </c>
      <c r="V297" s="12"/>
    </row>
    <row r="298" spans="1:22" x14ac:dyDescent="0.25">
      <c r="A298" s="50">
        <f>'A) Base RI'!A299</f>
        <v>5921</v>
      </c>
      <c r="B298" s="392" t="str">
        <f>'A) Base RI'!B299</f>
        <v>Molondin</v>
      </c>
      <c r="C298" s="2">
        <v>101000.90861773916</v>
      </c>
      <c r="D298" s="430">
        <v>-31779.850589491005</v>
      </c>
      <c r="E298" s="2">
        <v>0</v>
      </c>
      <c r="F298" s="430">
        <v>0</v>
      </c>
      <c r="G298" s="2">
        <v>0</v>
      </c>
      <c r="H298" s="395">
        <f t="shared" si="63"/>
        <v>69221.058028248153</v>
      </c>
      <c r="I298" s="157">
        <v>5518.0840740740732</v>
      </c>
      <c r="J298" s="398">
        <f>'B) D RI'!U299</f>
        <v>5323.6574375620139</v>
      </c>
      <c r="K298" s="66">
        <f t="shared" si="65"/>
        <v>12.544400755594387</v>
      </c>
      <c r="L298" s="34">
        <f>'B) D RI'!S299</f>
        <v>81</v>
      </c>
      <c r="M298" s="34">
        <f t="shared" si="67"/>
        <v>68.455599244405619</v>
      </c>
      <c r="N298" s="34">
        <f>'J) Plafonnement effort'!G297+'J) Plafonnement effort'!H297-'K) Plafonnement aide'!I297</f>
        <v>-9.8474120947491528E-3</v>
      </c>
      <c r="O298" s="131">
        <f t="shared" si="59"/>
        <v>68.445751832310876</v>
      </c>
      <c r="P298" s="48">
        <f t="shared" si="60"/>
        <v>0</v>
      </c>
      <c r="Q298" s="58">
        <f t="shared" si="66"/>
        <v>0</v>
      </c>
      <c r="R298" s="152">
        <f t="shared" si="61"/>
        <v>68.445751832310876</v>
      </c>
      <c r="S298" s="131">
        <f t="shared" si="62"/>
        <v>-12.554248167689124</v>
      </c>
      <c r="T298" s="151">
        <f t="shared" si="64"/>
        <v>0</v>
      </c>
      <c r="V298" s="12"/>
    </row>
    <row r="299" spans="1:22" x14ac:dyDescent="0.25">
      <c r="A299" s="50">
        <f>'A) Base RI'!A300</f>
        <v>5922</v>
      </c>
      <c r="B299" s="392" t="str">
        <f>'A) Base RI'!B300</f>
        <v>Montagny-près-Yverdon</v>
      </c>
      <c r="C299" s="2">
        <v>823179.23023371375</v>
      </c>
      <c r="D299" s="430">
        <v>760889.49233432207</v>
      </c>
      <c r="E299" s="2">
        <v>0</v>
      </c>
      <c r="F299" s="430">
        <v>0</v>
      </c>
      <c r="G299" s="2">
        <v>0</v>
      </c>
      <c r="H299" s="395">
        <f t="shared" si="63"/>
        <v>1584068.7225680358</v>
      </c>
      <c r="I299" s="157">
        <v>45028.443278688515</v>
      </c>
      <c r="J299" s="398">
        <f>'B) D RI'!U300</f>
        <v>42538.107931378596</v>
      </c>
      <c r="K299" s="66">
        <f t="shared" si="65"/>
        <v>35.17929129292726</v>
      </c>
      <c r="L299" s="34">
        <f>'B) D RI'!S300</f>
        <v>61</v>
      </c>
      <c r="M299" s="34">
        <f t="shared" si="67"/>
        <v>25.82070870707274</v>
      </c>
      <c r="N299" s="34">
        <f>'J) Plafonnement effort'!G298+'J) Plafonnement effort'!H298-'K) Plafonnement aide'!I298</f>
        <v>35.420475507040791</v>
      </c>
      <c r="O299" s="131">
        <f t="shared" si="59"/>
        <v>61.241184214113531</v>
      </c>
      <c r="P299" s="48">
        <f t="shared" si="60"/>
        <v>0</v>
      </c>
      <c r="Q299" s="58">
        <f t="shared" si="66"/>
        <v>0</v>
      </c>
      <c r="R299" s="152">
        <f t="shared" si="61"/>
        <v>61.241184214113531</v>
      </c>
      <c r="S299" s="131">
        <f t="shared" si="62"/>
        <v>0.24118421411353097</v>
      </c>
      <c r="T299" s="151">
        <f t="shared" si="64"/>
        <v>0</v>
      </c>
      <c r="V299" s="12"/>
    </row>
    <row r="300" spans="1:22" x14ac:dyDescent="0.25">
      <c r="A300" s="50">
        <f>'A) Base RI'!A301</f>
        <v>5923</v>
      </c>
      <c r="B300" s="392" t="str">
        <f>'A) Base RI'!B301</f>
        <v>Oppens</v>
      </c>
      <c r="C300" s="2">
        <v>104815.09229088674</v>
      </c>
      <c r="D300" s="430">
        <v>-14201.947304506088</v>
      </c>
      <c r="E300" s="2">
        <v>0</v>
      </c>
      <c r="F300" s="430">
        <v>0</v>
      </c>
      <c r="G300" s="2">
        <v>0</v>
      </c>
      <c r="H300" s="395">
        <f t="shared" si="63"/>
        <v>90613.144986380648</v>
      </c>
      <c r="I300" s="157">
        <v>4881.0219753086412</v>
      </c>
      <c r="J300" s="398">
        <f>'B) D RI'!U301</f>
        <v>4631.0916713851466</v>
      </c>
      <c r="K300" s="66">
        <f t="shared" si="65"/>
        <v>18.56437964114081</v>
      </c>
      <c r="L300" s="34">
        <f>'B) D RI'!S301</f>
        <v>81</v>
      </c>
      <c r="M300" s="34">
        <f t="shared" si="67"/>
        <v>62.43562035885919</v>
      </c>
      <c r="N300" s="34">
        <f>'J) Plafonnement effort'!G299+'J) Plafonnement effort'!H299-'K) Plafonnement aide'!I299</f>
        <v>1.7227962182286181</v>
      </c>
      <c r="O300" s="131">
        <f t="shared" si="59"/>
        <v>64.158416577087806</v>
      </c>
      <c r="P300" s="48">
        <f t="shared" si="60"/>
        <v>0</v>
      </c>
      <c r="Q300" s="58">
        <f t="shared" si="66"/>
        <v>0</v>
      </c>
      <c r="R300" s="152">
        <f t="shared" si="61"/>
        <v>64.158416577087806</v>
      </c>
      <c r="S300" s="131">
        <f t="shared" si="62"/>
        <v>-16.841583422912194</v>
      </c>
      <c r="T300" s="151">
        <f t="shared" si="64"/>
        <v>0</v>
      </c>
      <c r="V300" s="12"/>
    </row>
    <row r="301" spans="1:22" x14ac:dyDescent="0.25">
      <c r="A301" s="50">
        <f>'A) Base RI'!A302</f>
        <v>5924</v>
      </c>
      <c r="B301" s="392" t="str">
        <f>'A) Base RI'!B302</f>
        <v>Orges</v>
      </c>
      <c r="C301" s="2">
        <v>162349.81780969937</v>
      </c>
      <c r="D301" s="430">
        <v>67449.461730645839</v>
      </c>
      <c r="E301" s="2">
        <v>0</v>
      </c>
      <c r="F301" s="430">
        <v>0</v>
      </c>
      <c r="G301" s="2">
        <v>0</v>
      </c>
      <c r="H301" s="395">
        <f t="shared" si="63"/>
        <v>229799.27954034519</v>
      </c>
      <c r="I301" s="157">
        <v>9476.448378378378</v>
      </c>
      <c r="J301" s="398">
        <f>'B) D RI'!U302</f>
        <v>10396.618626656635</v>
      </c>
      <c r="K301" s="66">
        <f t="shared" si="65"/>
        <v>24.249515257705518</v>
      </c>
      <c r="L301" s="34">
        <f>'B) D RI'!S302</f>
        <v>74</v>
      </c>
      <c r="M301" s="34">
        <f t="shared" si="67"/>
        <v>49.750484742294482</v>
      </c>
      <c r="N301" s="34">
        <f>'J) Plafonnement effort'!G300+'J) Plafonnement effort'!H300-'K) Plafonnement aide'!I300</f>
        <v>22.755332358544376</v>
      </c>
      <c r="O301" s="131">
        <f t="shared" si="59"/>
        <v>72.505817100838854</v>
      </c>
      <c r="P301" s="48">
        <f t="shared" si="60"/>
        <v>0</v>
      </c>
      <c r="Q301" s="58">
        <f t="shared" si="66"/>
        <v>0</v>
      </c>
      <c r="R301" s="152">
        <f t="shared" si="61"/>
        <v>72.505817100838854</v>
      </c>
      <c r="S301" s="131">
        <f t="shared" si="62"/>
        <v>-1.4941828991611459</v>
      </c>
      <c r="T301" s="151">
        <f t="shared" si="64"/>
        <v>0</v>
      </c>
      <c r="V301" s="12"/>
    </row>
    <row r="302" spans="1:22" x14ac:dyDescent="0.25">
      <c r="A302" s="50">
        <f>'A) Base RI'!A303</f>
        <v>5925</v>
      </c>
      <c r="B302" s="392" t="str">
        <f>'A) Base RI'!B303</f>
        <v>Orzens</v>
      </c>
      <c r="C302" s="2">
        <v>85772.767927858193</v>
      </c>
      <c r="D302" s="430">
        <v>-32223.534842447974</v>
      </c>
      <c r="E302" s="2">
        <v>0</v>
      </c>
      <c r="F302" s="430">
        <v>0</v>
      </c>
      <c r="G302" s="2">
        <v>0</v>
      </c>
      <c r="H302" s="395">
        <f t="shared" si="63"/>
        <v>53549.233085410218</v>
      </c>
      <c r="I302" s="157">
        <v>4875.4426582278484</v>
      </c>
      <c r="J302" s="398">
        <f>'B) D RI'!U303</f>
        <v>4755.0256411268865</v>
      </c>
      <c r="K302" s="66">
        <f t="shared" si="65"/>
        <v>10.983460752028325</v>
      </c>
      <c r="L302" s="34">
        <f>'B) D RI'!S303</f>
        <v>79</v>
      </c>
      <c r="M302" s="34">
        <f t="shared" si="67"/>
        <v>68.016539247971679</v>
      </c>
      <c r="N302" s="34">
        <f>'J) Plafonnement effort'!G301+'J) Plafonnement effort'!H301-'K) Plafonnement aide'!I301</f>
        <v>8.030811017987725</v>
      </c>
      <c r="O302" s="131">
        <f t="shared" si="59"/>
        <v>76.047350265959409</v>
      </c>
      <c r="P302" s="48">
        <f t="shared" si="60"/>
        <v>0</v>
      </c>
      <c r="Q302" s="58">
        <f t="shared" si="66"/>
        <v>0</v>
      </c>
      <c r="R302" s="152">
        <f t="shared" si="61"/>
        <v>76.047350265959409</v>
      </c>
      <c r="S302" s="131">
        <f t="shared" si="62"/>
        <v>-2.9526497340405911</v>
      </c>
      <c r="T302" s="151">
        <f t="shared" si="64"/>
        <v>0</v>
      </c>
      <c r="V302" s="12"/>
    </row>
    <row r="303" spans="1:22" x14ac:dyDescent="0.25">
      <c r="A303" s="50">
        <f>'A) Base RI'!A304</f>
        <v>5926</v>
      </c>
      <c r="B303" s="392" t="str">
        <f>'A) Base RI'!B304</f>
        <v>Pomy</v>
      </c>
      <c r="C303" s="2">
        <v>416128.72376076359</v>
      </c>
      <c r="D303" s="430">
        <v>118954.80290470936</v>
      </c>
      <c r="E303" s="2">
        <v>0</v>
      </c>
      <c r="F303" s="430">
        <v>0</v>
      </c>
      <c r="G303" s="2">
        <v>0</v>
      </c>
      <c r="H303" s="395">
        <f t="shared" si="63"/>
        <v>535083.52666547289</v>
      </c>
      <c r="I303" s="157">
        <v>22774.42661971831</v>
      </c>
      <c r="J303" s="398">
        <f>'B) D RI'!U304</f>
        <v>23259.861194280857</v>
      </c>
      <c r="K303" s="66">
        <f t="shared" si="65"/>
        <v>23.494928570548186</v>
      </c>
      <c r="L303" s="34">
        <f>'B) D RI'!S304</f>
        <v>71</v>
      </c>
      <c r="M303" s="34">
        <f t="shared" si="67"/>
        <v>47.505071429451817</v>
      </c>
      <c r="N303" s="34">
        <f>'J) Plafonnement effort'!G302+'J) Plafonnement effort'!H302-'K) Plafonnement aide'!I302</f>
        <v>21.428029448069132</v>
      </c>
      <c r="O303" s="131">
        <f t="shared" si="59"/>
        <v>68.933100877520957</v>
      </c>
      <c r="P303" s="48">
        <f t="shared" si="60"/>
        <v>0</v>
      </c>
      <c r="Q303" s="58">
        <f t="shared" si="66"/>
        <v>0</v>
      </c>
      <c r="R303" s="152">
        <f t="shared" si="61"/>
        <v>68.933100877520957</v>
      </c>
      <c r="S303" s="131">
        <f t="shared" si="62"/>
        <v>-2.0668991224790432</v>
      </c>
      <c r="T303" s="151">
        <f t="shared" si="64"/>
        <v>0</v>
      </c>
      <c r="V303" s="12"/>
    </row>
    <row r="304" spans="1:22" x14ac:dyDescent="0.25">
      <c r="A304" s="50">
        <f>'A) Base RI'!A305</f>
        <v>5928</v>
      </c>
      <c r="B304" s="392" t="str">
        <f>'A) Base RI'!B305</f>
        <v>Rovray</v>
      </c>
      <c r="C304" s="2">
        <v>76650.183024854909</v>
      </c>
      <c r="D304" s="430">
        <v>-4249.0790634024452</v>
      </c>
      <c r="E304" s="2">
        <v>0</v>
      </c>
      <c r="F304" s="430">
        <v>0</v>
      </c>
      <c r="G304" s="2">
        <v>0</v>
      </c>
      <c r="H304" s="395">
        <f t="shared" si="63"/>
        <v>72401.103961452463</v>
      </c>
      <c r="I304" s="157">
        <v>4451.7282191780823</v>
      </c>
      <c r="J304" s="398">
        <f>'B) D RI'!U305</f>
        <v>4486.3585880513701</v>
      </c>
      <c r="K304" s="66">
        <f t="shared" si="65"/>
        <v>16.263594810111702</v>
      </c>
      <c r="L304" s="34">
        <f>'B) D RI'!S305</f>
        <v>73</v>
      </c>
      <c r="M304" s="34">
        <f t="shared" si="67"/>
        <v>56.736405189888302</v>
      </c>
      <c r="N304" s="34">
        <f>'J) Plafonnement effort'!G303+'J) Plafonnement effort'!H303-'K) Plafonnement aide'!I303</f>
        <v>10.01146045825995</v>
      </c>
      <c r="O304" s="131">
        <f t="shared" si="59"/>
        <v>66.747865648148249</v>
      </c>
      <c r="P304" s="48">
        <f t="shared" si="60"/>
        <v>0</v>
      </c>
      <c r="Q304" s="58">
        <f t="shared" si="66"/>
        <v>0</v>
      </c>
      <c r="R304" s="152">
        <f t="shared" si="61"/>
        <v>66.747865648148249</v>
      </c>
      <c r="S304" s="131">
        <f t="shared" si="62"/>
        <v>-6.2521343518517511</v>
      </c>
      <c r="T304" s="151">
        <f t="shared" si="64"/>
        <v>0</v>
      </c>
      <c r="V304" s="12"/>
    </row>
    <row r="305" spans="1:22" x14ac:dyDescent="0.25">
      <c r="A305" s="50">
        <f>'A) Base RI'!A306</f>
        <v>5929</v>
      </c>
      <c r="B305" s="392" t="str">
        <f>'A) Base RI'!B306</f>
        <v>Suchy</v>
      </c>
      <c r="C305" s="2">
        <v>279019.79435501597</v>
      </c>
      <c r="D305" s="430">
        <v>39652.437579083256</v>
      </c>
      <c r="E305" s="2">
        <v>0</v>
      </c>
      <c r="F305" s="430">
        <v>0</v>
      </c>
      <c r="G305" s="2">
        <v>0</v>
      </c>
      <c r="H305" s="395">
        <f t="shared" si="63"/>
        <v>318672.23193409923</v>
      </c>
      <c r="I305" s="157">
        <v>16583.788428571432</v>
      </c>
      <c r="J305" s="398">
        <f>'B) D RI'!U306</f>
        <v>17021.216382984901</v>
      </c>
      <c r="K305" s="66">
        <f t="shared" si="65"/>
        <v>19.215888655759368</v>
      </c>
      <c r="L305" s="34">
        <f>'B) D RI'!S306</f>
        <v>70</v>
      </c>
      <c r="M305" s="34">
        <f t="shared" si="67"/>
        <v>50.784111344240628</v>
      </c>
      <c r="N305" s="34">
        <f>'J) Plafonnement effort'!G304+'J) Plafonnement effort'!H304-'K) Plafonnement aide'!I304</f>
        <v>20.983583704587456</v>
      </c>
      <c r="O305" s="131">
        <f t="shared" si="59"/>
        <v>71.767695048828088</v>
      </c>
      <c r="P305" s="48">
        <f t="shared" si="60"/>
        <v>0</v>
      </c>
      <c r="Q305" s="58">
        <f t="shared" si="66"/>
        <v>0</v>
      </c>
      <c r="R305" s="152">
        <f t="shared" si="61"/>
        <v>71.767695048828088</v>
      </c>
      <c r="S305" s="131">
        <f t="shared" si="62"/>
        <v>1.767695048828088</v>
      </c>
      <c r="T305" s="151">
        <f t="shared" si="64"/>
        <v>0</v>
      </c>
      <c r="V305" s="12"/>
    </row>
    <row r="306" spans="1:22" x14ac:dyDescent="0.25">
      <c r="A306" s="50">
        <f>'A) Base RI'!A307</f>
        <v>5930</v>
      </c>
      <c r="B306" s="392" t="str">
        <f>'A) Base RI'!B307</f>
        <v>Suscévaz</v>
      </c>
      <c r="C306" s="2">
        <v>86840.796249827254</v>
      </c>
      <c r="D306" s="430">
        <v>-2123.2005269950023</v>
      </c>
      <c r="E306" s="2">
        <v>0</v>
      </c>
      <c r="F306" s="430">
        <v>0</v>
      </c>
      <c r="G306" s="2">
        <v>0</v>
      </c>
      <c r="H306" s="395">
        <f t="shared" si="63"/>
        <v>84717.595722832251</v>
      </c>
      <c r="I306" s="157">
        <v>4886.5228787878787</v>
      </c>
      <c r="J306" s="398">
        <f>'B) D RI'!U307</f>
        <v>5363.6524098848004</v>
      </c>
      <c r="K306" s="66">
        <f t="shared" si="65"/>
        <v>17.33698947580632</v>
      </c>
      <c r="L306" s="34">
        <f>'B) D RI'!S307</f>
        <v>72</v>
      </c>
      <c r="M306" s="34">
        <f t="shared" si="67"/>
        <v>54.66301052419368</v>
      </c>
      <c r="N306" s="34">
        <f>'J) Plafonnement effort'!G305+'J) Plafonnement effort'!H305-'K) Plafonnement aide'!I305</f>
        <v>14.465549034742418</v>
      </c>
      <c r="O306" s="131">
        <f t="shared" si="59"/>
        <v>69.128559558936104</v>
      </c>
      <c r="P306" s="48">
        <f t="shared" si="60"/>
        <v>0</v>
      </c>
      <c r="Q306" s="58">
        <f t="shared" si="66"/>
        <v>0</v>
      </c>
      <c r="R306" s="152">
        <f t="shared" si="61"/>
        <v>69.128559558936104</v>
      </c>
      <c r="S306" s="131">
        <f t="shared" si="62"/>
        <v>-2.8714404410638963</v>
      </c>
      <c r="T306" s="151">
        <f t="shared" si="64"/>
        <v>0</v>
      </c>
      <c r="V306" s="12"/>
    </row>
    <row r="307" spans="1:22" x14ac:dyDescent="0.25">
      <c r="A307" s="50">
        <f>'A) Base RI'!A308</f>
        <v>5931</v>
      </c>
      <c r="B307" s="392" t="str">
        <f>'A) Base RI'!B308</f>
        <v>Treycovagnes</v>
      </c>
      <c r="C307" s="2">
        <v>261414.57319660633</v>
      </c>
      <c r="D307" s="430">
        <v>173082.9209415628</v>
      </c>
      <c r="E307" s="2">
        <v>0</v>
      </c>
      <c r="F307" s="430">
        <v>0</v>
      </c>
      <c r="G307" s="2">
        <v>0</v>
      </c>
      <c r="H307" s="395">
        <f t="shared" si="63"/>
        <v>434497.4941381691</v>
      </c>
      <c r="I307" s="157">
        <v>16368.774155844154</v>
      </c>
      <c r="J307" s="398">
        <f>'B) D RI'!U308</f>
        <v>13443.123228865978</v>
      </c>
      <c r="K307" s="66">
        <f t="shared" si="65"/>
        <v>26.544290366608802</v>
      </c>
      <c r="L307" s="34">
        <f>'B) D RI'!S308</f>
        <v>75</v>
      </c>
      <c r="M307" s="34">
        <f t="shared" si="67"/>
        <v>48.455709633391194</v>
      </c>
      <c r="N307" s="34">
        <f>'J) Plafonnement effort'!G306+'J) Plafonnement effort'!H306-'K) Plafonnement aide'!I306</f>
        <v>22.727165859496623</v>
      </c>
      <c r="O307" s="131">
        <f t="shared" si="59"/>
        <v>71.182875492887817</v>
      </c>
      <c r="P307" s="48">
        <f t="shared" si="60"/>
        <v>0</v>
      </c>
      <c r="Q307" s="58">
        <f t="shared" si="66"/>
        <v>0</v>
      </c>
      <c r="R307" s="152">
        <f t="shared" si="61"/>
        <v>71.182875492887817</v>
      </c>
      <c r="S307" s="131">
        <f t="shared" si="62"/>
        <v>-3.8171245071121831</v>
      </c>
      <c r="T307" s="151">
        <f t="shared" si="64"/>
        <v>0</v>
      </c>
      <c r="V307" s="12"/>
    </row>
    <row r="308" spans="1:22" x14ac:dyDescent="0.25">
      <c r="A308" s="50">
        <f>'A) Base RI'!A309</f>
        <v>5932</v>
      </c>
      <c r="B308" s="392" t="str">
        <f>'A) Base RI'!B309</f>
        <v>Ursins</v>
      </c>
      <c r="C308" s="2">
        <v>104883.74610716848</v>
      </c>
      <c r="D308" s="430">
        <v>22625.388831210905</v>
      </c>
      <c r="E308" s="2">
        <v>0</v>
      </c>
      <c r="F308" s="430">
        <v>0</v>
      </c>
      <c r="G308" s="2">
        <v>0</v>
      </c>
      <c r="H308" s="395">
        <f t="shared" si="63"/>
        <v>127509.13493837939</v>
      </c>
      <c r="I308" s="157">
        <v>6366.2738461538456</v>
      </c>
      <c r="J308" s="398">
        <f>'B) D RI'!U309</f>
        <v>6855.3003269100209</v>
      </c>
      <c r="K308" s="66">
        <f t="shared" si="65"/>
        <v>20.028848588631391</v>
      </c>
      <c r="L308" s="34">
        <f>'B) D RI'!S309</f>
        <v>78</v>
      </c>
      <c r="M308" s="34">
        <f t="shared" si="67"/>
        <v>57.971151411368609</v>
      </c>
      <c r="N308" s="34">
        <f>'J) Plafonnement effort'!G307+'J) Plafonnement effort'!H307-'K) Plafonnement aide'!I307</f>
        <v>22.270449166342157</v>
      </c>
      <c r="O308" s="131">
        <f t="shared" si="59"/>
        <v>80.24160057771077</v>
      </c>
      <c r="P308" s="48">
        <f t="shared" si="60"/>
        <v>0</v>
      </c>
      <c r="Q308" s="58">
        <f t="shared" si="66"/>
        <v>0</v>
      </c>
      <c r="R308" s="152">
        <f t="shared" si="61"/>
        <v>80.24160057771077</v>
      </c>
      <c r="S308" s="131">
        <f t="shared" si="62"/>
        <v>2.2416005777107699</v>
      </c>
      <c r="T308" s="151">
        <f t="shared" si="64"/>
        <v>0</v>
      </c>
      <c r="V308" s="12"/>
    </row>
    <row r="309" spans="1:22" x14ac:dyDescent="0.25">
      <c r="A309" s="50">
        <f>'A) Base RI'!A310</f>
        <v>5933</v>
      </c>
      <c r="B309" s="392" t="str">
        <f>'A) Base RI'!B310</f>
        <v>Valeyres-sous-Montagny</v>
      </c>
      <c r="C309" s="2">
        <v>342956.3548754417</v>
      </c>
      <c r="D309" s="430">
        <v>59635.914681525552</v>
      </c>
      <c r="E309" s="2">
        <v>0</v>
      </c>
      <c r="F309" s="430">
        <v>0</v>
      </c>
      <c r="G309" s="2">
        <v>0</v>
      </c>
      <c r="H309" s="395">
        <f t="shared" si="63"/>
        <v>402592.26955696725</v>
      </c>
      <c r="I309" s="157">
        <v>19578.46263888889</v>
      </c>
      <c r="J309" s="398">
        <f>'B) D RI'!U310</f>
        <v>20669.421262090575</v>
      </c>
      <c r="K309" s="66">
        <f t="shared" si="65"/>
        <v>20.563017484186645</v>
      </c>
      <c r="L309" s="34">
        <f>'B) D RI'!S310</f>
        <v>72</v>
      </c>
      <c r="M309" s="34">
        <f t="shared" si="67"/>
        <v>51.436982515813355</v>
      </c>
      <c r="N309" s="34">
        <f>'J) Plafonnement effort'!G308+'J) Plafonnement effort'!H308-'K) Plafonnement aide'!I308</f>
        <v>9.8645784515148041</v>
      </c>
      <c r="O309" s="131">
        <f t="shared" si="59"/>
        <v>61.301560967328157</v>
      </c>
      <c r="P309" s="48">
        <f t="shared" si="60"/>
        <v>0</v>
      </c>
      <c r="Q309" s="58">
        <f t="shared" si="66"/>
        <v>0</v>
      </c>
      <c r="R309" s="152">
        <f t="shared" si="61"/>
        <v>61.301560967328157</v>
      </c>
      <c r="S309" s="131">
        <f t="shared" si="62"/>
        <v>-10.698439032671843</v>
      </c>
      <c r="T309" s="151">
        <f t="shared" si="64"/>
        <v>0</v>
      </c>
      <c r="V309" s="12"/>
    </row>
    <row r="310" spans="1:22" x14ac:dyDescent="0.25">
      <c r="A310" s="50">
        <f>'A) Base RI'!A311</f>
        <v>5934</v>
      </c>
      <c r="B310" s="392" t="str">
        <f>'A) Base RI'!B311</f>
        <v>Valeyres-sous-Ursins</v>
      </c>
      <c r="C310" s="2">
        <v>121707.95937303529</v>
      </c>
      <c r="D310" s="430">
        <v>-3316.1819366821874</v>
      </c>
      <c r="E310" s="2">
        <v>0</v>
      </c>
      <c r="F310" s="430">
        <v>0</v>
      </c>
      <c r="G310" s="2">
        <v>0</v>
      </c>
      <c r="H310" s="395">
        <f t="shared" si="63"/>
        <v>118391.77743635311</v>
      </c>
      <c r="I310" s="157">
        <v>6856.0722784810141</v>
      </c>
      <c r="J310" s="398">
        <f>'B) D RI'!U311</f>
        <v>6791.6761133712571</v>
      </c>
      <c r="K310" s="66">
        <f t="shared" si="65"/>
        <v>17.268163553051572</v>
      </c>
      <c r="L310" s="34">
        <f>'B) D RI'!S311</f>
        <v>79</v>
      </c>
      <c r="M310" s="34">
        <f t="shared" si="67"/>
        <v>61.731836446948428</v>
      </c>
      <c r="N310" s="34">
        <f>'J) Plafonnement effort'!G309+'J) Plafonnement effort'!H309-'K) Plafonnement aide'!I309</f>
        <v>16.104924144459005</v>
      </c>
      <c r="O310" s="131">
        <f t="shared" si="59"/>
        <v>77.836760591407426</v>
      </c>
      <c r="P310" s="48">
        <f t="shared" si="60"/>
        <v>0</v>
      </c>
      <c r="Q310" s="58">
        <f t="shared" si="66"/>
        <v>0</v>
      </c>
      <c r="R310" s="152">
        <f t="shared" si="61"/>
        <v>77.836760591407426</v>
      </c>
      <c r="S310" s="131">
        <f t="shared" si="62"/>
        <v>-1.1632394085925739</v>
      </c>
      <c r="T310" s="151">
        <f t="shared" si="64"/>
        <v>0</v>
      </c>
      <c r="V310" s="12"/>
    </row>
    <row r="311" spans="1:22" x14ac:dyDescent="0.25">
      <c r="A311" s="50">
        <f>'A) Base RI'!A312</f>
        <v>5935</v>
      </c>
      <c r="B311" s="392" t="str">
        <f>'A) Base RI'!B312</f>
        <v>Villars-Epeney</v>
      </c>
      <c r="C311" s="2">
        <v>74350.505684752599</v>
      </c>
      <c r="D311" s="430">
        <v>62375.822795924876</v>
      </c>
      <c r="E311" s="2">
        <v>0</v>
      </c>
      <c r="F311" s="430">
        <v>0</v>
      </c>
      <c r="G311" s="2">
        <v>0</v>
      </c>
      <c r="H311" s="395">
        <f t="shared" si="63"/>
        <v>136726.32848067748</v>
      </c>
      <c r="I311" s="157">
        <v>4252.6353333333336</v>
      </c>
      <c r="J311" s="398">
        <f>'B) D RI'!U312</f>
        <v>5529.6840523560213</v>
      </c>
      <c r="K311" s="66">
        <f t="shared" si="65"/>
        <v>32.150964699225121</v>
      </c>
      <c r="L311" s="34">
        <f>'B) D RI'!S312</f>
        <v>60</v>
      </c>
      <c r="M311" s="34">
        <f t="shared" si="67"/>
        <v>27.849035300774879</v>
      </c>
      <c r="N311" s="34">
        <f>'J) Plafonnement effort'!G310+'J) Plafonnement effort'!H310-'K) Plafonnement aide'!I310</f>
        <v>32.992149141484354</v>
      </c>
      <c r="O311" s="131">
        <f t="shared" si="59"/>
        <v>60.841184442259234</v>
      </c>
      <c r="P311" s="48">
        <f t="shared" si="60"/>
        <v>0</v>
      </c>
      <c r="Q311" s="58">
        <f t="shared" si="66"/>
        <v>0</v>
      </c>
      <c r="R311" s="152">
        <f t="shared" si="61"/>
        <v>60.841184442259234</v>
      </c>
      <c r="S311" s="131">
        <f t="shared" si="62"/>
        <v>0.84118444225923383</v>
      </c>
      <c r="T311" s="151">
        <f t="shared" si="64"/>
        <v>0</v>
      </c>
      <c r="V311" s="12"/>
    </row>
    <row r="312" spans="1:22" x14ac:dyDescent="0.25">
      <c r="A312" s="50">
        <f>'A) Base RI'!A313</f>
        <v>5937</v>
      </c>
      <c r="B312" s="392" t="str">
        <f>'A) Base RI'!B313</f>
        <v>Vugelles-La Mothe</v>
      </c>
      <c r="C312" s="2">
        <v>41689.593333374716</v>
      </c>
      <c r="D312" s="430">
        <v>-44688.898447782951</v>
      </c>
      <c r="E312" s="2">
        <v>0</v>
      </c>
      <c r="F312" s="430">
        <v>0</v>
      </c>
      <c r="G312" s="2">
        <v>0</v>
      </c>
      <c r="H312" s="395">
        <f t="shared" si="63"/>
        <v>-2999.3051144082347</v>
      </c>
      <c r="I312" s="157">
        <v>2272.9823469387752</v>
      </c>
      <c r="J312" s="398">
        <f>'B) D RI'!U313</f>
        <v>2865.8382395608655</v>
      </c>
      <c r="K312" s="66">
        <f t="shared" si="65"/>
        <v>-1.3195461541739038</v>
      </c>
      <c r="L312" s="34">
        <f>'B) D RI'!S313</f>
        <v>70</v>
      </c>
      <c r="M312" s="34">
        <f t="shared" si="67"/>
        <v>71.319546154173906</v>
      </c>
      <c r="N312" s="34">
        <f>'J) Plafonnement effort'!G311+'J) Plafonnement effort'!H311-'K) Plafonnement aide'!I311</f>
        <v>4.5260513173142467</v>
      </c>
      <c r="O312" s="131">
        <f t="shared" si="59"/>
        <v>75.845597471488148</v>
      </c>
      <c r="P312" s="48">
        <f t="shared" si="60"/>
        <v>0</v>
      </c>
      <c r="Q312" s="58">
        <f t="shared" si="66"/>
        <v>0</v>
      </c>
      <c r="R312" s="152">
        <f t="shared" si="61"/>
        <v>75.845597471488148</v>
      </c>
      <c r="S312" s="131">
        <f t="shared" si="62"/>
        <v>5.8455974714881478</v>
      </c>
      <c r="T312" s="151">
        <f t="shared" si="64"/>
        <v>0</v>
      </c>
      <c r="V312" s="12"/>
    </row>
    <row r="313" spans="1:22" x14ac:dyDescent="0.25">
      <c r="A313" s="50">
        <f>'A) Base RI'!A314</f>
        <v>5938</v>
      </c>
      <c r="B313" s="392" t="str">
        <f>'A) Base RI'!B314</f>
        <v>Yverdon-les-Bains</v>
      </c>
      <c r="C313" s="2">
        <v>15267584.204072582</v>
      </c>
      <c r="D313" s="430">
        <v>-21859066.954250418</v>
      </c>
      <c r="E313" s="2">
        <v>1331390.1448183579</v>
      </c>
      <c r="F313" s="430">
        <v>0</v>
      </c>
      <c r="G313" s="2">
        <v>0</v>
      </c>
      <c r="H313" s="395">
        <f t="shared" si="63"/>
        <v>-5260092.6053594779</v>
      </c>
      <c r="I313" s="157">
        <v>809245.0162091502</v>
      </c>
      <c r="J313" s="398">
        <f>'B) D RI'!U314</f>
        <v>774260.97307948919</v>
      </c>
      <c r="K313" s="66">
        <f t="shared" si="65"/>
        <v>-6.5000000000000018</v>
      </c>
      <c r="L313" s="34">
        <f>'B) D RI'!S314</f>
        <v>76.5</v>
      </c>
      <c r="M313" s="34">
        <f t="shared" si="67"/>
        <v>83</v>
      </c>
      <c r="N313" s="34">
        <f>'J) Plafonnement effort'!G312+'J) Plafonnement effort'!H312-'K) Plafonnement aide'!I312</f>
        <v>-18.223176276134524</v>
      </c>
      <c r="O313" s="131">
        <f t="shared" si="59"/>
        <v>64.776823723865476</v>
      </c>
      <c r="P313" s="48">
        <f t="shared" si="60"/>
        <v>0</v>
      </c>
      <c r="Q313" s="58">
        <f t="shared" si="66"/>
        <v>0</v>
      </c>
      <c r="R313" s="152">
        <f t="shared" si="61"/>
        <v>64.776823723865476</v>
      </c>
      <c r="S313" s="131">
        <f t="shared" si="62"/>
        <v>-11.723176276134524</v>
      </c>
      <c r="T313" s="151">
        <f t="shared" si="64"/>
        <v>0</v>
      </c>
      <c r="V313" s="12"/>
    </row>
    <row r="314" spans="1:22" x14ac:dyDescent="0.25">
      <c r="A314" s="51">
        <f>'A) Base RI'!A315</f>
        <v>5939</v>
      </c>
      <c r="B314" s="393" t="str">
        <f>'A) Base RI'!B315</f>
        <v>Yvonand</v>
      </c>
      <c r="C314" s="2">
        <v>1781183.1945179659</v>
      </c>
      <c r="D314" s="430">
        <v>-485455.18808833021</v>
      </c>
      <c r="E314" s="2">
        <v>0</v>
      </c>
      <c r="F314" s="430">
        <v>0</v>
      </c>
      <c r="G314" s="2">
        <v>0</v>
      </c>
      <c r="H314" s="395">
        <f t="shared" si="63"/>
        <v>1295728.0064296357</v>
      </c>
      <c r="I314" s="400">
        <v>88261.067808219188</v>
      </c>
      <c r="J314" s="399">
        <f>'B) D RI'!U315</f>
        <v>92761.457314991218</v>
      </c>
      <c r="K314" s="66">
        <f t="shared" si="65"/>
        <v>14.680629167608743</v>
      </c>
      <c r="L314" s="92">
        <f>'B) D RI'!S315</f>
        <v>73</v>
      </c>
      <c r="M314" s="92">
        <f t="shared" si="67"/>
        <v>58.319370832391257</v>
      </c>
      <c r="N314" s="92">
        <f>'J) Plafonnement effort'!G313+'J) Plafonnement effort'!H313-'K) Plafonnement aide'!I313</f>
        <v>14.630194369253848</v>
      </c>
      <c r="O314" s="133">
        <f t="shared" si="59"/>
        <v>72.9495652016451</v>
      </c>
      <c r="P314" s="48">
        <f t="shared" si="60"/>
        <v>0</v>
      </c>
      <c r="Q314" s="58">
        <f t="shared" si="66"/>
        <v>0</v>
      </c>
      <c r="R314" s="153">
        <f t="shared" si="61"/>
        <v>72.9495652016451</v>
      </c>
      <c r="S314" s="133">
        <f t="shared" si="62"/>
        <v>-5.0434798354899613E-2</v>
      </c>
      <c r="T314" s="151">
        <f t="shared" si="64"/>
        <v>0</v>
      </c>
      <c r="V314" s="12"/>
    </row>
    <row r="315" spans="1:22" x14ac:dyDescent="0.25">
      <c r="A315" s="31"/>
      <c r="B315" s="124">
        <f>COUNTA(B6:B314)</f>
        <v>309</v>
      </c>
      <c r="C315" s="39">
        <f>SUM(C6:C314)</f>
        <v>770525999.99999952</v>
      </c>
      <c r="D315" s="320">
        <f t="shared" ref="D315:J315" si="68">SUM(D6:D314)</f>
        <v>148360970.08014008</v>
      </c>
      <c r="E315" s="320">
        <f t="shared" si="68"/>
        <v>3685638.2806084994</v>
      </c>
      <c r="F315" s="320">
        <f t="shared" si="68"/>
        <v>-10543379.305703679</v>
      </c>
      <c r="G315" s="320">
        <f t="shared" si="68"/>
        <v>0</v>
      </c>
      <c r="H315" s="158">
        <f t="shared" si="68"/>
        <v>912029229.05504382</v>
      </c>
      <c r="I315" s="394">
        <f t="shared" si="68"/>
        <v>36265640.391085088</v>
      </c>
      <c r="J315" s="100">
        <f t="shared" si="68"/>
        <v>35922747.174706832</v>
      </c>
      <c r="K315" s="63">
        <f>H315/I315</f>
        <v>25.148576427158339</v>
      </c>
      <c r="L315" s="20">
        <f>'B) D RI'!S316</f>
        <v>67.832230871836884</v>
      </c>
      <c r="M315" s="20"/>
      <c r="N315" s="20">
        <f>SUM(N6:N314)</f>
        <v>6585.2022416529244</v>
      </c>
      <c r="O315" s="101"/>
      <c r="P315" s="120"/>
      <c r="Q315" s="38">
        <f>SUM(Q6:Q314)</f>
        <v>-24261.884260726591</v>
      </c>
      <c r="R315" s="123"/>
      <c r="S315" s="101"/>
      <c r="T315" s="155"/>
    </row>
    <row r="316" spans="1:22" x14ac:dyDescent="0.25">
      <c r="T316" s="23"/>
    </row>
    <row r="317" spans="1:22" s="6" customFormat="1" x14ac:dyDescent="0.25">
      <c r="K317" s="294"/>
      <c r="N317" s="15"/>
    </row>
    <row r="320" spans="1:22" s="6" customFormat="1" x14ac:dyDescent="0.25">
      <c r="K320" s="294"/>
      <c r="M320" s="294"/>
      <c r="N320" s="15"/>
      <c r="O320" s="294"/>
      <c r="P320" s="294"/>
    </row>
  </sheetData>
  <mergeCells count="17">
    <mergeCell ref="C3:I3"/>
    <mergeCell ref="C4:C5"/>
    <mergeCell ref="B4:B5"/>
    <mergeCell ref="A4:A5"/>
    <mergeCell ref="K4:K5"/>
    <mergeCell ref="E4:E5"/>
    <mergeCell ref="D4:D5"/>
    <mergeCell ref="S4:S5"/>
    <mergeCell ref="R4:R5"/>
    <mergeCell ref="Q4:Q5"/>
    <mergeCell ref="O4:O5"/>
    <mergeCell ref="N4:N5"/>
    <mergeCell ref="M4:M5"/>
    <mergeCell ref="L4:L5"/>
    <mergeCell ref="H4:H5"/>
    <mergeCell ref="G4:G5"/>
    <mergeCell ref="F4:F5"/>
  </mergeCells>
  <phoneticPr fontId="0" type="noConversion"/>
  <printOptions horizontalCentered="1"/>
  <pageMargins left="0" right="0" top="0" bottom="0" header="0.51181102362204722" footer="0.51181102362204722"/>
  <pageSetup paperSize="9" scale="63" orientation="landscape"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rgb="FF00B050"/>
    <pageSetUpPr fitToPage="1"/>
  </sheetPr>
  <dimension ref="A1:V317"/>
  <sheetViews>
    <sheetView workbookViewId="0"/>
  </sheetViews>
  <sheetFormatPr baseColWidth="10" defaultColWidth="9.375" defaultRowHeight="15" x14ac:dyDescent="0.25"/>
  <cols>
    <col min="1" max="1" width="8.125" style="223" customWidth="1"/>
    <col min="2" max="2" width="17.875" style="223" bestFit="1" customWidth="1"/>
    <col min="3" max="3" width="9.875" style="223" customWidth="1"/>
    <col min="4" max="4" width="10.5" style="223" customWidth="1"/>
    <col min="5" max="5" width="5.625" style="223" bestFit="1" customWidth="1"/>
    <col min="6" max="6" width="12" style="223" bestFit="1" customWidth="1"/>
    <col min="7" max="7" width="10.875" style="223" bestFit="1" customWidth="1"/>
    <col min="8" max="8" width="12" style="223" bestFit="1" customWidth="1"/>
    <col min="9" max="9" width="13.625" style="223" customWidth="1"/>
    <col min="10" max="10" width="11.375" style="223" bestFit="1" customWidth="1"/>
    <col min="11" max="11" width="11.75" style="223" customWidth="1"/>
    <col min="12" max="12" width="11.375" style="223" bestFit="1" customWidth="1"/>
    <col min="13" max="13" width="9.75" style="223" bestFit="1" customWidth="1"/>
    <col min="14" max="14" width="11.375" style="223" bestFit="1" customWidth="1"/>
    <col min="15" max="15" width="10.75" style="223" bestFit="1" customWidth="1"/>
    <col min="16" max="16" width="13.125" style="225" customWidth="1"/>
    <col min="17" max="17" width="9.375" style="224"/>
    <col min="18" max="18" width="9.875" style="225" customWidth="1"/>
    <col min="19" max="19" width="11.75" style="225" bestFit="1" customWidth="1"/>
    <col min="20" max="22" width="9.375" style="224"/>
    <col min="23" max="249" width="9.375" style="223"/>
    <col min="250" max="250" width="5" style="223" customWidth="1"/>
    <col min="251" max="251" width="17.875" style="223" bestFit="1" customWidth="1"/>
    <col min="252" max="252" width="9.875" style="223" customWidth="1"/>
    <col min="253" max="253" width="8.875" style="223" customWidth="1"/>
    <col min="254" max="254" width="7.375" style="223" bestFit="1" customWidth="1"/>
    <col min="255" max="255" width="10.125" style="223" bestFit="1" customWidth="1"/>
    <col min="256" max="256" width="9.375" style="223"/>
    <col min="257" max="257" width="10.125" style="223" bestFit="1" customWidth="1"/>
    <col min="258" max="258" width="10.75" style="223" customWidth="1"/>
    <col min="259" max="261" width="9.375" style="223"/>
    <col min="262" max="263" width="10.75" style="223" customWidth="1"/>
    <col min="264" max="268" width="9.375" style="223"/>
    <col min="269" max="269" width="1.625" style="223" bestFit="1" customWidth="1"/>
    <col min="270" max="270" width="9.375" style="223"/>
    <col min="271" max="271" width="8.875" style="223" customWidth="1"/>
    <col min="272" max="272" width="13.125" style="223" customWidth="1"/>
    <col min="273" max="273" width="9.375" style="223"/>
    <col min="274" max="274" width="9.875" style="223" customWidth="1"/>
    <col min="275" max="275" width="11.75" style="223" bestFit="1" customWidth="1"/>
    <col min="276" max="505" width="9.375" style="223"/>
    <col min="506" max="506" width="5" style="223" customWidth="1"/>
    <col min="507" max="507" width="17.875" style="223" bestFit="1" customWidth="1"/>
    <col min="508" max="508" width="9.875" style="223" customWidth="1"/>
    <col min="509" max="509" width="8.875" style="223" customWidth="1"/>
    <col min="510" max="510" width="7.375" style="223" bestFit="1" customWidth="1"/>
    <col min="511" max="511" width="10.125" style="223" bestFit="1" customWidth="1"/>
    <col min="512" max="512" width="9.375" style="223"/>
    <col min="513" max="513" width="10.125" style="223" bestFit="1" customWidth="1"/>
    <col min="514" max="514" width="10.75" style="223" customWidth="1"/>
    <col min="515" max="517" width="9.375" style="223"/>
    <col min="518" max="519" width="10.75" style="223" customWidth="1"/>
    <col min="520" max="524" width="9.375" style="223"/>
    <col min="525" max="525" width="1.625" style="223" bestFit="1" customWidth="1"/>
    <col min="526" max="526" width="9.375" style="223"/>
    <col min="527" max="527" width="8.875" style="223" customWidth="1"/>
    <col min="528" max="528" width="13.125" style="223" customWidth="1"/>
    <col min="529" max="529" width="9.375" style="223"/>
    <col min="530" max="530" width="9.875" style="223" customWidth="1"/>
    <col min="531" max="531" width="11.75" style="223" bestFit="1" customWidth="1"/>
    <col min="532" max="761" width="9.375" style="223"/>
    <col min="762" max="762" width="5" style="223" customWidth="1"/>
    <col min="763" max="763" width="17.875" style="223" bestFit="1" customWidth="1"/>
    <col min="764" max="764" width="9.875" style="223" customWidth="1"/>
    <col min="765" max="765" width="8.875" style="223" customWidth="1"/>
    <col min="766" max="766" width="7.375" style="223" bestFit="1" customWidth="1"/>
    <col min="767" max="767" width="10.125" style="223" bestFit="1" customWidth="1"/>
    <col min="768" max="768" width="9.375" style="223"/>
    <col min="769" max="769" width="10.125" style="223" bestFit="1" customWidth="1"/>
    <col min="770" max="770" width="10.75" style="223" customWidth="1"/>
    <col min="771" max="773" width="9.375" style="223"/>
    <col min="774" max="775" width="10.75" style="223" customWidth="1"/>
    <col min="776" max="780" width="9.375" style="223"/>
    <col min="781" max="781" width="1.625" style="223" bestFit="1" customWidth="1"/>
    <col min="782" max="782" width="9.375" style="223"/>
    <col min="783" max="783" width="8.875" style="223" customWidth="1"/>
    <col min="784" max="784" width="13.125" style="223" customWidth="1"/>
    <col min="785" max="785" width="9.375" style="223"/>
    <col min="786" max="786" width="9.875" style="223" customWidth="1"/>
    <col min="787" max="787" width="11.75" style="223" bestFit="1" customWidth="1"/>
    <col min="788" max="1017" width="9.375" style="223"/>
    <col min="1018" max="1018" width="5" style="223" customWidth="1"/>
    <col min="1019" max="1019" width="17.875" style="223" bestFit="1" customWidth="1"/>
    <col min="1020" max="1020" width="9.875" style="223" customWidth="1"/>
    <col min="1021" max="1021" width="8.875" style="223" customWidth="1"/>
    <col min="1022" max="1022" width="7.375" style="223" bestFit="1" customWidth="1"/>
    <col min="1023" max="1023" width="10.125" style="223" bestFit="1" customWidth="1"/>
    <col min="1024" max="1024" width="9.375" style="223"/>
    <col min="1025" max="1025" width="10.125" style="223" bestFit="1" customWidth="1"/>
    <col min="1026" max="1026" width="10.75" style="223" customWidth="1"/>
    <col min="1027" max="1029" width="9.375" style="223"/>
    <col min="1030" max="1031" width="10.75" style="223" customWidth="1"/>
    <col min="1032" max="1036" width="9.375" style="223"/>
    <col min="1037" max="1037" width="1.625" style="223" bestFit="1" customWidth="1"/>
    <col min="1038" max="1038" width="9.375" style="223"/>
    <col min="1039" max="1039" width="8.875" style="223" customWidth="1"/>
    <col min="1040" max="1040" width="13.125" style="223" customWidth="1"/>
    <col min="1041" max="1041" width="9.375" style="223"/>
    <col min="1042" max="1042" width="9.875" style="223" customWidth="1"/>
    <col min="1043" max="1043" width="11.75" style="223" bestFit="1" customWidth="1"/>
    <col min="1044" max="1273" width="9.375" style="223"/>
    <col min="1274" max="1274" width="5" style="223" customWidth="1"/>
    <col min="1275" max="1275" width="17.875" style="223" bestFit="1" customWidth="1"/>
    <col min="1276" max="1276" width="9.875" style="223" customWidth="1"/>
    <col min="1277" max="1277" width="8.875" style="223" customWidth="1"/>
    <col min="1278" max="1278" width="7.375" style="223" bestFit="1" customWidth="1"/>
    <col min="1279" max="1279" width="10.125" style="223" bestFit="1" customWidth="1"/>
    <col min="1280" max="1280" width="9.375" style="223"/>
    <col min="1281" max="1281" width="10.125" style="223" bestFit="1" customWidth="1"/>
    <col min="1282" max="1282" width="10.75" style="223" customWidth="1"/>
    <col min="1283" max="1285" width="9.375" style="223"/>
    <col min="1286" max="1287" width="10.75" style="223" customWidth="1"/>
    <col min="1288" max="1292" width="9.375" style="223"/>
    <col min="1293" max="1293" width="1.625" style="223" bestFit="1" customWidth="1"/>
    <col min="1294" max="1294" width="9.375" style="223"/>
    <col min="1295" max="1295" width="8.875" style="223" customWidth="1"/>
    <col min="1296" max="1296" width="13.125" style="223" customWidth="1"/>
    <col min="1297" max="1297" width="9.375" style="223"/>
    <col min="1298" max="1298" width="9.875" style="223" customWidth="1"/>
    <col min="1299" max="1299" width="11.75" style="223" bestFit="1" customWidth="1"/>
    <col min="1300" max="1529" width="9.375" style="223"/>
    <col min="1530" max="1530" width="5" style="223" customWidth="1"/>
    <col min="1531" max="1531" width="17.875" style="223" bestFit="1" customWidth="1"/>
    <col min="1532" max="1532" width="9.875" style="223" customWidth="1"/>
    <col min="1533" max="1533" width="8.875" style="223" customWidth="1"/>
    <col min="1534" max="1534" width="7.375" style="223" bestFit="1" customWidth="1"/>
    <col min="1535" max="1535" width="10.125" style="223" bestFit="1" customWidth="1"/>
    <col min="1536" max="1536" width="9.375" style="223"/>
    <col min="1537" max="1537" width="10.125" style="223" bestFit="1" customWidth="1"/>
    <col min="1538" max="1538" width="10.75" style="223" customWidth="1"/>
    <col min="1539" max="1541" width="9.375" style="223"/>
    <col min="1542" max="1543" width="10.75" style="223" customWidth="1"/>
    <col min="1544" max="1548" width="9.375" style="223"/>
    <col min="1549" max="1549" width="1.625" style="223" bestFit="1" customWidth="1"/>
    <col min="1550" max="1550" width="9.375" style="223"/>
    <col min="1551" max="1551" width="8.875" style="223" customWidth="1"/>
    <col min="1552" max="1552" width="13.125" style="223" customWidth="1"/>
    <col min="1553" max="1553" width="9.375" style="223"/>
    <col min="1554" max="1554" width="9.875" style="223" customWidth="1"/>
    <col min="1555" max="1555" width="11.75" style="223" bestFit="1" customWidth="1"/>
    <col min="1556" max="1785" width="9.375" style="223"/>
    <col min="1786" max="1786" width="5" style="223" customWidth="1"/>
    <col min="1787" max="1787" width="17.875" style="223" bestFit="1" customWidth="1"/>
    <col min="1788" max="1788" width="9.875" style="223" customWidth="1"/>
    <col min="1789" max="1789" width="8.875" style="223" customWidth="1"/>
    <col min="1790" max="1790" width="7.375" style="223" bestFit="1" customWidth="1"/>
    <col min="1791" max="1791" width="10.125" style="223" bestFit="1" customWidth="1"/>
    <col min="1792" max="1792" width="9.375" style="223"/>
    <col min="1793" max="1793" width="10.125" style="223" bestFit="1" customWidth="1"/>
    <col min="1794" max="1794" width="10.75" style="223" customWidth="1"/>
    <col min="1795" max="1797" width="9.375" style="223"/>
    <col min="1798" max="1799" width="10.75" style="223" customWidth="1"/>
    <col min="1800" max="1804" width="9.375" style="223"/>
    <col min="1805" max="1805" width="1.625" style="223" bestFit="1" customWidth="1"/>
    <col min="1806" max="1806" width="9.375" style="223"/>
    <col min="1807" max="1807" width="8.875" style="223" customWidth="1"/>
    <col min="1808" max="1808" width="13.125" style="223" customWidth="1"/>
    <col min="1809" max="1809" width="9.375" style="223"/>
    <col min="1810" max="1810" width="9.875" style="223" customWidth="1"/>
    <col min="1811" max="1811" width="11.75" style="223" bestFit="1" customWidth="1"/>
    <col min="1812" max="2041" width="9.375" style="223"/>
    <col min="2042" max="2042" width="5" style="223" customWidth="1"/>
    <col min="2043" max="2043" width="17.875" style="223" bestFit="1" customWidth="1"/>
    <col min="2044" max="2044" width="9.875" style="223" customWidth="1"/>
    <col min="2045" max="2045" width="8.875" style="223" customWidth="1"/>
    <col min="2046" max="2046" width="7.375" style="223" bestFit="1" customWidth="1"/>
    <col min="2047" max="2047" width="10.125" style="223" bestFit="1" customWidth="1"/>
    <col min="2048" max="2048" width="9.375" style="223"/>
    <col min="2049" max="2049" width="10.125" style="223" bestFit="1" customWidth="1"/>
    <col min="2050" max="2050" width="10.75" style="223" customWidth="1"/>
    <col min="2051" max="2053" width="9.375" style="223"/>
    <col min="2054" max="2055" width="10.75" style="223" customWidth="1"/>
    <col min="2056" max="2060" width="9.375" style="223"/>
    <col min="2061" max="2061" width="1.625" style="223" bestFit="1" customWidth="1"/>
    <col min="2062" max="2062" width="9.375" style="223"/>
    <col min="2063" max="2063" width="8.875" style="223" customWidth="1"/>
    <col min="2064" max="2064" width="13.125" style="223" customWidth="1"/>
    <col min="2065" max="2065" width="9.375" style="223"/>
    <col min="2066" max="2066" width="9.875" style="223" customWidth="1"/>
    <col min="2067" max="2067" width="11.75" style="223" bestFit="1" customWidth="1"/>
    <col min="2068" max="2297" width="9.375" style="223"/>
    <col min="2298" max="2298" width="5" style="223" customWidth="1"/>
    <col min="2299" max="2299" width="17.875" style="223" bestFit="1" customWidth="1"/>
    <col min="2300" max="2300" width="9.875" style="223" customWidth="1"/>
    <col min="2301" max="2301" width="8.875" style="223" customWidth="1"/>
    <col min="2302" max="2302" width="7.375" style="223" bestFit="1" customWidth="1"/>
    <col min="2303" max="2303" width="10.125" style="223" bestFit="1" customWidth="1"/>
    <col min="2304" max="2304" width="9.375" style="223"/>
    <col min="2305" max="2305" width="10.125" style="223" bestFit="1" customWidth="1"/>
    <col min="2306" max="2306" width="10.75" style="223" customWidth="1"/>
    <col min="2307" max="2309" width="9.375" style="223"/>
    <col min="2310" max="2311" width="10.75" style="223" customWidth="1"/>
    <col min="2312" max="2316" width="9.375" style="223"/>
    <col min="2317" max="2317" width="1.625" style="223" bestFit="1" customWidth="1"/>
    <col min="2318" max="2318" width="9.375" style="223"/>
    <col min="2319" max="2319" width="8.875" style="223" customWidth="1"/>
    <col min="2320" max="2320" width="13.125" style="223" customWidth="1"/>
    <col min="2321" max="2321" width="9.375" style="223"/>
    <col min="2322" max="2322" width="9.875" style="223" customWidth="1"/>
    <col min="2323" max="2323" width="11.75" style="223" bestFit="1" customWidth="1"/>
    <col min="2324" max="2553" width="9.375" style="223"/>
    <col min="2554" max="2554" width="5" style="223" customWidth="1"/>
    <col min="2555" max="2555" width="17.875" style="223" bestFit="1" customWidth="1"/>
    <col min="2556" max="2556" width="9.875" style="223" customWidth="1"/>
    <col min="2557" max="2557" width="8.875" style="223" customWidth="1"/>
    <col min="2558" max="2558" width="7.375" style="223" bestFit="1" customWidth="1"/>
    <col min="2559" max="2559" width="10.125" style="223" bestFit="1" customWidth="1"/>
    <col min="2560" max="2560" width="9.375" style="223"/>
    <col min="2561" max="2561" width="10.125" style="223" bestFit="1" customWidth="1"/>
    <col min="2562" max="2562" width="10.75" style="223" customWidth="1"/>
    <col min="2563" max="2565" width="9.375" style="223"/>
    <col min="2566" max="2567" width="10.75" style="223" customWidth="1"/>
    <col min="2568" max="2572" width="9.375" style="223"/>
    <col min="2573" max="2573" width="1.625" style="223" bestFit="1" customWidth="1"/>
    <col min="2574" max="2574" width="9.375" style="223"/>
    <col min="2575" max="2575" width="8.875" style="223" customWidth="1"/>
    <col min="2576" max="2576" width="13.125" style="223" customWidth="1"/>
    <col min="2577" max="2577" width="9.375" style="223"/>
    <col min="2578" max="2578" width="9.875" style="223" customWidth="1"/>
    <col min="2579" max="2579" width="11.75" style="223" bestFit="1" customWidth="1"/>
    <col min="2580" max="2809" width="9.375" style="223"/>
    <col min="2810" max="2810" width="5" style="223" customWidth="1"/>
    <col min="2811" max="2811" width="17.875" style="223" bestFit="1" customWidth="1"/>
    <col min="2812" max="2812" width="9.875" style="223" customWidth="1"/>
    <col min="2813" max="2813" width="8.875" style="223" customWidth="1"/>
    <col min="2814" max="2814" width="7.375" style="223" bestFit="1" customWidth="1"/>
    <col min="2815" max="2815" width="10.125" style="223" bestFit="1" customWidth="1"/>
    <col min="2816" max="2816" width="9.375" style="223"/>
    <col min="2817" max="2817" width="10.125" style="223" bestFit="1" customWidth="1"/>
    <col min="2818" max="2818" width="10.75" style="223" customWidth="1"/>
    <col min="2819" max="2821" width="9.375" style="223"/>
    <col min="2822" max="2823" width="10.75" style="223" customWidth="1"/>
    <col min="2824" max="2828" width="9.375" style="223"/>
    <col min="2829" max="2829" width="1.625" style="223" bestFit="1" customWidth="1"/>
    <col min="2830" max="2830" width="9.375" style="223"/>
    <col min="2831" max="2831" width="8.875" style="223" customWidth="1"/>
    <col min="2832" max="2832" width="13.125" style="223" customWidth="1"/>
    <col min="2833" max="2833" width="9.375" style="223"/>
    <col min="2834" max="2834" width="9.875" style="223" customWidth="1"/>
    <col min="2835" max="2835" width="11.75" style="223" bestFit="1" customWidth="1"/>
    <col min="2836" max="3065" width="9.375" style="223"/>
    <col min="3066" max="3066" width="5" style="223" customWidth="1"/>
    <col min="3067" max="3067" width="17.875" style="223" bestFit="1" customWidth="1"/>
    <col min="3068" max="3068" width="9.875" style="223" customWidth="1"/>
    <col min="3069" max="3069" width="8.875" style="223" customWidth="1"/>
    <col min="3070" max="3070" width="7.375" style="223" bestFit="1" customWidth="1"/>
    <col min="3071" max="3071" width="10.125" style="223" bestFit="1" customWidth="1"/>
    <col min="3072" max="3072" width="9.375" style="223"/>
    <col min="3073" max="3073" width="10.125" style="223" bestFit="1" customWidth="1"/>
    <col min="3074" max="3074" width="10.75" style="223" customWidth="1"/>
    <col min="3075" max="3077" width="9.375" style="223"/>
    <col min="3078" max="3079" width="10.75" style="223" customWidth="1"/>
    <col min="3080" max="3084" width="9.375" style="223"/>
    <col min="3085" max="3085" width="1.625" style="223" bestFit="1" customWidth="1"/>
    <col min="3086" max="3086" width="9.375" style="223"/>
    <col min="3087" max="3087" width="8.875" style="223" customWidth="1"/>
    <col min="3088" max="3088" width="13.125" style="223" customWidth="1"/>
    <col min="3089" max="3089" width="9.375" style="223"/>
    <col min="3090" max="3090" width="9.875" style="223" customWidth="1"/>
    <col min="3091" max="3091" width="11.75" style="223" bestFit="1" customWidth="1"/>
    <col min="3092" max="3321" width="9.375" style="223"/>
    <col min="3322" max="3322" width="5" style="223" customWidth="1"/>
    <col min="3323" max="3323" width="17.875" style="223" bestFit="1" customWidth="1"/>
    <col min="3324" max="3324" width="9.875" style="223" customWidth="1"/>
    <col min="3325" max="3325" width="8.875" style="223" customWidth="1"/>
    <col min="3326" max="3326" width="7.375" style="223" bestFit="1" customWidth="1"/>
    <col min="3327" max="3327" width="10.125" style="223" bestFit="1" customWidth="1"/>
    <col min="3328" max="3328" width="9.375" style="223"/>
    <col min="3329" max="3329" width="10.125" style="223" bestFit="1" customWidth="1"/>
    <col min="3330" max="3330" width="10.75" style="223" customWidth="1"/>
    <col min="3331" max="3333" width="9.375" style="223"/>
    <col min="3334" max="3335" width="10.75" style="223" customWidth="1"/>
    <col min="3336" max="3340" width="9.375" style="223"/>
    <col min="3341" max="3341" width="1.625" style="223" bestFit="1" customWidth="1"/>
    <col min="3342" max="3342" width="9.375" style="223"/>
    <col min="3343" max="3343" width="8.875" style="223" customWidth="1"/>
    <col min="3344" max="3344" width="13.125" style="223" customWidth="1"/>
    <col min="3345" max="3345" width="9.375" style="223"/>
    <col min="3346" max="3346" width="9.875" style="223" customWidth="1"/>
    <col min="3347" max="3347" width="11.75" style="223" bestFit="1" customWidth="1"/>
    <col min="3348" max="3577" width="9.375" style="223"/>
    <col min="3578" max="3578" width="5" style="223" customWidth="1"/>
    <col min="3579" max="3579" width="17.875" style="223" bestFit="1" customWidth="1"/>
    <col min="3580" max="3580" width="9.875" style="223" customWidth="1"/>
    <col min="3581" max="3581" width="8.875" style="223" customWidth="1"/>
    <col min="3582" max="3582" width="7.375" style="223" bestFit="1" customWidth="1"/>
    <col min="3583" max="3583" width="10.125" style="223" bestFit="1" customWidth="1"/>
    <col min="3584" max="3584" width="9.375" style="223"/>
    <col min="3585" max="3585" width="10.125" style="223" bestFit="1" customWidth="1"/>
    <col min="3586" max="3586" width="10.75" style="223" customWidth="1"/>
    <col min="3587" max="3589" width="9.375" style="223"/>
    <col min="3590" max="3591" width="10.75" style="223" customWidth="1"/>
    <col min="3592" max="3596" width="9.375" style="223"/>
    <col min="3597" max="3597" width="1.625" style="223" bestFit="1" customWidth="1"/>
    <col min="3598" max="3598" width="9.375" style="223"/>
    <col min="3599" max="3599" width="8.875" style="223" customWidth="1"/>
    <col min="3600" max="3600" width="13.125" style="223" customWidth="1"/>
    <col min="3601" max="3601" width="9.375" style="223"/>
    <col min="3602" max="3602" width="9.875" style="223" customWidth="1"/>
    <col min="3603" max="3603" width="11.75" style="223" bestFit="1" customWidth="1"/>
    <col min="3604" max="3833" width="9.375" style="223"/>
    <col min="3834" max="3834" width="5" style="223" customWidth="1"/>
    <col min="3835" max="3835" width="17.875" style="223" bestFit="1" customWidth="1"/>
    <col min="3836" max="3836" width="9.875" style="223" customWidth="1"/>
    <col min="3837" max="3837" width="8.875" style="223" customWidth="1"/>
    <col min="3838" max="3838" width="7.375" style="223" bestFit="1" customWidth="1"/>
    <col min="3839" max="3839" width="10.125" style="223" bestFit="1" customWidth="1"/>
    <col min="3840" max="3840" width="9.375" style="223"/>
    <col min="3841" max="3841" width="10.125" style="223" bestFit="1" customWidth="1"/>
    <col min="3842" max="3842" width="10.75" style="223" customWidth="1"/>
    <col min="3843" max="3845" width="9.375" style="223"/>
    <col min="3846" max="3847" width="10.75" style="223" customWidth="1"/>
    <col min="3848" max="3852" width="9.375" style="223"/>
    <col min="3853" max="3853" width="1.625" style="223" bestFit="1" customWidth="1"/>
    <col min="3854" max="3854" width="9.375" style="223"/>
    <col min="3855" max="3855" width="8.875" style="223" customWidth="1"/>
    <col min="3856" max="3856" width="13.125" style="223" customWidth="1"/>
    <col min="3857" max="3857" width="9.375" style="223"/>
    <col min="3858" max="3858" width="9.875" style="223" customWidth="1"/>
    <col min="3859" max="3859" width="11.75" style="223" bestFit="1" customWidth="1"/>
    <col min="3860" max="4089" width="9.375" style="223"/>
    <col min="4090" max="4090" width="5" style="223" customWidth="1"/>
    <col min="4091" max="4091" width="17.875" style="223" bestFit="1" customWidth="1"/>
    <col min="4092" max="4092" width="9.875" style="223" customWidth="1"/>
    <col min="4093" max="4093" width="8.875" style="223" customWidth="1"/>
    <col min="4094" max="4094" width="7.375" style="223" bestFit="1" customWidth="1"/>
    <col min="4095" max="4095" width="10.125" style="223" bestFit="1" customWidth="1"/>
    <col min="4096" max="4096" width="9.375" style="223"/>
    <col min="4097" max="4097" width="10.125" style="223" bestFit="1" customWidth="1"/>
    <col min="4098" max="4098" width="10.75" style="223" customWidth="1"/>
    <col min="4099" max="4101" width="9.375" style="223"/>
    <col min="4102" max="4103" width="10.75" style="223" customWidth="1"/>
    <col min="4104" max="4108" width="9.375" style="223"/>
    <col min="4109" max="4109" width="1.625" style="223" bestFit="1" customWidth="1"/>
    <col min="4110" max="4110" width="9.375" style="223"/>
    <col min="4111" max="4111" width="8.875" style="223" customWidth="1"/>
    <col min="4112" max="4112" width="13.125" style="223" customWidth="1"/>
    <col min="4113" max="4113" width="9.375" style="223"/>
    <col min="4114" max="4114" width="9.875" style="223" customWidth="1"/>
    <col min="4115" max="4115" width="11.75" style="223" bestFit="1" customWidth="1"/>
    <col min="4116" max="4345" width="9.375" style="223"/>
    <col min="4346" max="4346" width="5" style="223" customWidth="1"/>
    <col min="4347" max="4347" width="17.875" style="223" bestFit="1" customWidth="1"/>
    <col min="4348" max="4348" width="9.875" style="223" customWidth="1"/>
    <col min="4349" max="4349" width="8.875" style="223" customWidth="1"/>
    <col min="4350" max="4350" width="7.375" style="223" bestFit="1" customWidth="1"/>
    <col min="4351" max="4351" width="10.125" style="223" bestFit="1" customWidth="1"/>
    <col min="4352" max="4352" width="9.375" style="223"/>
    <col min="4353" max="4353" width="10.125" style="223" bestFit="1" customWidth="1"/>
    <col min="4354" max="4354" width="10.75" style="223" customWidth="1"/>
    <col min="4355" max="4357" width="9.375" style="223"/>
    <col min="4358" max="4359" width="10.75" style="223" customWidth="1"/>
    <col min="4360" max="4364" width="9.375" style="223"/>
    <col min="4365" max="4365" width="1.625" style="223" bestFit="1" customWidth="1"/>
    <col min="4366" max="4366" width="9.375" style="223"/>
    <col min="4367" max="4367" width="8.875" style="223" customWidth="1"/>
    <col min="4368" max="4368" width="13.125" style="223" customWidth="1"/>
    <col min="4369" max="4369" width="9.375" style="223"/>
    <col min="4370" max="4370" width="9.875" style="223" customWidth="1"/>
    <col min="4371" max="4371" width="11.75" style="223" bestFit="1" customWidth="1"/>
    <col min="4372" max="4601" width="9.375" style="223"/>
    <col min="4602" max="4602" width="5" style="223" customWidth="1"/>
    <col min="4603" max="4603" width="17.875" style="223" bestFit="1" customWidth="1"/>
    <col min="4604" max="4604" width="9.875" style="223" customWidth="1"/>
    <col min="4605" max="4605" width="8.875" style="223" customWidth="1"/>
    <col min="4606" max="4606" width="7.375" style="223" bestFit="1" customWidth="1"/>
    <col min="4607" max="4607" width="10.125" style="223" bestFit="1" customWidth="1"/>
    <col min="4608" max="4608" width="9.375" style="223"/>
    <col min="4609" max="4609" width="10.125" style="223" bestFit="1" customWidth="1"/>
    <col min="4610" max="4610" width="10.75" style="223" customWidth="1"/>
    <col min="4611" max="4613" width="9.375" style="223"/>
    <col min="4614" max="4615" width="10.75" style="223" customWidth="1"/>
    <col min="4616" max="4620" width="9.375" style="223"/>
    <col min="4621" max="4621" width="1.625" style="223" bestFit="1" customWidth="1"/>
    <col min="4622" max="4622" width="9.375" style="223"/>
    <col min="4623" max="4623" width="8.875" style="223" customWidth="1"/>
    <col min="4624" max="4624" width="13.125" style="223" customWidth="1"/>
    <col min="4625" max="4625" width="9.375" style="223"/>
    <col min="4626" max="4626" width="9.875" style="223" customWidth="1"/>
    <col min="4627" max="4627" width="11.75" style="223" bestFit="1" customWidth="1"/>
    <col min="4628" max="4857" width="9.375" style="223"/>
    <col min="4858" max="4858" width="5" style="223" customWidth="1"/>
    <col min="4859" max="4859" width="17.875" style="223" bestFit="1" customWidth="1"/>
    <col min="4860" max="4860" width="9.875" style="223" customWidth="1"/>
    <col min="4861" max="4861" width="8.875" style="223" customWidth="1"/>
    <col min="4862" max="4862" width="7.375" style="223" bestFit="1" customWidth="1"/>
    <col min="4863" max="4863" width="10.125" style="223" bestFit="1" customWidth="1"/>
    <col min="4864" max="4864" width="9.375" style="223"/>
    <col min="4865" max="4865" width="10.125" style="223" bestFit="1" customWidth="1"/>
    <col min="4866" max="4866" width="10.75" style="223" customWidth="1"/>
    <col min="4867" max="4869" width="9.375" style="223"/>
    <col min="4870" max="4871" width="10.75" style="223" customWidth="1"/>
    <col min="4872" max="4876" width="9.375" style="223"/>
    <col min="4877" max="4877" width="1.625" style="223" bestFit="1" customWidth="1"/>
    <col min="4878" max="4878" width="9.375" style="223"/>
    <col min="4879" max="4879" width="8.875" style="223" customWidth="1"/>
    <col min="4880" max="4880" width="13.125" style="223" customWidth="1"/>
    <col min="4881" max="4881" width="9.375" style="223"/>
    <col min="4882" max="4882" width="9.875" style="223" customWidth="1"/>
    <col min="4883" max="4883" width="11.75" style="223" bestFit="1" customWidth="1"/>
    <col min="4884" max="5113" width="9.375" style="223"/>
    <col min="5114" max="5114" width="5" style="223" customWidth="1"/>
    <col min="5115" max="5115" width="17.875" style="223" bestFit="1" customWidth="1"/>
    <col min="5116" max="5116" width="9.875" style="223" customWidth="1"/>
    <col min="5117" max="5117" width="8.875" style="223" customWidth="1"/>
    <col min="5118" max="5118" width="7.375" style="223" bestFit="1" customWidth="1"/>
    <col min="5119" max="5119" width="10.125" style="223" bestFit="1" customWidth="1"/>
    <col min="5120" max="5120" width="9.375" style="223"/>
    <col min="5121" max="5121" width="10.125" style="223" bestFit="1" customWidth="1"/>
    <col min="5122" max="5122" width="10.75" style="223" customWidth="1"/>
    <col min="5123" max="5125" width="9.375" style="223"/>
    <col min="5126" max="5127" width="10.75" style="223" customWidth="1"/>
    <col min="5128" max="5132" width="9.375" style="223"/>
    <col min="5133" max="5133" width="1.625" style="223" bestFit="1" customWidth="1"/>
    <col min="5134" max="5134" width="9.375" style="223"/>
    <col min="5135" max="5135" width="8.875" style="223" customWidth="1"/>
    <col min="5136" max="5136" width="13.125" style="223" customWidth="1"/>
    <col min="5137" max="5137" width="9.375" style="223"/>
    <col min="5138" max="5138" width="9.875" style="223" customWidth="1"/>
    <col min="5139" max="5139" width="11.75" style="223" bestFit="1" customWidth="1"/>
    <col min="5140" max="5369" width="9.375" style="223"/>
    <col min="5370" max="5370" width="5" style="223" customWidth="1"/>
    <col min="5371" max="5371" width="17.875" style="223" bestFit="1" customWidth="1"/>
    <col min="5372" max="5372" width="9.875" style="223" customWidth="1"/>
    <col min="5373" max="5373" width="8.875" style="223" customWidth="1"/>
    <col min="5374" max="5374" width="7.375" style="223" bestFit="1" customWidth="1"/>
    <col min="5375" max="5375" width="10.125" style="223" bestFit="1" customWidth="1"/>
    <col min="5376" max="5376" width="9.375" style="223"/>
    <col min="5377" max="5377" width="10.125" style="223" bestFit="1" customWidth="1"/>
    <col min="5378" max="5378" width="10.75" style="223" customWidth="1"/>
    <col min="5379" max="5381" width="9.375" style="223"/>
    <col min="5382" max="5383" width="10.75" style="223" customWidth="1"/>
    <col min="5384" max="5388" width="9.375" style="223"/>
    <col min="5389" max="5389" width="1.625" style="223" bestFit="1" customWidth="1"/>
    <col min="5390" max="5390" width="9.375" style="223"/>
    <col min="5391" max="5391" width="8.875" style="223" customWidth="1"/>
    <col min="5392" max="5392" width="13.125" style="223" customWidth="1"/>
    <col min="5393" max="5393" width="9.375" style="223"/>
    <col min="5394" max="5394" width="9.875" style="223" customWidth="1"/>
    <col min="5395" max="5395" width="11.75" style="223" bestFit="1" customWidth="1"/>
    <col min="5396" max="5625" width="9.375" style="223"/>
    <col min="5626" max="5626" width="5" style="223" customWidth="1"/>
    <col min="5627" max="5627" width="17.875" style="223" bestFit="1" customWidth="1"/>
    <col min="5628" max="5628" width="9.875" style="223" customWidth="1"/>
    <col min="5629" max="5629" width="8.875" style="223" customWidth="1"/>
    <col min="5630" max="5630" width="7.375" style="223" bestFit="1" customWidth="1"/>
    <col min="5631" max="5631" width="10.125" style="223" bestFit="1" customWidth="1"/>
    <col min="5632" max="5632" width="9.375" style="223"/>
    <col min="5633" max="5633" width="10.125" style="223" bestFit="1" customWidth="1"/>
    <col min="5634" max="5634" width="10.75" style="223" customWidth="1"/>
    <col min="5635" max="5637" width="9.375" style="223"/>
    <col min="5638" max="5639" width="10.75" style="223" customWidth="1"/>
    <col min="5640" max="5644" width="9.375" style="223"/>
    <col min="5645" max="5645" width="1.625" style="223" bestFit="1" customWidth="1"/>
    <col min="5646" max="5646" width="9.375" style="223"/>
    <col min="5647" max="5647" width="8.875" style="223" customWidth="1"/>
    <col min="5648" max="5648" width="13.125" style="223" customWidth="1"/>
    <col min="5649" max="5649" width="9.375" style="223"/>
    <col min="5650" max="5650" width="9.875" style="223" customWidth="1"/>
    <col min="5651" max="5651" width="11.75" style="223" bestFit="1" customWidth="1"/>
    <col min="5652" max="5881" width="9.375" style="223"/>
    <col min="5882" max="5882" width="5" style="223" customWidth="1"/>
    <col min="5883" max="5883" width="17.875" style="223" bestFit="1" customWidth="1"/>
    <col min="5884" max="5884" width="9.875" style="223" customWidth="1"/>
    <col min="5885" max="5885" width="8.875" style="223" customWidth="1"/>
    <col min="5886" max="5886" width="7.375" style="223" bestFit="1" customWidth="1"/>
    <col min="5887" max="5887" width="10.125" style="223" bestFit="1" customWidth="1"/>
    <col min="5888" max="5888" width="9.375" style="223"/>
    <col min="5889" max="5889" width="10.125" style="223" bestFit="1" customWidth="1"/>
    <col min="5890" max="5890" width="10.75" style="223" customWidth="1"/>
    <col min="5891" max="5893" width="9.375" style="223"/>
    <col min="5894" max="5895" width="10.75" style="223" customWidth="1"/>
    <col min="5896" max="5900" width="9.375" style="223"/>
    <col min="5901" max="5901" width="1.625" style="223" bestFit="1" customWidth="1"/>
    <col min="5902" max="5902" width="9.375" style="223"/>
    <col min="5903" max="5903" width="8.875" style="223" customWidth="1"/>
    <col min="5904" max="5904" width="13.125" style="223" customWidth="1"/>
    <col min="5905" max="5905" width="9.375" style="223"/>
    <col min="5906" max="5906" width="9.875" style="223" customWidth="1"/>
    <col min="5907" max="5907" width="11.75" style="223" bestFit="1" customWidth="1"/>
    <col min="5908" max="6137" width="9.375" style="223"/>
    <col min="6138" max="6138" width="5" style="223" customWidth="1"/>
    <col min="6139" max="6139" width="17.875" style="223" bestFit="1" customWidth="1"/>
    <col min="6140" max="6140" width="9.875" style="223" customWidth="1"/>
    <col min="6141" max="6141" width="8.875" style="223" customWidth="1"/>
    <col min="6142" max="6142" width="7.375" style="223" bestFit="1" customWidth="1"/>
    <col min="6143" max="6143" width="10.125" style="223" bestFit="1" customWidth="1"/>
    <col min="6144" max="6144" width="9.375" style="223"/>
    <col min="6145" max="6145" width="10.125" style="223" bestFit="1" customWidth="1"/>
    <col min="6146" max="6146" width="10.75" style="223" customWidth="1"/>
    <col min="6147" max="6149" width="9.375" style="223"/>
    <col min="6150" max="6151" width="10.75" style="223" customWidth="1"/>
    <col min="6152" max="6156" width="9.375" style="223"/>
    <col min="6157" max="6157" width="1.625" style="223" bestFit="1" customWidth="1"/>
    <col min="6158" max="6158" width="9.375" style="223"/>
    <col min="6159" max="6159" width="8.875" style="223" customWidth="1"/>
    <col min="6160" max="6160" width="13.125" style="223" customWidth="1"/>
    <col min="6161" max="6161" width="9.375" style="223"/>
    <col min="6162" max="6162" width="9.875" style="223" customWidth="1"/>
    <col min="6163" max="6163" width="11.75" style="223" bestFit="1" customWidth="1"/>
    <col min="6164" max="6393" width="9.375" style="223"/>
    <col min="6394" max="6394" width="5" style="223" customWidth="1"/>
    <col min="6395" max="6395" width="17.875" style="223" bestFit="1" customWidth="1"/>
    <col min="6396" max="6396" width="9.875" style="223" customWidth="1"/>
    <col min="6397" max="6397" width="8.875" style="223" customWidth="1"/>
    <col min="6398" max="6398" width="7.375" style="223" bestFit="1" customWidth="1"/>
    <col min="6399" max="6399" width="10.125" style="223" bestFit="1" customWidth="1"/>
    <col min="6400" max="6400" width="9.375" style="223"/>
    <col min="6401" max="6401" width="10.125" style="223" bestFit="1" customWidth="1"/>
    <col min="6402" max="6402" width="10.75" style="223" customWidth="1"/>
    <col min="6403" max="6405" width="9.375" style="223"/>
    <col min="6406" max="6407" width="10.75" style="223" customWidth="1"/>
    <col min="6408" max="6412" width="9.375" style="223"/>
    <col min="6413" max="6413" width="1.625" style="223" bestFit="1" customWidth="1"/>
    <col min="6414" max="6414" width="9.375" style="223"/>
    <col min="6415" max="6415" width="8.875" style="223" customWidth="1"/>
    <col min="6416" max="6416" width="13.125" style="223" customWidth="1"/>
    <col min="6417" max="6417" width="9.375" style="223"/>
    <col min="6418" max="6418" width="9.875" style="223" customWidth="1"/>
    <col min="6419" max="6419" width="11.75" style="223" bestFit="1" customWidth="1"/>
    <col min="6420" max="6649" width="9.375" style="223"/>
    <col min="6650" max="6650" width="5" style="223" customWidth="1"/>
    <col min="6651" max="6651" width="17.875" style="223" bestFit="1" customWidth="1"/>
    <col min="6652" max="6652" width="9.875" style="223" customWidth="1"/>
    <col min="6653" max="6653" width="8.875" style="223" customWidth="1"/>
    <col min="6654" max="6654" width="7.375" style="223" bestFit="1" customWidth="1"/>
    <col min="6655" max="6655" width="10.125" style="223" bestFit="1" customWidth="1"/>
    <col min="6656" max="6656" width="9.375" style="223"/>
    <col min="6657" max="6657" width="10.125" style="223" bestFit="1" customWidth="1"/>
    <col min="6658" max="6658" width="10.75" style="223" customWidth="1"/>
    <col min="6659" max="6661" width="9.375" style="223"/>
    <col min="6662" max="6663" width="10.75" style="223" customWidth="1"/>
    <col min="6664" max="6668" width="9.375" style="223"/>
    <col min="6669" max="6669" width="1.625" style="223" bestFit="1" customWidth="1"/>
    <col min="6670" max="6670" width="9.375" style="223"/>
    <col min="6671" max="6671" width="8.875" style="223" customWidth="1"/>
    <col min="6672" max="6672" width="13.125" style="223" customWidth="1"/>
    <col min="6673" max="6673" width="9.375" style="223"/>
    <col min="6674" max="6674" width="9.875" style="223" customWidth="1"/>
    <col min="6675" max="6675" width="11.75" style="223" bestFit="1" customWidth="1"/>
    <col min="6676" max="6905" width="9.375" style="223"/>
    <col min="6906" max="6906" width="5" style="223" customWidth="1"/>
    <col min="6907" max="6907" width="17.875" style="223" bestFit="1" customWidth="1"/>
    <col min="6908" max="6908" width="9.875" style="223" customWidth="1"/>
    <col min="6909" max="6909" width="8.875" style="223" customWidth="1"/>
    <col min="6910" max="6910" width="7.375" style="223" bestFit="1" customWidth="1"/>
    <col min="6911" max="6911" width="10.125" style="223" bestFit="1" customWidth="1"/>
    <col min="6912" max="6912" width="9.375" style="223"/>
    <col min="6913" max="6913" width="10.125" style="223" bestFit="1" customWidth="1"/>
    <col min="6914" max="6914" width="10.75" style="223" customWidth="1"/>
    <col min="6915" max="6917" width="9.375" style="223"/>
    <col min="6918" max="6919" width="10.75" style="223" customWidth="1"/>
    <col min="6920" max="6924" width="9.375" style="223"/>
    <col min="6925" max="6925" width="1.625" style="223" bestFit="1" customWidth="1"/>
    <col min="6926" max="6926" width="9.375" style="223"/>
    <col min="6927" max="6927" width="8.875" style="223" customWidth="1"/>
    <col min="6928" max="6928" width="13.125" style="223" customWidth="1"/>
    <col min="6929" max="6929" width="9.375" style="223"/>
    <col min="6930" max="6930" width="9.875" style="223" customWidth="1"/>
    <col min="6931" max="6931" width="11.75" style="223" bestFit="1" customWidth="1"/>
    <col min="6932" max="7161" width="9.375" style="223"/>
    <col min="7162" max="7162" width="5" style="223" customWidth="1"/>
    <col min="7163" max="7163" width="17.875" style="223" bestFit="1" customWidth="1"/>
    <col min="7164" max="7164" width="9.875" style="223" customWidth="1"/>
    <col min="7165" max="7165" width="8.875" style="223" customWidth="1"/>
    <col min="7166" max="7166" width="7.375" style="223" bestFit="1" customWidth="1"/>
    <col min="7167" max="7167" width="10.125" style="223" bestFit="1" customWidth="1"/>
    <col min="7168" max="7168" width="9.375" style="223"/>
    <col min="7169" max="7169" width="10.125" style="223" bestFit="1" customWidth="1"/>
    <col min="7170" max="7170" width="10.75" style="223" customWidth="1"/>
    <col min="7171" max="7173" width="9.375" style="223"/>
    <col min="7174" max="7175" width="10.75" style="223" customWidth="1"/>
    <col min="7176" max="7180" width="9.375" style="223"/>
    <col min="7181" max="7181" width="1.625" style="223" bestFit="1" customWidth="1"/>
    <col min="7182" max="7182" width="9.375" style="223"/>
    <col min="7183" max="7183" width="8.875" style="223" customWidth="1"/>
    <col min="7184" max="7184" width="13.125" style="223" customWidth="1"/>
    <col min="7185" max="7185" width="9.375" style="223"/>
    <col min="7186" max="7186" width="9.875" style="223" customWidth="1"/>
    <col min="7187" max="7187" width="11.75" style="223" bestFit="1" customWidth="1"/>
    <col min="7188" max="7417" width="9.375" style="223"/>
    <col min="7418" max="7418" width="5" style="223" customWidth="1"/>
    <col min="7419" max="7419" width="17.875" style="223" bestFit="1" customWidth="1"/>
    <col min="7420" max="7420" width="9.875" style="223" customWidth="1"/>
    <col min="7421" max="7421" width="8.875" style="223" customWidth="1"/>
    <col min="7422" max="7422" width="7.375" style="223" bestFit="1" customWidth="1"/>
    <col min="7423" max="7423" width="10.125" style="223" bestFit="1" customWidth="1"/>
    <col min="7424" max="7424" width="9.375" style="223"/>
    <col min="7425" max="7425" width="10.125" style="223" bestFit="1" customWidth="1"/>
    <col min="7426" max="7426" width="10.75" style="223" customWidth="1"/>
    <col min="7427" max="7429" width="9.375" style="223"/>
    <col min="7430" max="7431" width="10.75" style="223" customWidth="1"/>
    <col min="7432" max="7436" width="9.375" style="223"/>
    <col min="7437" max="7437" width="1.625" style="223" bestFit="1" customWidth="1"/>
    <col min="7438" max="7438" width="9.375" style="223"/>
    <col min="7439" max="7439" width="8.875" style="223" customWidth="1"/>
    <col min="7440" max="7440" width="13.125" style="223" customWidth="1"/>
    <col min="7441" max="7441" width="9.375" style="223"/>
    <col min="7442" max="7442" width="9.875" style="223" customWidth="1"/>
    <col min="7443" max="7443" width="11.75" style="223" bestFit="1" customWidth="1"/>
    <col min="7444" max="7673" width="9.375" style="223"/>
    <col min="7674" max="7674" width="5" style="223" customWidth="1"/>
    <col min="7675" max="7675" width="17.875" style="223" bestFit="1" customWidth="1"/>
    <col min="7676" max="7676" width="9.875" style="223" customWidth="1"/>
    <col min="7677" max="7677" width="8.875" style="223" customWidth="1"/>
    <col min="7678" max="7678" width="7.375" style="223" bestFit="1" customWidth="1"/>
    <col min="7679" max="7679" width="10.125" style="223" bestFit="1" customWidth="1"/>
    <col min="7680" max="7680" width="9.375" style="223"/>
    <col min="7681" max="7681" width="10.125" style="223" bestFit="1" customWidth="1"/>
    <col min="7682" max="7682" width="10.75" style="223" customWidth="1"/>
    <col min="7683" max="7685" width="9.375" style="223"/>
    <col min="7686" max="7687" width="10.75" style="223" customWidth="1"/>
    <col min="7688" max="7692" width="9.375" style="223"/>
    <col min="7693" max="7693" width="1.625" style="223" bestFit="1" customWidth="1"/>
    <col min="7694" max="7694" width="9.375" style="223"/>
    <col min="7695" max="7695" width="8.875" style="223" customWidth="1"/>
    <col min="7696" max="7696" width="13.125" style="223" customWidth="1"/>
    <col min="7697" max="7697" width="9.375" style="223"/>
    <col min="7698" max="7698" width="9.875" style="223" customWidth="1"/>
    <col min="7699" max="7699" width="11.75" style="223" bestFit="1" customWidth="1"/>
    <col min="7700" max="7929" width="9.375" style="223"/>
    <col min="7930" max="7930" width="5" style="223" customWidth="1"/>
    <col min="7931" max="7931" width="17.875" style="223" bestFit="1" customWidth="1"/>
    <col min="7932" max="7932" width="9.875" style="223" customWidth="1"/>
    <col min="7933" max="7933" width="8.875" style="223" customWidth="1"/>
    <col min="7934" max="7934" width="7.375" style="223" bestFit="1" customWidth="1"/>
    <col min="7935" max="7935" width="10.125" style="223" bestFit="1" customWidth="1"/>
    <col min="7936" max="7936" width="9.375" style="223"/>
    <col min="7937" max="7937" width="10.125" style="223" bestFit="1" customWidth="1"/>
    <col min="7938" max="7938" width="10.75" style="223" customWidth="1"/>
    <col min="7939" max="7941" width="9.375" style="223"/>
    <col min="7942" max="7943" width="10.75" style="223" customWidth="1"/>
    <col min="7944" max="7948" width="9.375" style="223"/>
    <col min="7949" max="7949" width="1.625" style="223" bestFit="1" customWidth="1"/>
    <col min="7950" max="7950" width="9.375" style="223"/>
    <col min="7951" max="7951" width="8.875" style="223" customWidth="1"/>
    <col min="7952" max="7952" width="13.125" style="223" customWidth="1"/>
    <col min="7953" max="7953" width="9.375" style="223"/>
    <col min="7954" max="7954" width="9.875" style="223" customWidth="1"/>
    <col min="7955" max="7955" width="11.75" style="223" bestFit="1" customWidth="1"/>
    <col min="7956" max="8185" width="9.375" style="223"/>
    <col min="8186" max="8186" width="5" style="223" customWidth="1"/>
    <col min="8187" max="8187" width="17.875" style="223" bestFit="1" customWidth="1"/>
    <col min="8188" max="8188" width="9.875" style="223" customWidth="1"/>
    <col min="8189" max="8189" width="8.875" style="223" customWidth="1"/>
    <col min="8190" max="8190" width="7.375" style="223" bestFit="1" customWidth="1"/>
    <col min="8191" max="8191" width="10.125" style="223" bestFit="1" customWidth="1"/>
    <col min="8192" max="8192" width="9.375" style="223"/>
    <col min="8193" max="8193" width="10.125" style="223" bestFit="1" customWidth="1"/>
    <col min="8194" max="8194" width="10.75" style="223" customWidth="1"/>
    <col min="8195" max="8197" width="9.375" style="223"/>
    <col min="8198" max="8199" width="10.75" style="223" customWidth="1"/>
    <col min="8200" max="8204" width="9.375" style="223"/>
    <col min="8205" max="8205" width="1.625" style="223" bestFit="1" customWidth="1"/>
    <col min="8206" max="8206" width="9.375" style="223"/>
    <col min="8207" max="8207" width="8.875" style="223" customWidth="1"/>
    <col min="8208" max="8208" width="13.125" style="223" customWidth="1"/>
    <col min="8209" max="8209" width="9.375" style="223"/>
    <col min="8210" max="8210" width="9.875" style="223" customWidth="1"/>
    <col min="8211" max="8211" width="11.75" style="223" bestFit="1" customWidth="1"/>
    <col min="8212" max="8441" width="9.375" style="223"/>
    <col min="8442" max="8442" width="5" style="223" customWidth="1"/>
    <col min="8443" max="8443" width="17.875" style="223" bestFit="1" customWidth="1"/>
    <col min="8444" max="8444" width="9.875" style="223" customWidth="1"/>
    <col min="8445" max="8445" width="8.875" style="223" customWidth="1"/>
    <col min="8446" max="8446" width="7.375" style="223" bestFit="1" customWidth="1"/>
    <col min="8447" max="8447" width="10.125" style="223" bestFit="1" customWidth="1"/>
    <col min="8448" max="8448" width="9.375" style="223"/>
    <col min="8449" max="8449" width="10.125" style="223" bestFit="1" customWidth="1"/>
    <col min="8450" max="8450" width="10.75" style="223" customWidth="1"/>
    <col min="8451" max="8453" width="9.375" style="223"/>
    <col min="8454" max="8455" width="10.75" style="223" customWidth="1"/>
    <col min="8456" max="8460" width="9.375" style="223"/>
    <col min="8461" max="8461" width="1.625" style="223" bestFit="1" customWidth="1"/>
    <col min="8462" max="8462" width="9.375" style="223"/>
    <col min="8463" max="8463" width="8.875" style="223" customWidth="1"/>
    <col min="8464" max="8464" width="13.125" style="223" customWidth="1"/>
    <col min="8465" max="8465" width="9.375" style="223"/>
    <col min="8466" max="8466" width="9.875" style="223" customWidth="1"/>
    <col min="8467" max="8467" width="11.75" style="223" bestFit="1" customWidth="1"/>
    <col min="8468" max="8697" width="9.375" style="223"/>
    <col min="8698" max="8698" width="5" style="223" customWidth="1"/>
    <col min="8699" max="8699" width="17.875" style="223" bestFit="1" customWidth="1"/>
    <col min="8700" max="8700" width="9.875" style="223" customWidth="1"/>
    <col min="8701" max="8701" width="8.875" style="223" customWidth="1"/>
    <col min="8702" max="8702" width="7.375" style="223" bestFit="1" customWidth="1"/>
    <col min="8703" max="8703" width="10.125" style="223" bestFit="1" customWidth="1"/>
    <col min="8704" max="8704" width="9.375" style="223"/>
    <col min="8705" max="8705" width="10.125" style="223" bestFit="1" customWidth="1"/>
    <col min="8706" max="8706" width="10.75" style="223" customWidth="1"/>
    <col min="8707" max="8709" width="9.375" style="223"/>
    <col min="8710" max="8711" width="10.75" style="223" customWidth="1"/>
    <col min="8712" max="8716" width="9.375" style="223"/>
    <col min="8717" max="8717" width="1.625" style="223" bestFit="1" customWidth="1"/>
    <col min="8718" max="8718" width="9.375" style="223"/>
    <col min="8719" max="8719" width="8.875" style="223" customWidth="1"/>
    <col min="8720" max="8720" width="13.125" style="223" customWidth="1"/>
    <col min="8721" max="8721" width="9.375" style="223"/>
    <col min="8722" max="8722" width="9.875" style="223" customWidth="1"/>
    <col min="8723" max="8723" width="11.75" style="223" bestFit="1" customWidth="1"/>
    <col min="8724" max="8953" width="9.375" style="223"/>
    <col min="8954" max="8954" width="5" style="223" customWidth="1"/>
    <col min="8955" max="8955" width="17.875" style="223" bestFit="1" customWidth="1"/>
    <col min="8956" max="8956" width="9.875" style="223" customWidth="1"/>
    <col min="8957" max="8957" width="8.875" style="223" customWidth="1"/>
    <col min="8958" max="8958" width="7.375" style="223" bestFit="1" customWidth="1"/>
    <col min="8959" max="8959" width="10.125" style="223" bestFit="1" customWidth="1"/>
    <col min="8960" max="8960" width="9.375" style="223"/>
    <col min="8961" max="8961" width="10.125" style="223" bestFit="1" customWidth="1"/>
    <col min="8962" max="8962" width="10.75" style="223" customWidth="1"/>
    <col min="8963" max="8965" width="9.375" style="223"/>
    <col min="8966" max="8967" width="10.75" style="223" customWidth="1"/>
    <col min="8968" max="8972" width="9.375" style="223"/>
    <col min="8973" max="8973" width="1.625" style="223" bestFit="1" customWidth="1"/>
    <col min="8974" max="8974" width="9.375" style="223"/>
    <col min="8975" max="8975" width="8.875" style="223" customWidth="1"/>
    <col min="8976" max="8976" width="13.125" style="223" customWidth="1"/>
    <col min="8977" max="8977" width="9.375" style="223"/>
    <col min="8978" max="8978" width="9.875" style="223" customWidth="1"/>
    <col min="8979" max="8979" width="11.75" style="223" bestFit="1" customWidth="1"/>
    <col min="8980" max="9209" width="9.375" style="223"/>
    <col min="9210" max="9210" width="5" style="223" customWidth="1"/>
    <col min="9211" max="9211" width="17.875" style="223" bestFit="1" customWidth="1"/>
    <col min="9212" max="9212" width="9.875" style="223" customWidth="1"/>
    <col min="9213" max="9213" width="8.875" style="223" customWidth="1"/>
    <col min="9214" max="9214" width="7.375" style="223" bestFit="1" customWidth="1"/>
    <col min="9215" max="9215" width="10.125" style="223" bestFit="1" customWidth="1"/>
    <col min="9216" max="9216" width="9.375" style="223"/>
    <col min="9217" max="9217" width="10.125" style="223" bestFit="1" customWidth="1"/>
    <col min="9218" max="9218" width="10.75" style="223" customWidth="1"/>
    <col min="9219" max="9221" width="9.375" style="223"/>
    <col min="9222" max="9223" width="10.75" style="223" customWidth="1"/>
    <col min="9224" max="9228" width="9.375" style="223"/>
    <col min="9229" max="9229" width="1.625" style="223" bestFit="1" customWidth="1"/>
    <col min="9230" max="9230" width="9.375" style="223"/>
    <col min="9231" max="9231" width="8.875" style="223" customWidth="1"/>
    <col min="9232" max="9232" width="13.125" style="223" customWidth="1"/>
    <col min="9233" max="9233" width="9.375" style="223"/>
    <col min="9234" max="9234" width="9.875" style="223" customWidth="1"/>
    <col min="9235" max="9235" width="11.75" style="223" bestFit="1" customWidth="1"/>
    <col min="9236" max="9465" width="9.375" style="223"/>
    <col min="9466" max="9466" width="5" style="223" customWidth="1"/>
    <col min="9467" max="9467" width="17.875" style="223" bestFit="1" customWidth="1"/>
    <col min="9468" max="9468" width="9.875" style="223" customWidth="1"/>
    <col min="9469" max="9469" width="8.875" style="223" customWidth="1"/>
    <col min="9470" max="9470" width="7.375" style="223" bestFit="1" customWidth="1"/>
    <col min="9471" max="9471" width="10.125" style="223" bestFit="1" customWidth="1"/>
    <col min="9472" max="9472" width="9.375" style="223"/>
    <col min="9473" max="9473" width="10.125" style="223" bestFit="1" customWidth="1"/>
    <col min="9474" max="9474" width="10.75" style="223" customWidth="1"/>
    <col min="9475" max="9477" width="9.375" style="223"/>
    <col min="9478" max="9479" width="10.75" style="223" customWidth="1"/>
    <col min="9480" max="9484" width="9.375" style="223"/>
    <col min="9485" max="9485" width="1.625" style="223" bestFit="1" customWidth="1"/>
    <col min="9486" max="9486" width="9.375" style="223"/>
    <col min="9487" max="9487" width="8.875" style="223" customWidth="1"/>
    <col min="9488" max="9488" width="13.125" style="223" customWidth="1"/>
    <col min="9489" max="9489" width="9.375" style="223"/>
    <col min="9490" max="9490" width="9.875" style="223" customWidth="1"/>
    <col min="9491" max="9491" width="11.75" style="223" bestFit="1" customWidth="1"/>
    <col min="9492" max="9721" width="9.375" style="223"/>
    <col min="9722" max="9722" width="5" style="223" customWidth="1"/>
    <col min="9723" max="9723" width="17.875" style="223" bestFit="1" customWidth="1"/>
    <col min="9724" max="9724" width="9.875" style="223" customWidth="1"/>
    <col min="9725" max="9725" width="8.875" style="223" customWidth="1"/>
    <col min="9726" max="9726" width="7.375" style="223" bestFit="1" customWidth="1"/>
    <col min="9727" max="9727" width="10.125" style="223" bestFit="1" customWidth="1"/>
    <col min="9728" max="9728" width="9.375" style="223"/>
    <col min="9729" max="9729" width="10.125" style="223" bestFit="1" customWidth="1"/>
    <col min="9730" max="9730" width="10.75" style="223" customWidth="1"/>
    <col min="9731" max="9733" width="9.375" style="223"/>
    <col min="9734" max="9735" width="10.75" style="223" customWidth="1"/>
    <col min="9736" max="9740" width="9.375" style="223"/>
    <col min="9741" max="9741" width="1.625" style="223" bestFit="1" customWidth="1"/>
    <col min="9742" max="9742" width="9.375" style="223"/>
    <col min="9743" max="9743" width="8.875" style="223" customWidth="1"/>
    <col min="9744" max="9744" width="13.125" style="223" customWidth="1"/>
    <col min="9745" max="9745" width="9.375" style="223"/>
    <col min="9746" max="9746" width="9.875" style="223" customWidth="1"/>
    <col min="9747" max="9747" width="11.75" style="223" bestFit="1" customWidth="1"/>
    <col min="9748" max="9977" width="9.375" style="223"/>
    <col min="9978" max="9978" width="5" style="223" customWidth="1"/>
    <col min="9979" max="9979" width="17.875" style="223" bestFit="1" customWidth="1"/>
    <col min="9980" max="9980" width="9.875" style="223" customWidth="1"/>
    <col min="9981" max="9981" width="8.875" style="223" customWidth="1"/>
    <col min="9982" max="9982" width="7.375" style="223" bestFit="1" customWidth="1"/>
    <col min="9983" max="9983" width="10.125" style="223" bestFit="1" customWidth="1"/>
    <col min="9984" max="9984" width="9.375" style="223"/>
    <col min="9985" max="9985" width="10.125" style="223" bestFit="1" customWidth="1"/>
    <col min="9986" max="9986" width="10.75" style="223" customWidth="1"/>
    <col min="9987" max="9989" width="9.375" style="223"/>
    <col min="9990" max="9991" width="10.75" style="223" customWidth="1"/>
    <col min="9992" max="9996" width="9.375" style="223"/>
    <col min="9997" max="9997" width="1.625" style="223" bestFit="1" customWidth="1"/>
    <col min="9998" max="9998" width="9.375" style="223"/>
    <col min="9999" max="9999" width="8.875" style="223" customWidth="1"/>
    <col min="10000" max="10000" width="13.125" style="223" customWidth="1"/>
    <col min="10001" max="10001" width="9.375" style="223"/>
    <col min="10002" max="10002" width="9.875" style="223" customWidth="1"/>
    <col min="10003" max="10003" width="11.75" style="223" bestFit="1" customWidth="1"/>
    <col min="10004" max="10233" width="9.375" style="223"/>
    <col min="10234" max="10234" width="5" style="223" customWidth="1"/>
    <col min="10235" max="10235" width="17.875" style="223" bestFit="1" customWidth="1"/>
    <col min="10236" max="10236" width="9.875" style="223" customWidth="1"/>
    <col min="10237" max="10237" width="8.875" style="223" customWidth="1"/>
    <col min="10238" max="10238" width="7.375" style="223" bestFit="1" customWidth="1"/>
    <col min="10239" max="10239" width="10.125" style="223" bestFit="1" customWidth="1"/>
    <col min="10240" max="10240" width="9.375" style="223"/>
    <col min="10241" max="10241" width="10.125" style="223" bestFit="1" customWidth="1"/>
    <col min="10242" max="10242" width="10.75" style="223" customWidth="1"/>
    <col min="10243" max="10245" width="9.375" style="223"/>
    <col min="10246" max="10247" width="10.75" style="223" customWidth="1"/>
    <col min="10248" max="10252" width="9.375" style="223"/>
    <col min="10253" max="10253" width="1.625" style="223" bestFit="1" customWidth="1"/>
    <col min="10254" max="10254" width="9.375" style="223"/>
    <col min="10255" max="10255" width="8.875" style="223" customWidth="1"/>
    <col min="10256" max="10256" width="13.125" style="223" customWidth="1"/>
    <col min="10257" max="10257" width="9.375" style="223"/>
    <col min="10258" max="10258" width="9.875" style="223" customWidth="1"/>
    <col min="10259" max="10259" width="11.75" style="223" bestFit="1" customWidth="1"/>
    <col min="10260" max="10489" width="9.375" style="223"/>
    <col min="10490" max="10490" width="5" style="223" customWidth="1"/>
    <col min="10491" max="10491" width="17.875" style="223" bestFit="1" customWidth="1"/>
    <col min="10492" max="10492" width="9.875" style="223" customWidth="1"/>
    <col min="10493" max="10493" width="8.875" style="223" customWidth="1"/>
    <col min="10494" max="10494" width="7.375" style="223" bestFit="1" customWidth="1"/>
    <col min="10495" max="10495" width="10.125" style="223" bestFit="1" customWidth="1"/>
    <col min="10496" max="10496" width="9.375" style="223"/>
    <col min="10497" max="10497" width="10.125" style="223" bestFit="1" customWidth="1"/>
    <col min="10498" max="10498" width="10.75" style="223" customWidth="1"/>
    <col min="10499" max="10501" width="9.375" style="223"/>
    <col min="10502" max="10503" width="10.75" style="223" customWidth="1"/>
    <col min="10504" max="10508" width="9.375" style="223"/>
    <col min="10509" max="10509" width="1.625" style="223" bestFit="1" customWidth="1"/>
    <col min="10510" max="10510" width="9.375" style="223"/>
    <col min="10511" max="10511" width="8.875" style="223" customWidth="1"/>
    <col min="10512" max="10512" width="13.125" style="223" customWidth="1"/>
    <col min="10513" max="10513" width="9.375" style="223"/>
    <col min="10514" max="10514" width="9.875" style="223" customWidth="1"/>
    <col min="10515" max="10515" width="11.75" style="223" bestFit="1" customWidth="1"/>
    <col min="10516" max="10745" width="9.375" style="223"/>
    <col min="10746" max="10746" width="5" style="223" customWidth="1"/>
    <col min="10747" max="10747" width="17.875" style="223" bestFit="1" customWidth="1"/>
    <col min="10748" max="10748" width="9.875" style="223" customWidth="1"/>
    <col min="10749" max="10749" width="8.875" style="223" customWidth="1"/>
    <col min="10750" max="10750" width="7.375" style="223" bestFit="1" customWidth="1"/>
    <col min="10751" max="10751" width="10.125" style="223" bestFit="1" customWidth="1"/>
    <col min="10752" max="10752" width="9.375" style="223"/>
    <col min="10753" max="10753" width="10.125" style="223" bestFit="1" customWidth="1"/>
    <col min="10754" max="10754" width="10.75" style="223" customWidth="1"/>
    <col min="10755" max="10757" width="9.375" style="223"/>
    <col min="10758" max="10759" width="10.75" style="223" customWidth="1"/>
    <col min="10760" max="10764" width="9.375" style="223"/>
    <col min="10765" max="10765" width="1.625" style="223" bestFit="1" customWidth="1"/>
    <col min="10766" max="10766" width="9.375" style="223"/>
    <col min="10767" max="10767" width="8.875" style="223" customWidth="1"/>
    <col min="10768" max="10768" width="13.125" style="223" customWidth="1"/>
    <col min="10769" max="10769" width="9.375" style="223"/>
    <col min="10770" max="10770" width="9.875" style="223" customWidth="1"/>
    <col min="10771" max="10771" width="11.75" style="223" bestFit="1" customWidth="1"/>
    <col min="10772" max="11001" width="9.375" style="223"/>
    <col min="11002" max="11002" width="5" style="223" customWidth="1"/>
    <col min="11003" max="11003" width="17.875" style="223" bestFit="1" customWidth="1"/>
    <col min="11004" max="11004" width="9.875" style="223" customWidth="1"/>
    <col min="11005" max="11005" width="8.875" style="223" customWidth="1"/>
    <col min="11006" max="11006" width="7.375" style="223" bestFit="1" customWidth="1"/>
    <col min="11007" max="11007" width="10.125" style="223" bestFit="1" customWidth="1"/>
    <col min="11008" max="11008" width="9.375" style="223"/>
    <col min="11009" max="11009" width="10.125" style="223" bestFit="1" customWidth="1"/>
    <col min="11010" max="11010" width="10.75" style="223" customWidth="1"/>
    <col min="11011" max="11013" width="9.375" style="223"/>
    <col min="11014" max="11015" width="10.75" style="223" customWidth="1"/>
    <col min="11016" max="11020" width="9.375" style="223"/>
    <col min="11021" max="11021" width="1.625" style="223" bestFit="1" customWidth="1"/>
    <col min="11022" max="11022" width="9.375" style="223"/>
    <col min="11023" max="11023" width="8.875" style="223" customWidth="1"/>
    <col min="11024" max="11024" width="13.125" style="223" customWidth="1"/>
    <col min="11025" max="11025" width="9.375" style="223"/>
    <col min="11026" max="11026" width="9.875" style="223" customWidth="1"/>
    <col min="11027" max="11027" width="11.75" style="223" bestFit="1" customWidth="1"/>
    <col min="11028" max="11257" width="9.375" style="223"/>
    <col min="11258" max="11258" width="5" style="223" customWidth="1"/>
    <col min="11259" max="11259" width="17.875" style="223" bestFit="1" customWidth="1"/>
    <col min="11260" max="11260" width="9.875" style="223" customWidth="1"/>
    <col min="11261" max="11261" width="8.875" style="223" customWidth="1"/>
    <col min="11262" max="11262" width="7.375" style="223" bestFit="1" customWidth="1"/>
    <col min="11263" max="11263" width="10.125" style="223" bestFit="1" customWidth="1"/>
    <col min="11264" max="11264" width="9.375" style="223"/>
    <col min="11265" max="11265" width="10.125" style="223" bestFit="1" customWidth="1"/>
    <col min="11266" max="11266" width="10.75" style="223" customWidth="1"/>
    <col min="11267" max="11269" width="9.375" style="223"/>
    <col min="11270" max="11271" width="10.75" style="223" customWidth="1"/>
    <col min="11272" max="11276" width="9.375" style="223"/>
    <col min="11277" max="11277" width="1.625" style="223" bestFit="1" customWidth="1"/>
    <col min="11278" max="11278" width="9.375" style="223"/>
    <col min="11279" max="11279" width="8.875" style="223" customWidth="1"/>
    <col min="11280" max="11280" width="13.125" style="223" customWidth="1"/>
    <col min="11281" max="11281" width="9.375" style="223"/>
    <col min="11282" max="11282" width="9.875" style="223" customWidth="1"/>
    <col min="11283" max="11283" width="11.75" style="223" bestFit="1" customWidth="1"/>
    <col min="11284" max="11513" width="9.375" style="223"/>
    <col min="11514" max="11514" width="5" style="223" customWidth="1"/>
    <col min="11515" max="11515" width="17.875" style="223" bestFit="1" customWidth="1"/>
    <col min="11516" max="11516" width="9.875" style="223" customWidth="1"/>
    <col min="11517" max="11517" width="8.875" style="223" customWidth="1"/>
    <col min="11518" max="11518" width="7.375" style="223" bestFit="1" customWidth="1"/>
    <col min="11519" max="11519" width="10.125" style="223" bestFit="1" customWidth="1"/>
    <col min="11520" max="11520" width="9.375" style="223"/>
    <col min="11521" max="11521" width="10.125" style="223" bestFit="1" customWidth="1"/>
    <col min="11522" max="11522" width="10.75" style="223" customWidth="1"/>
    <col min="11523" max="11525" width="9.375" style="223"/>
    <col min="11526" max="11527" width="10.75" style="223" customWidth="1"/>
    <col min="11528" max="11532" width="9.375" style="223"/>
    <col min="11533" max="11533" width="1.625" style="223" bestFit="1" customWidth="1"/>
    <col min="11534" max="11534" width="9.375" style="223"/>
    <col min="11535" max="11535" width="8.875" style="223" customWidth="1"/>
    <col min="11536" max="11536" width="13.125" style="223" customWidth="1"/>
    <col min="11537" max="11537" width="9.375" style="223"/>
    <col min="11538" max="11538" width="9.875" style="223" customWidth="1"/>
    <col min="11539" max="11539" width="11.75" style="223" bestFit="1" customWidth="1"/>
    <col min="11540" max="11769" width="9.375" style="223"/>
    <col min="11770" max="11770" width="5" style="223" customWidth="1"/>
    <col min="11771" max="11771" width="17.875" style="223" bestFit="1" customWidth="1"/>
    <col min="11772" max="11772" width="9.875" style="223" customWidth="1"/>
    <col min="11773" max="11773" width="8.875" style="223" customWidth="1"/>
    <col min="11774" max="11774" width="7.375" style="223" bestFit="1" customWidth="1"/>
    <col min="11775" max="11775" width="10.125" style="223" bestFit="1" customWidth="1"/>
    <col min="11776" max="11776" width="9.375" style="223"/>
    <col min="11777" max="11777" width="10.125" style="223" bestFit="1" customWidth="1"/>
    <col min="11778" max="11778" width="10.75" style="223" customWidth="1"/>
    <col min="11779" max="11781" width="9.375" style="223"/>
    <col min="11782" max="11783" width="10.75" style="223" customWidth="1"/>
    <col min="11784" max="11788" width="9.375" style="223"/>
    <col min="11789" max="11789" width="1.625" style="223" bestFit="1" customWidth="1"/>
    <col min="11790" max="11790" width="9.375" style="223"/>
    <col min="11791" max="11791" width="8.875" style="223" customWidth="1"/>
    <col min="11792" max="11792" width="13.125" style="223" customWidth="1"/>
    <col min="11793" max="11793" width="9.375" style="223"/>
    <col min="11794" max="11794" width="9.875" style="223" customWidth="1"/>
    <col min="11795" max="11795" width="11.75" style="223" bestFit="1" customWidth="1"/>
    <col min="11796" max="12025" width="9.375" style="223"/>
    <col min="12026" max="12026" width="5" style="223" customWidth="1"/>
    <col min="12027" max="12027" width="17.875" style="223" bestFit="1" customWidth="1"/>
    <col min="12028" max="12028" width="9.875" style="223" customWidth="1"/>
    <col min="12029" max="12029" width="8.875" style="223" customWidth="1"/>
    <col min="12030" max="12030" width="7.375" style="223" bestFit="1" customWidth="1"/>
    <col min="12031" max="12031" width="10.125" style="223" bestFit="1" customWidth="1"/>
    <col min="12032" max="12032" width="9.375" style="223"/>
    <col min="12033" max="12033" width="10.125" style="223" bestFit="1" customWidth="1"/>
    <col min="12034" max="12034" width="10.75" style="223" customWidth="1"/>
    <col min="12035" max="12037" width="9.375" style="223"/>
    <col min="12038" max="12039" width="10.75" style="223" customWidth="1"/>
    <col min="12040" max="12044" width="9.375" style="223"/>
    <col min="12045" max="12045" width="1.625" style="223" bestFit="1" customWidth="1"/>
    <col min="12046" max="12046" width="9.375" style="223"/>
    <col min="12047" max="12047" width="8.875" style="223" customWidth="1"/>
    <col min="12048" max="12048" width="13.125" style="223" customWidth="1"/>
    <col min="12049" max="12049" width="9.375" style="223"/>
    <col min="12050" max="12050" width="9.875" style="223" customWidth="1"/>
    <col min="12051" max="12051" width="11.75" style="223" bestFit="1" customWidth="1"/>
    <col min="12052" max="12281" width="9.375" style="223"/>
    <col min="12282" max="12282" width="5" style="223" customWidth="1"/>
    <col min="12283" max="12283" width="17.875" style="223" bestFit="1" customWidth="1"/>
    <col min="12284" max="12284" width="9.875" style="223" customWidth="1"/>
    <col min="12285" max="12285" width="8.875" style="223" customWidth="1"/>
    <col min="12286" max="12286" width="7.375" style="223" bestFit="1" customWidth="1"/>
    <col min="12287" max="12287" width="10.125" style="223" bestFit="1" customWidth="1"/>
    <col min="12288" max="12288" width="9.375" style="223"/>
    <col min="12289" max="12289" width="10.125" style="223" bestFit="1" customWidth="1"/>
    <col min="12290" max="12290" width="10.75" style="223" customWidth="1"/>
    <col min="12291" max="12293" width="9.375" style="223"/>
    <col min="12294" max="12295" width="10.75" style="223" customWidth="1"/>
    <col min="12296" max="12300" width="9.375" style="223"/>
    <col min="12301" max="12301" width="1.625" style="223" bestFit="1" customWidth="1"/>
    <col min="12302" max="12302" width="9.375" style="223"/>
    <col min="12303" max="12303" width="8.875" style="223" customWidth="1"/>
    <col min="12304" max="12304" width="13.125" style="223" customWidth="1"/>
    <col min="12305" max="12305" width="9.375" style="223"/>
    <col min="12306" max="12306" width="9.875" style="223" customWidth="1"/>
    <col min="12307" max="12307" width="11.75" style="223" bestFit="1" customWidth="1"/>
    <col min="12308" max="12537" width="9.375" style="223"/>
    <col min="12538" max="12538" width="5" style="223" customWidth="1"/>
    <col min="12539" max="12539" width="17.875" style="223" bestFit="1" customWidth="1"/>
    <col min="12540" max="12540" width="9.875" style="223" customWidth="1"/>
    <col min="12541" max="12541" width="8.875" style="223" customWidth="1"/>
    <col min="12542" max="12542" width="7.375" style="223" bestFit="1" customWidth="1"/>
    <col min="12543" max="12543" width="10.125" style="223" bestFit="1" customWidth="1"/>
    <col min="12544" max="12544" width="9.375" style="223"/>
    <col min="12545" max="12545" width="10.125" style="223" bestFit="1" customWidth="1"/>
    <col min="12546" max="12546" width="10.75" style="223" customWidth="1"/>
    <col min="12547" max="12549" width="9.375" style="223"/>
    <col min="12550" max="12551" width="10.75" style="223" customWidth="1"/>
    <col min="12552" max="12556" width="9.375" style="223"/>
    <col min="12557" max="12557" width="1.625" style="223" bestFit="1" customWidth="1"/>
    <col min="12558" max="12558" width="9.375" style="223"/>
    <col min="12559" max="12559" width="8.875" style="223" customWidth="1"/>
    <col min="12560" max="12560" width="13.125" style="223" customWidth="1"/>
    <col min="12561" max="12561" width="9.375" style="223"/>
    <col min="12562" max="12562" width="9.875" style="223" customWidth="1"/>
    <col min="12563" max="12563" width="11.75" style="223" bestFit="1" customWidth="1"/>
    <col min="12564" max="12793" width="9.375" style="223"/>
    <col min="12794" max="12794" width="5" style="223" customWidth="1"/>
    <col min="12795" max="12795" width="17.875" style="223" bestFit="1" customWidth="1"/>
    <col min="12796" max="12796" width="9.875" style="223" customWidth="1"/>
    <col min="12797" max="12797" width="8.875" style="223" customWidth="1"/>
    <col min="12798" max="12798" width="7.375" style="223" bestFit="1" customWidth="1"/>
    <col min="12799" max="12799" width="10.125" style="223" bestFit="1" customWidth="1"/>
    <col min="12800" max="12800" width="9.375" style="223"/>
    <col min="12801" max="12801" width="10.125" style="223" bestFit="1" customWidth="1"/>
    <col min="12802" max="12802" width="10.75" style="223" customWidth="1"/>
    <col min="12803" max="12805" width="9.375" style="223"/>
    <col min="12806" max="12807" width="10.75" style="223" customWidth="1"/>
    <col min="12808" max="12812" width="9.375" style="223"/>
    <col min="12813" max="12813" width="1.625" style="223" bestFit="1" customWidth="1"/>
    <col min="12814" max="12814" width="9.375" style="223"/>
    <col min="12815" max="12815" width="8.875" style="223" customWidth="1"/>
    <col min="12816" max="12816" width="13.125" style="223" customWidth="1"/>
    <col min="12817" max="12817" width="9.375" style="223"/>
    <col min="12818" max="12818" width="9.875" style="223" customWidth="1"/>
    <col min="12819" max="12819" width="11.75" style="223" bestFit="1" customWidth="1"/>
    <col min="12820" max="13049" width="9.375" style="223"/>
    <col min="13050" max="13050" width="5" style="223" customWidth="1"/>
    <col min="13051" max="13051" width="17.875" style="223" bestFit="1" customWidth="1"/>
    <col min="13052" max="13052" width="9.875" style="223" customWidth="1"/>
    <col min="13053" max="13053" width="8.875" style="223" customWidth="1"/>
    <col min="13054" max="13054" width="7.375" style="223" bestFit="1" customWidth="1"/>
    <col min="13055" max="13055" width="10.125" style="223" bestFit="1" customWidth="1"/>
    <col min="13056" max="13056" width="9.375" style="223"/>
    <col min="13057" max="13057" width="10.125" style="223" bestFit="1" customWidth="1"/>
    <col min="13058" max="13058" width="10.75" style="223" customWidth="1"/>
    <col min="13059" max="13061" width="9.375" style="223"/>
    <col min="13062" max="13063" width="10.75" style="223" customWidth="1"/>
    <col min="13064" max="13068" width="9.375" style="223"/>
    <col min="13069" max="13069" width="1.625" style="223" bestFit="1" customWidth="1"/>
    <col min="13070" max="13070" width="9.375" style="223"/>
    <col min="13071" max="13071" width="8.875" style="223" customWidth="1"/>
    <col min="13072" max="13072" width="13.125" style="223" customWidth="1"/>
    <col min="13073" max="13073" width="9.375" style="223"/>
    <col min="13074" max="13074" width="9.875" style="223" customWidth="1"/>
    <col min="13075" max="13075" width="11.75" style="223" bestFit="1" customWidth="1"/>
    <col min="13076" max="13305" width="9.375" style="223"/>
    <col min="13306" max="13306" width="5" style="223" customWidth="1"/>
    <col min="13307" max="13307" width="17.875" style="223" bestFit="1" customWidth="1"/>
    <col min="13308" max="13308" width="9.875" style="223" customWidth="1"/>
    <col min="13309" max="13309" width="8.875" style="223" customWidth="1"/>
    <col min="13310" max="13310" width="7.375" style="223" bestFit="1" customWidth="1"/>
    <col min="13311" max="13311" width="10.125" style="223" bestFit="1" customWidth="1"/>
    <col min="13312" max="13312" width="9.375" style="223"/>
    <col min="13313" max="13313" width="10.125" style="223" bestFit="1" customWidth="1"/>
    <col min="13314" max="13314" width="10.75" style="223" customWidth="1"/>
    <col min="13315" max="13317" width="9.375" style="223"/>
    <col min="13318" max="13319" width="10.75" style="223" customWidth="1"/>
    <col min="13320" max="13324" width="9.375" style="223"/>
    <col min="13325" max="13325" width="1.625" style="223" bestFit="1" customWidth="1"/>
    <col min="13326" max="13326" width="9.375" style="223"/>
    <col min="13327" max="13327" width="8.875" style="223" customWidth="1"/>
    <col min="13328" max="13328" width="13.125" style="223" customWidth="1"/>
    <col min="13329" max="13329" width="9.375" style="223"/>
    <col min="13330" max="13330" width="9.875" style="223" customWidth="1"/>
    <col min="13331" max="13331" width="11.75" style="223" bestFit="1" customWidth="1"/>
    <col min="13332" max="13561" width="9.375" style="223"/>
    <col min="13562" max="13562" width="5" style="223" customWidth="1"/>
    <col min="13563" max="13563" width="17.875" style="223" bestFit="1" customWidth="1"/>
    <col min="13564" max="13564" width="9.875" style="223" customWidth="1"/>
    <col min="13565" max="13565" width="8.875" style="223" customWidth="1"/>
    <col min="13566" max="13566" width="7.375" style="223" bestFit="1" customWidth="1"/>
    <col min="13567" max="13567" width="10.125" style="223" bestFit="1" customWidth="1"/>
    <col min="13568" max="13568" width="9.375" style="223"/>
    <col min="13569" max="13569" width="10.125" style="223" bestFit="1" customWidth="1"/>
    <col min="13570" max="13570" width="10.75" style="223" customWidth="1"/>
    <col min="13571" max="13573" width="9.375" style="223"/>
    <col min="13574" max="13575" width="10.75" style="223" customWidth="1"/>
    <col min="13576" max="13580" width="9.375" style="223"/>
    <col min="13581" max="13581" width="1.625" style="223" bestFit="1" customWidth="1"/>
    <col min="13582" max="13582" width="9.375" style="223"/>
    <col min="13583" max="13583" width="8.875" style="223" customWidth="1"/>
    <col min="13584" max="13584" width="13.125" style="223" customWidth="1"/>
    <col min="13585" max="13585" width="9.375" style="223"/>
    <col min="13586" max="13586" width="9.875" style="223" customWidth="1"/>
    <col min="13587" max="13587" width="11.75" style="223" bestFit="1" customWidth="1"/>
    <col min="13588" max="13817" width="9.375" style="223"/>
    <col min="13818" max="13818" width="5" style="223" customWidth="1"/>
    <col min="13819" max="13819" width="17.875" style="223" bestFit="1" customWidth="1"/>
    <col min="13820" max="13820" width="9.875" style="223" customWidth="1"/>
    <col min="13821" max="13821" width="8.875" style="223" customWidth="1"/>
    <col min="13822" max="13822" width="7.375" style="223" bestFit="1" customWidth="1"/>
    <col min="13823" max="13823" width="10.125" style="223" bestFit="1" customWidth="1"/>
    <col min="13824" max="13824" width="9.375" style="223"/>
    <col min="13825" max="13825" width="10.125" style="223" bestFit="1" customWidth="1"/>
    <col min="13826" max="13826" width="10.75" style="223" customWidth="1"/>
    <col min="13827" max="13829" width="9.375" style="223"/>
    <col min="13830" max="13831" width="10.75" style="223" customWidth="1"/>
    <col min="13832" max="13836" width="9.375" style="223"/>
    <col min="13837" max="13837" width="1.625" style="223" bestFit="1" customWidth="1"/>
    <col min="13838" max="13838" width="9.375" style="223"/>
    <col min="13839" max="13839" width="8.875" style="223" customWidth="1"/>
    <col min="13840" max="13840" width="13.125" style="223" customWidth="1"/>
    <col min="13841" max="13841" width="9.375" style="223"/>
    <col min="13842" max="13842" width="9.875" style="223" customWidth="1"/>
    <col min="13843" max="13843" width="11.75" style="223" bestFit="1" customWidth="1"/>
    <col min="13844" max="14073" width="9.375" style="223"/>
    <col min="14074" max="14074" width="5" style="223" customWidth="1"/>
    <col min="14075" max="14075" width="17.875" style="223" bestFit="1" customWidth="1"/>
    <col min="14076" max="14076" width="9.875" style="223" customWidth="1"/>
    <col min="14077" max="14077" width="8.875" style="223" customWidth="1"/>
    <col min="14078" max="14078" width="7.375" style="223" bestFit="1" customWidth="1"/>
    <col min="14079" max="14079" width="10.125" style="223" bestFit="1" customWidth="1"/>
    <col min="14080" max="14080" width="9.375" style="223"/>
    <col min="14081" max="14081" width="10.125" style="223" bestFit="1" customWidth="1"/>
    <col min="14082" max="14082" width="10.75" style="223" customWidth="1"/>
    <col min="14083" max="14085" width="9.375" style="223"/>
    <col min="14086" max="14087" width="10.75" style="223" customWidth="1"/>
    <col min="14088" max="14092" width="9.375" style="223"/>
    <col min="14093" max="14093" width="1.625" style="223" bestFit="1" customWidth="1"/>
    <col min="14094" max="14094" width="9.375" style="223"/>
    <col min="14095" max="14095" width="8.875" style="223" customWidth="1"/>
    <col min="14096" max="14096" width="13.125" style="223" customWidth="1"/>
    <col min="14097" max="14097" width="9.375" style="223"/>
    <col min="14098" max="14098" width="9.875" style="223" customWidth="1"/>
    <col min="14099" max="14099" width="11.75" style="223" bestFit="1" customWidth="1"/>
    <col min="14100" max="14329" width="9.375" style="223"/>
    <col min="14330" max="14330" width="5" style="223" customWidth="1"/>
    <col min="14331" max="14331" width="17.875" style="223" bestFit="1" customWidth="1"/>
    <col min="14332" max="14332" width="9.875" style="223" customWidth="1"/>
    <col min="14333" max="14333" width="8.875" style="223" customWidth="1"/>
    <col min="14334" max="14334" width="7.375" style="223" bestFit="1" customWidth="1"/>
    <col min="14335" max="14335" width="10.125" style="223" bestFit="1" customWidth="1"/>
    <col min="14336" max="14336" width="9.375" style="223"/>
    <col min="14337" max="14337" width="10.125" style="223" bestFit="1" customWidth="1"/>
    <col min="14338" max="14338" width="10.75" style="223" customWidth="1"/>
    <col min="14339" max="14341" width="9.375" style="223"/>
    <col min="14342" max="14343" width="10.75" style="223" customWidth="1"/>
    <col min="14344" max="14348" width="9.375" style="223"/>
    <col min="14349" max="14349" width="1.625" style="223" bestFit="1" customWidth="1"/>
    <col min="14350" max="14350" width="9.375" style="223"/>
    <col min="14351" max="14351" width="8.875" style="223" customWidth="1"/>
    <col min="14352" max="14352" width="13.125" style="223" customWidth="1"/>
    <col min="14353" max="14353" width="9.375" style="223"/>
    <col min="14354" max="14354" width="9.875" style="223" customWidth="1"/>
    <col min="14355" max="14355" width="11.75" style="223" bestFit="1" customWidth="1"/>
    <col min="14356" max="14585" width="9.375" style="223"/>
    <col min="14586" max="14586" width="5" style="223" customWidth="1"/>
    <col min="14587" max="14587" width="17.875" style="223" bestFit="1" customWidth="1"/>
    <col min="14588" max="14588" width="9.875" style="223" customWidth="1"/>
    <col min="14589" max="14589" width="8.875" style="223" customWidth="1"/>
    <col min="14590" max="14590" width="7.375" style="223" bestFit="1" customWidth="1"/>
    <col min="14591" max="14591" width="10.125" style="223" bestFit="1" customWidth="1"/>
    <col min="14592" max="14592" width="9.375" style="223"/>
    <col min="14593" max="14593" width="10.125" style="223" bestFit="1" customWidth="1"/>
    <col min="14594" max="14594" width="10.75" style="223" customWidth="1"/>
    <col min="14595" max="14597" width="9.375" style="223"/>
    <col min="14598" max="14599" width="10.75" style="223" customWidth="1"/>
    <col min="14600" max="14604" width="9.375" style="223"/>
    <col min="14605" max="14605" width="1.625" style="223" bestFit="1" customWidth="1"/>
    <col min="14606" max="14606" width="9.375" style="223"/>
    <col min="14607" max="14607" width="8.875" style="223" customWidth="1"/>
    <col min="14608" max="14608" width="13.125" style="223" customWidth="1"/>
    <col min="14609" max="14609" width="9.375" style="223"/>
    <col min="14610" max="14610" width="9.875" style="223" customWidth="1"/>
    <col min="14611" max="14611" width="11.75" style="223" bestFit="1" customWidth="1"/>
    <col min="14612" max="14841" width="9.375" style="223"/>
    <col min="14842" max="14842" width="5" style="223" customWidth="1"/>
    <col min="14843" max="14843" width="17.875" style="223" bestFit="1" customWidth="1"/>
    <col min="14844" max="14844" width="9.875" style="223" customWidth="1"/>
    <col min="14845" max="14845" width="8.875" style="223" customWidth="1"/>
    <col min="14846" max="14846" width="7.375" style="223" bestFit="1" customWidth="1"/>
    <col min="14847" max="14847" width="10.125" style="223" bestFit="1" customWidth="1"/>
    <col min="14848" max="14848" width="9.375" style="223"/>
    <col min="14849" max="14849" width="10.125" style="223" bestFit="1" customWidth="1"/>
    <col min="14850" max="14850" width="10.75" style="223" customWidth="1"/>
    <col min="14851" max="14853" width="9.375" style="223"/>
    <col min="14854" max="14855" width="10.75" style="223" customWidth="1"/>
    <col min="14856" max="14860" width="9.375" style="223"/>
    <col min="14861" max="14861" width="1.625" style="223" bestFit="1" customWidth="1"/>
    <col min="14862" max="14862" width="9.375" style="223"/>
    <col min="14863" max="14863" width="8.875" style="223" customWidth="1"/>
    <col min="14864" max="14864" width="13.125" style="223" customWidth="1"/>
    <col min="14865" max="14865" width="9.375" style="223"/>
    <col min="14866" max="14866" width="9.875" style="223" customWidth="1"/>
    <col min="14867" max="14867" width="11.75" style="223" bestFit="1" customWidth="1"/>
    <col min="14868" max="15097" width="9.375" style="223"/>
    <col min="15098" max="15098" width="5" style="223" customWidth="1"/>
    <col min="15099" max="15099" width="17.875" style="223" bestFit="1" customWidth="1"/>
    <col min="15100" max="15100" width="9.875" style="223" customWidth="1"/>
    <col min="15101" max="15101" width="8.875" style="223" customWidth="1"/>
    <col min="15102" max="15102" width="7.375" style="223" bestFit="1" customWidth="1"/>
    <col min="15103" max="15103" width="10.125" style="223" bestFit="1" customWidth="1"/>
    <col min="15104" max="15104" width="9.375" style="223"/>
    <col min="15105" max="15105" width="10.125" style="223" bestFit="1" customWidth="1"/>
    <col min="15106" max="15106" width="10.75" style="223" customWidth="1"/>
    <col min="15107" max="15109" width="9.375" style="223"/>
    <col min="15110" max="15111" width="10.75" style="223" customWidth="1"/>
    <col min="15112" max="15116" width="9.375" style="223"/>
    <col min="15117" max="15117" width="1.625" style="223" bestFit="1" customWidth="1"/>
    <col min="15118" max="15118" width="9.375" style="223"/>
    <col min="15119" max="15119" width="8.875" style="223" customWidth="1"/>
    <col min="15120" max="15120" width="13.125" style="223" customWidth="1"/>
    <col min="15121" max="15121" width="9.375" style="223"/>
    <col min="15122" max="15122" width="9.875" style="223" customWidth="1"/>
    <col min="15123" max="15123" width="11.75" style="223" bestFit="1" customWidth="1"/>
    <col min="15124" max="15353" width="9.375" style="223"/>
    <col min="15354" max="15354" width="5" style="223" customWidth="1"/>
    <col min="15355" max="15355" width="17.875" style="223" bestFit="1" customWidth="1"/>
    <col min="15356" max="15356" width="9.875" style="223" customWidth="1"/>
    <col min="15357" max="15357" width="8.875" style="223" customWidth="1"/>
    <col min="15358" max="15358" width="7.375" style="223" bestFit="1" customWidth="1"/>
    <col min="15359" max="15359" width="10.125" style="223" bestFit="1" customWidth="1"/>
    <col min="15360" max="15360" width="9.375" style="223"/>
    <col min="15361" max="15361" width="10.125" style="223" bestFit="1" customWidth="1"/>
    <col min="15362" max="15362" width="10.75" style="223" customWidth="1"/>
    <col min="15363" max="15365" width="9.375" style="223"/>
    <col min="15366" max="15367" width="10.75" style="223" customWidth="1"/>
    <col min="15368" max="15372" width="9.375" style="223"/>
    <col min="15373" max="15373" width="1.625" style="223" bestFit="1" customWidth="1"/>
    <col min="15374" max="15374" width="9.375" style="223"/>
    <col min="15375" max="15375" width="8.875" style="223" customWidth="1"/>
    <col min="15376" max="15376" width="13.125" style="223" customWidth="1"/>
    <col min="15377" max="15377" width="9.375" style="223"/>
    <col min="15378" max="15378" width="9.875" style="223" customWidth="1"/>
    <col min="15379" max="15379" width="11.75" style="223" bestFit="1" customWidth="1"/>
    <col min="15380" max="15609" width="9.375" style="223"/>
    <col min="15610" max="15610" width="5" style="223" customWidth="1"/>
    <col min="15611" max="15611" width="17.875" style="223" bestFit="1" customWidth="1"/>
    <col min="15612" max="15612" width="9.875" style="223" customWidth="1"/>
    <col min="15613" max="15613" width="8.875" style="223" customWidth="1"/>
    <col min="15614" max="15614" width="7.375" style="223" bestFit="1" customWidth="1"/>
    <col min="15615" max="15615" width="10.125" style="223" bestFit="1" customWidth="1"/>
    <col min="15616" max="15616" width="9.375" style="223"/>
    <col min="15617" max="15617" width="10.125" style="223" bestFit="1" customWidth="1"/>
    <col min="15618" max="15618" width="10.75" style="223" customWidth="1"/>
    <col min="15619" max="15621" width="9.375" style="223"/>
    <col min="15622" max="15623" width="10.75" style="223" customWidth="1"/>
    <col min="15624" max="15628" width="9.375" style="223"/>
    <col min="15629" max="15629" width="1.625" style="223" bestFit="1" customWidth="1"/>
    <col min="15630" max="15630" width="9.375" style="223"/>
    <col min="15631" max="15631" width="8.875" style="223" customWidth="1"/>
    <col min="15632" max="15632" width="13.125" style="223" customWidth="1"/>
    <col min="15633" max="15633" width="9.375" style="223"/>
    <col min="15634" max="15634" width="9.875" style="223" customWidth="1"/>
    <col min="15635" max="15635" width="11.75" style="223" bestFit="1" customWidth="1"/>
    <col min="15636" max="15865" width="9.375" style="223"/>
    <col min="15866" max="15866" width="5" style="223" customWidth="1"/>
    <col min="15867" max="15867" width="17.875" style="223" bestFit="1" customWidth="1"/>
    <col min="15868" max="15868" width="9.875" style="223" customWidth="1"/>
    <col min="15869" max="15869" width="8.875" style="223" customWidth="1"/>
    <col min="15870" max="15870" width="7.375" style="223" bestFit="1" customWidth="1"/>
    <col min="15871" max="15871" width="10.125" style="223" bestFit="1" customWidth="1"/>
    <col min="15872" max="15872" width="9.375" style="223"/>
    <col min="15873" max="15873" width="10.125" style="223" bestFit="1" customWidth="1"/>
    <col min="15874" max="15874" width="10.75" style="223" customWidth="1"/>
    <col min="15875" max="15877" width="9.375" style="223"/>
    <col min="15878" max="15879" width="10.75" style="223" customWidth="1"/>
    <col min="15880" max="15884" width="9.375" style="223"/>
    <col min="15885" max="15885" width="1.625" style="223" bestFit="1" customWidth="1"/>
    <col min="15886" max="15886" width="9.375" style="223"/>
    <col min="15887" max="15887" width="8.875" style="223" customWidth="1"/>
    <col min="15888" max="15888" width="13.125" style="223" customWidth="1"/>
    <col min="15889" max="15889" width="9.375" style="223"/>
    <col min="15890" max="15890" width="9.875" style="223" customWidth="1"/>
    <col min="15891" max="15891" width="11.75" style="223" bestFit="1" customWidth="1"/>
    <col min="15892" max="16121" width="9.375" style="223"/>
    <col min="16122" max="16122" width="5" style="223" customWidth="1"/>
    <col min="16123" max="16123" width="17.875" style="223" bestFit="1" customWidth="1"/>
    <col min="16124" max="16124" width="9.875" style="223" customWidth="1"/>
    <col min="16125" max="16125" width="8.875" style="223" customWidth="1"/>
    <col min="16126" max="16126" width="7.375" style="223" bestFit="1" customWidth="1"/>
    <col min="16127" max="16127" width="10.125" style="223" bestFit="1" customWidth="1"/>
    <col min="16128" max="16128" width="9.375" style="223"/>
    <col min="16129" max="16129" width="10.125" style="223" bestFit="1" customWidth="1"/>
    <col min="16130" max="16130" width="10.75" style="223" customWidth="1"/>
    <col min="16131" max="16133" width="9.375" style="223"/>
    <col min="16134" max="16135" width="10.75" style="223" customWidth="1"/>
    <col min="16136" max="16140" width="9.375" style="223"/>
    <col min="16141" max="16141" width="1.625" style="223" bestFit="1" customWidth="1"/>
    <col min="16142" max="16142" width="9.375" style="223"/>
    <col min="16143" max="16143" width="8.875" style="223" customWidth="1"/>
    <col min="16144" max="16144" width="13.125" style="223" customWidth="1"/>
    <col min="16145" max="16145" width="9.375" style="223"/>
    <col min="16146" max="16146" width="9.875" style="223" customWidth="1"/>
    <col min="16147" max="16147" width="11.75" style="223" bestFit="1" customWidth="1"/>
    <col min="16148" max="16384" width="9.375" style="223"/>
  </cols>
  <sheetData>
    <row r="1" spans="1:22" s="44" customFormat="1" ht="21" x14ac:dyDescent="0.2">
      <c r="A1" s="212" t="s">
        <v>492</v>
      </c>
      <c r="B1" s="43"/>
      <c r="C1" s="43"/>
      <c r="D1" s="218"/>
      <c r="E1" s="218"/>
      <c r="F1" s="218"/>
      <c r="G1" s="218"/>
      <c r="H1" s="219"/>
      <c r="I1" s="219"/>
      <c r="J1" s="219"/>
      <c r="K1" s="219"/>
      <c r="L1" s="219"/>
      <c r="M1" s="219"/>
      <c r="O1" s="219"/>
      <c r="P1" s="220"/>
      <c r="Q1" s="60"/>
      <c r="R1" s="220"/>
      <c r="S1" s="220"/>
      <c r="T1" s="60"/>
      <c r="U1" s="60"/>
      <c r="V1" s="60"/>
    </row>
    <row r="2" spans="1:22" s="54" customFormat="1" ht="21" x14ac:dyDescent="0.35">
      <c r="A2" s="26" t="str">
        <f>Paramètres!B5</f>
        <v>Acomptes 2019</v>
      </c>
      <c r="P2" s="222"/>
      <c r="Q2" s="221"/>
      <c r="R2" s="222"/>
      <c r="S2" s="222"/>
      <c r="T2" s="221"/>
      <c r="U2" s="221"/>
      <c r="V2" s="221"/>
    </row>
    <row r="4" spans="1:22" s="235" customFormat="1" ht="120" x14ac:dyDescent="0.2">
      <c r="A4" s="517" t="s">
        <v>46</v>
      </c>
      <c r="B4" s="517" t="s">
        <v>96</v>
      </c>
      <c r="C4" s="517" t="s">
        <v>487</v>
      </c>
      <c r="D4" s="517" t="s">
        <v>304</v>
      </c>
      <c r="E4" s="517" t="s">
        <v>483</v>
      </c>
      <c r="F4" s="517" t="s">
        <v>488</v>
      </c>
      <c r="G4" s="517" t="s">
        <v>452</v>
      </c>
      <c r="H4" s="519" t="s">
        <v>341</v>
      </c>
      <c r="I4" s="238" t="s">
        <v>493</v>
      </c>
      <c r="J4" s="517" t="s">
        <v>542</v>
      </c>
      <c r="K4" s="517" t="s">
        <v>489</v>
      </c>
      <c r="L4" s="517" t="s">
        <v>490</v>
      </c>
      <c r="M4" s="517" t="s">
        <v>560</v>
      </c>
      <c r="N4" s="238" t="s">
        <v>559</v>
      </c>
      <c r="O4" s="517" t="s">
        <v>491</v>
      </c>
      <c r="P4" s="233"/>
      <c r="Q4" s="232"/>
      <c r="R4" s="233"/>
      <c r="S4" s="234"/>
      <c r="T4" s="232"/>
      <c r="U4" s="232"/>
      <c r="V4" s="232"/>
    </row>
    <row r="5" spans="1:22" s="235" customFormat="1" x14ac:dyDescent="0.2">
      <c r="A5" s="518"/>
      <c r="B5" s="518"/>
      <c r="C5" s="518"/>
      <c r="D5" s="518"/>
      <c r="E5" s="518"/>
      <c r="F5" s="518"/>
      <c r="G5" s="518"/>
      <c r="H5" s="520"/>
      <c r="I5" s="255">
        <f>Paramètres!B66</f>
        <v>2</v>
      </c>
      <c r="J5" s="518"/>
      <c r="K5" s="518"/>
      <c r="L5" s="518"/>
      <c r="M5" s="518"/>
      <c r="N5" s="297">
        <f>+N315/M315</f>
        <v>1.2976846607808199</v>
      </c>
      <c r="O5" s="518"/>
      <c r="P5" s="234"/>
      <c r="Q5" s="232"/>
      <c r="R5" s="234"/>
      <c r="S5" s="234"/>
      <c r="T5" s="232"/>
      <c r="U5" s="232"/>
      <c r="V5" s="232"/>
    </row>
    <row r="6" spans="1:22" x14ac:dyDescent="0.25">
      <c r="A6" s="326">
        <f>'A) Base RI'!A7</f>
        <v>5401</v>
      </c>
      <c r="B6" s="236" t="str">
        <f>'A) Base RI'!B7</f>
        <v>Aigle</v>
      </c>
      <c r="C6" s="252">
        <v>1</v>
      </c>
      <c r="D6" s="226">
        <f>'B) D RI'!AA7</f>
        <v>10153</v>
      </c>
      <c r="E6" s="227">
        <f>'B) D RI'!S7</f>
        <v>67.5</v>
      </c>
      <c r="F6" s="10">
        <f>'B) D RI'!R7</f>
        <v>17810730.946666669</v>
      </c>
      <c r="G6" s="10">
        <f>'B) D RI'!U7</f>
        <v>263862.68069135805</v>
      </c>
      <c r="H6" s="42">
        <f>'B) D RI'!T7</f>
        <v>16107014.430000002</v>
      </c>
      <c r="I6" s="55">
        <f>+H6/E6*$I$5</f>
        <v>477244.87200000003</v>
      </c>
      <c r="J6" s="90">
        <f t="shared" ref="J6:J37" si="0">+$I$315/$D$315*D6</f>
        <v>852772.64775049617</v>
      </c>
      <c r="K6" s="55">
        <f t="shared" ref="K6:K69" si="1">IF(C6=1,0,IF(J6&gt;I6,I6,J6))</f>
        <v>0</v>
      </c>
      <c r="L6" s="55">
        <f>+J6-K6</f>
        <v>852772.64775049617</v>
      </c>
      <c r="M6" s="55">
        <f>'D) Ecrêtage'!C5</f>
        <v>263862.68069135805</v>
      </c>
      <c r="N6" s="55">
        <f t="shared" ref="N6:N37" si="2">+$N$5*M6</f>
        <v>342410.55328568275</v>
      </c>
      <c r="O6" s="104">
        <f>+N6+K6</f>
        <v>342410.55328568275</v>
      </c>
      <c r="P6" s="228"/>
      <c r="Q6" s="229"/>
      <c r="T6" s="230"/>
    </row>
    <row r="7" spans="1:22" x14ac:dyDescent="0.25">
      <c r="A7" s="327">
        <f>'A) Base RI'!A8</f>
        <v>5402</v>
      </c>
      <c r="B7" s="237" t="str">
        <f>'A) Base RI'!B8</f>
        <v>Bex</v>
      </c>
      <c r="C7" s="253">
        <v>1</v>
      </c>
      <c r="D7" s="226">
        <f>'B) D RI'!AA8</f>
        <v>7719</v>
      </c>
      <c r="E7" s="227">
        <f>'B) D RI'!S8</f>
        <v>71</v>
      </c>
      <c r="F7" s="10">
        <f>'B) D RI'!R8</f>
        <v>12327790.730000002</v>
      </c>
      <c r="G7" s="10">
        <f>'B) D RI'!U8</f>
        <v>173630.8553521127</v>
      </c>
      <c r="H7" s="42">
        <f>'B) D RI'!T8</f>
        <v>11041133.680000002</v>
      </c>
      <c r="I7" s="10">
        <f t="shared" ref="I7:I70" si="3">+H7/E7*$I$5</f>
        <v>311017.85014084511</v>
      </c>
      <c r="J7" s="32">
        <f t="shared" si="0"/>
        <v>648335.67103182105</v>
      </c>
      <c r="K7" s="10">
        <f t="shared" si="1"/>
        <v>0</v>
      </c>
      <c r="L7" s="10">
        <f t="shared" ref="L7:L70" si="4">+J7-K7</f>
        <v>648335.67103182105</v>
      </c>
      <c r="M7" s="10">
        <f>'D) Ecrêtage'!C6</f>
        <v>173630.8553521127</v>
      </c>
      <c r="N7" s="10">
        <f t="shared" si="2"/>
        <v>225318.09762868998</v>
      </c>
      <c r="O7" s="58">
        <f t="shared" ref="O7:O69" si="5">+N7+K7</f>
        <v>225318.09762868998</v>
      </c>
      <c r="P7" s="228"/>
      <c r="Q7" s="229"/>
      <c r="T7" s="230"/>
    </row>
    <row r="8" spans="1:22" x14ac:dyDescent="0.25">
      <c r="A8" s="327">
        <f>'A) Base RI'!A9</f>
        <v>5403</v>
      </c>
      <c r="B8" s="237" t="str">
        <f>'A) Base RI'!B9</f>
        <v>Chessel</v>
      </c>
      <c r="C8" s="253">
        <v>0</v>
      </c>
      <c r="D8" s="226">
        <f>'B) D RI'!AA9</f>
        <v>403</v>
      </c>
      <c r="E8" s="227">
        <f>'B) D RI'!S9</f>
        <v>74</v>
      </c>
      <c r="F8" s="10">
        <f>'B) D RI'!R9</f>
        <v>720327.16</v>
      </c>
      <c r="G8" s="10">
        <f>'B) D RI'!U9</f>
        <v>9734.1508108108119</v>
      </c>
      <c r="H8" s="42">
        <f>'B) D RI'!T9</f>
        <v>663063.91</v>
      </c>
      <c r="I8" s="10">
        <f t="shared" si="3"/>
        <v>17920.646216216217</v>
      </c>
      <c r="J8" s="32">
        <f t="shared" si="0"/>
        <v>33848.850294834032</v>
      </c>
      <c r="K8" s="10">
        <f t="shared" si="1"/>
        <v>17920.646216216217</v>
      </c>
      <c r="L8" s="10">
        <f t="shared" si="4"/>
        <v>15928.204078617815</v>
      </c>
      <c r="M8" s="10">
        <f>'D) Ecrêtage'!C7</f>
        <v>9734.1508108108119</v>
      </c>
      <c r="N8" s="10">
        <f t="shared" si="2"/>
        <v>12631.858192916372</v>
      </c>
      <c r="O8" s="58">
        <f t="shared" si="5"/>
        <v>30552.504409132591</v>
      </c>
      <c r="P8" s="228"/>
      <c r="Q8" s="229"/>
      <c r="T8" s="230"/>
    </row>
    <row r="9" spans="1:22" x14ac:dyDescent="0.25">
      <c r="A9" s="327">
        <f>'A) Base RI'!A10</f>
        <v>5404</v>
      </c>
      <c r="B9" s="237" t="str">
        <f>'A) Base RI'!B10</f>
        <v>Corbeyrier</v>
      </c>
      <c r="C9" s="253">
        <v>0</v>
      </c>
      <c r="D9" s="226">
        <f>'B) D RI'!AA10</f>
        <v>437</v>
      </c>
      <c r="E9" s="227">
        <f>'B) D RI'!S10</f>
        <v>70</v>
      </c>
      <c r="F9" s="10">
        <f>'B) D RI'!R10</f>
        <v>760526.48666666669</v>
      </c>
      <c r="G9" s="10">
        <f>'B) D RI'!U10</f>
        <v>10864.664095238095</v>
      </c>
      <c r="H9" s="42">
        <f>'B) D RI'!T10</f>
        <v>684540.17</v>
      </c>
      <c r="I9" s="10">
        <f t="shared" si="3"/>
        <v>19558.290571428573</v>
      </c>
      <c r="J9" s="32">
        <f t="shared" si="0"/>
        <v>36704.584562884549</v>
      </c>
      <c r="K9" s="10">
        <f t="shared" si="1"/>
        <v>19558.290571428573</v>
      </c>
      <c r="L9" s="10">
        <f t="shared" si="4"/>
        <v>17146.293991455976</v>
      </c>
      <c r="M9" s="10">
        <f>'D) Ecrêtage'!C8</f>
        <v>10864.664095238095</v>
      </c>
      <c r="N9" s="10">
        <f t="shared" si="2"/>
        <v>14098.907940926601</v>
      </c>
      <c r="O9" s="58">
        <f t="shared" si="5"/>
        <v>33657.198512355171</v>
      </c>
      <c r="P9" s="228"/>
      <c r="Q9" s="229"/>
      <c r="T9" s="230"/>
    </row>
    <row r="10" spans="1:22" x14ac:dyDescent="0.25">
      <c r="A10" s="327">
        <f>'A) Base RI'!A11</f>
        <v>5405</v>
      </c>
      <c r="B10" s="237" t="str">
        <f>'A) Base RI'!B11</f>
        <v>Gryon</v>
      </c>
      <c r="C10" s="253">
        <v>0</v>
      </c>
      <c r="D10" s="226">
        <f>'B) D RI'!AA11</f>
        <v>1364</v>
      </c>
      <c r="E10" s="227">
        <f>'B) D RI'!S11</f>
        <v>75</v>
      </c>
      <c r="F10" s="10">
        <f>'B) D RI'!R11</f>
        <v>5236684.4733333327</v>
      </c>
      <c r="G10" s="10">
        <f>'B) D RI'!U11</f>
        <v>69822.459644444432</v>
      </c>
      <c r="H10" s="42">
        <f>'B) D RI'!T11</f>
        <v>4462713.1399999997</v>
      </c>
      <c r="I10" s="10">
        <f t="shared" si="3"/>
        <v>119005.68373333332</v>
      </c>
      <c r="J10" s="32">
        <f t="shared" si="0"/>
        <v>114565.33945943827</v>
      </c>
      <c r="K10" s="10">
        <f t="shared" si="1"/>
        <v>114565.33945943827</v>
      </c>
      <c r="L10" s="10">
        <f t="shared" si="4"/>
        <v>0</v>
      </c>
      <c r="M10" s="10">
        <f>'D) Ecrêtage'!C9</f>
        <v>69822.459644444432</v>
      </c>
      <c r="N10" s="10">
        <f t="shared" si="2"/>
        <v>90607.534858583356</v>
      </c>
      <c r="O10" s="58">
        <f t="shared" si="5"/>
        <v>205172.87431802164</v>
      </c>
      <c r="P10" s="228"/>
      <c r="Q10" s="229"/>
      <c r="T10" s="230"/>
    </row>
    <row r="11" spans="1:22" x14ac:dyDescent="0.25">
      <c r="A11" s="327">
        <f>'A) Base RI'!A12</f>
        <v>5406</v>
      </c>
      <c r="B11" s="237" t="str">
        <f>'A) Base RI'!B12</f>
        <v>Lavey-Morcles</v>
      </c>
      <c r="C11" s="253">
        <v>0</v>
      </c>
      <c r="D11" s="226">
        <f>'B) D RI'!AA12</f>
        <v>926</v>
      </c>
      <c r="E11" s="227">
        <f>'B) D RI'!S12</f>
        <v>71</v>
      </c>
      <c r="F11" s="10">
        <f>'B) D RI'!R12</f>
        <v>1528553.7223076925</v>
      </c>
      <c r="G11" s="10">
        <f>'B) D RI'!U12</f>
        <v>21528.925666305528</v>
      </c>
      <c r="H11" s="42">
        <f>'B) D RI'!T12</f>
        <v>1375412.9300000002</v>
      </c>
      <c r="I11" s="10">
        <f t="shared" si="3"/>
        <v>38744.026197183106</v>
      </c>
      <c r="J11" s="32">
        <f t="shared" si="0"/>
        <v>77776.762712199299</v>
      </c>
      <c r="K11" s="10">
        <f t="shared" si="1"/>
        <v>38744.026197183106</v>
      </c>
      <c r="L11" s="10">
        <f t="shared" si="4"/>
        <v>39032.736515016193</v>
      </c>
      <c r="M11" s="10">
        <f>'D) Ecrêtage'!C10</f>
        <v>21528.925666305528</v>
      </c>
      <c r="N11" s="10">
        <f t="shared" si="2"/>
        <v>27937.756600255176</v>
      </c>
      <c r="O11" s="58">
        <f t="shared" si="5"/>
        <v>66681.782797438282</v>
      </c>
      <c r="P11" s="228"/>
      <c r="Q11" s="229"/>
      <c r="T11" s="230"/>
    </row>
    <row r="12" spans="1:22" x14ac:dyDescent="0.25">
      <c r="A12" s="327">
        <f>'A) Base RI'!A13</f>
        <v>5407</v>
      </c>
      <c r="B12" s="237" t="str">
        <f>'A) Base RI'!B13</f>
        <v>Leysin</v>
      </c>
      <c r="C12" s="253">
        <v>0</v>
      </c>
      <c r="D12" s="226">
        <f>'B) D RI'!AA13</f>
        <v>4023</v>
      </c>
      <c r="E12" s="227">
        <f>'B) D RI'!S13</f>
        <v>78</v>
      </c>
      <c r="F12" s="10">
        <f>'B) D RI'!R13</f>
        <v>7061656.8799999999</v>
      </c>
      <c r="G12" s="10">
        <f>'B) D RI'!U13</f>
        <v>90534.062564102569</v>
      </c>
      <c r="H12" s="42">
        <f>'B) D RI'!T13</f>
        <v>6217660.6800000006</v>
      </c>
      <c r="I12" s="10">
        <f t="shared" si="3"/>
        <v>159427.19692307693</v>
      </c>
      <c r="J12" s="32">
        <f t="shared" si="0"/>
        <v>337900.55765785935</v>
      </c>
      <c r="K12" s="10">
        <f t="shared" si="1"/>
        <v>159427.19692307693</v>
      </c>
      <c r="L12" s="10">
        <f t="shared" si="4"/>
        <v>178473.36073478241</v>
      </c>
      <c r="M12" s="10">
        <f>'D) Ecrêtage'!C11</f>
        <v>90534.062564102569</v>
      </c>
      <c r="N12" s="10">
        <f t="shared" si="2"/>
        <v>117484.66426760698</v>
      </c>
      <c r="O12" s="58">
        <f t="shared" si="5"/>
        <v>276911.86119068391</v>
      </c>
      <c r="P12" s="228"/>
      <c r="Q12" s="229"/>
      <c r="T12" s="230"/>
    </row>
    <row r="13" spans="1:22" x14ac:dyDescent="0.25">
      <c r="A13" s="327">
        <f>'A) Base RI'!A14</f>
        <v>5408</v>
      </c>
      <c r="B13" s="237" t="str">
        <f>'A) Base RI'!B14</f>
        <v>Noville</v>
      </c>
      <c r="C13" s="253">
        <v>0</v>
      </c>
      <c r="D13" s="226">
        <f>'B) D RI'!AA14</f>
        <v>1055</v>
      </c>
      <c r="E13" s="227">
        <f>'B) D RI'!S14</f>
        <v>78.5</v>
      </c>
      <c r="F13" s="10">
        <f>'B) D RI'!R14</f>
        <v>2491254.7966666669</v>
      </c>
      <c r="G13" s="10">
        <f>'B) D RI'!U14</f>
        <v>31735.72989384289</v>
      </c>
      <c r="H13" s="42">
        <f>'B) D RI'!T14</f>
        <v>2299753.6800000002</v>
      </c>
      <c r="I13" s="10">
        <f t="shared" si="3"/>
        <v>58592.450445859875</v>
      </c>
      <c r="J13" s="32">
        <f t="shared" si="0"/>
        <v>88611.754493920365</v>
      </c>
      <c r="K13" s="10">
        <f t="shared" si="1"/>
        <v>58592.450445859875</v>
      </c>
      <c r="L13" s="10">
        <f t="shared" si="4"/>
        <v>30019.30404806049</v>
      </c>
      <c r="M13" s="10">
        <f>'D) Ecrêtage'!C12</f>
        <v>31735.72989384289</v>
      </c>
      <c r="N13" s="10">
        <f t="shared" si="2"/>
        <v>41182.969881923236</v>
      </c>
      <c r="O13" s="58">
        <f t="shared" si="5"/>
        <v>99775.420327783111</v>
      </c>
      <c r="P13" s="228"/>
      <c r="Q13" s="229"/>
      <c r="T13" s="230"/>
    </row>
    <row r="14" spans="1:22" x14ac:dyDescent="0.25">
      <c r="A14" s="327">
        <f>'A) Base RI'!A15</f>
        <v>5409</v>
      </c>
      <c r="B14" s="237" t="str">
        <f>'A) Base RI'!B15</f>
        <v>Ollon</v>
      </c>
      <c r="C14" s="253">
        <v>1</v>
      </c>
      <c r="D14" s="226">
        <f>'B) D RI'!AA15</f>
        <v>7494</v>
      </c>
      <c r="E14" s="227">
        <f>'B) D RI'!S15</f>
        <v>68</v>
      </c>
      <c r="F14" s="10">
        <f>'B) D RI'!R15</f>
        <v>24980882.496153846</v>
      </c>
      <c r="G14" s="10">
        <f>'B) D RI'!U15</f>
        <v>367365.91906108597</v>
      </c>
      <c r="H14" s="42">
        <f>'B) D RI'!T15</f>
        <v>21985665.800000001</v>
      </c>
      <c r="I14" s="10">
        <f t="shared" si="3"/>
        <v>646637.22941176477</v>
      </c>
      <c r="J14" s="32">
        <f t="shared" si="0"/>
        <v>629437.4295520751</v>
      </c>
      <c r="K14" s="10">
        <f t="shared" si="1"/>
        <v>0</v>
      </c>
      <c r="L14" s="10">
        <f t="shared" si="4"/>
        <v>629437.4295520751</v>
      </c>
      <c r="M14" s="10">
        <f>'D) Ecrêtage'!C13</f>
        <v>367365.91906108597</v>
      </c>
      <c r="N14" s="10">
        <f t="shared" si="2"/>
        <v>476725.1180592195</v>
      </c>
      <c r="O14" s="58">
        <f t="shared" si="5"/>
        <v>476725.1180592195</v>
      </c>
      <c r="P14" s="228"/>
      <c r="Q14" s="229"/>
      <c r="T14" s="230"/>
    </row>
    <row r="15" spans="1:22" x14ac:dyDescent="0.25">
      <c r="A15" s="327">
        <f>'A) Base RI'!A16</f>
        <v>5410</v>
      </c>
      <c r="B15" s="237" t="str">
        <f>'A) Base RI'!B16</f>
        <v>Ormont-Dessous</v>
      </c>
      <c r="C15" s="253">
        <v>0</v>
      </c>
      <c r="D15" s="226">
        <f>'B) D RI'!AA16</f>
        <v>1117</v>
      </c>
      <c r="E15" s="227">
        <f>'B) D RI'!S16</f>
        <v>78.5</v>
      </c>
      <c r="F15" s="10">
        <f>'B) D RI'!R16</f>
        <v>2950489.2833333337</v>
      </c>
      <c r="G15" s="10">
        <f>'B) D RI'!U16</f>
        <v>37585.850743099792</v>
      </c>
      <c r="H15" s="42">
        <f>'B) D RI'!T16</f>
        <v>2579075.9500000002</v>
      </c>
      <c r="I15" s="10">
        <f t="shared" si="3"/>
        <v>65708.941401273885</v>
      </c>
      <c r="J15" s="32">
        <f t="shared" si="0"/>
        <v>93819.269923894826</v>
      </c>
      <c r="K15" s="10">
        <f t="shared" si="1"/>
        <v>65708.941401273885</v>
      </c>
      <c r="L15" s="10">
        <f t="shared" si="4"/>
        <v>28110.328522620941</v>
      </c>
      <c r="M15" s="10">
        <f>'D) Ecrêtage'!C14</f>
        <v>37585.850743099792</v>
      </c>
      <c r="N15" s="10">
        <f t="shared" si="2"/>
        <v>48774.581971717984</v>
      </c>
      <c r="O15" s="58">
        <f t="shared" si="5"/>
        <v>114483.52337299187</v>
      </c>
      <c r="P15" s="228"/>
      <c r="Q15" s="229"/>
      <c r="T15" s="230"/>
    </row>
    <row r="16" spans="1:22" s="224" customFormat="1" x14ac:dyDescent="0.25">
      <c r="A16" s="327">
        <f>'A) Base RI'!A17</f>
        <v>5411</v>
      </c>
      <c r="B16" s="237" t="str">
        <f>'A) Base RI'!B17</f>
        <v>Ormont-Dessus</v>
      </c>
      <c r="C16" s="253">
        <v>0</v>
      </c>
      <c r="D16" s="226">
        <f>'B) D RI'!AA17</f>
        <v>1467</v>
      </c>
      <c r="E16" s="227">
        <f>'B) D RI'!S17</f>
        <v>76</v>
      </c>
      <c r="F16" s="10">
        <f>'B) D RI'!R17</f>
        <v>5968550.9766666666</v>
      </c>
      <c r="G16" s="10">
        <f>'B) D RI'!U17</f>
        <v>78533.565482456135</v>
      </c>
      <c r="H16" s="42">
        <f>'B) D RI'!T17</f>
        <v>5171127.76</v>
      </c>
      <c r="I16" s="10">
        <f t="shared" si="3"/>
        <v>136082.3094736842</v>
      </c>
      <c r="J16" s="32">
        <f t="shared" si="0"/>
        <v>123216.53444794424</v>
      </c>
      <c r="K16" s="10">
        <f t="shared" si="1"/>
        <v>123216.53444794424</v>
      </c>
      <c r="L16" s="10">
        <f t="shared" si="4"/>
        <v>0</v>
      </c>
      <c r="M16" s="10">
        <f>'D) Ecrêtage'!C15</f>
        <v>78533.565482456135</v>
      </c>
      <c r="N16" s="10">
        <f t="shared" si="2"/>
        <v>101911.8032830094</v>
      </c>
      <c r="O16" s="58">
        <f t="shared" si="5"/>
        <v>225128.33773095364</v>
      </c>
      <c r="P16" s="228"/>
      <c r="Q16" s="229"/>
      <c r="R16" s="225"/>
      <c r="S16" s="225"/>
      <c r="T16" s="230"/>
    </row>
    <row r="17" spans="1:20" s="224" customFormat="1" x14ac:dyDescent="0.25">
      <c r="A17" s="327">
        <f>'A) Base RI'!A18</f>
        <v>5412</v>
      </c>
      <c r="B17" s="237" t="str">
        <f>'A) Base RI'!B18</f>
        <v>Rennaz</v>
      </c>
      <c r="C17" s="253">
        <v>0</v>
      </c>
      <c r="D17" s="226">
        <f>'B) D RI'!AA18</f>
        <v>839</v>
      </c>
      <c r="E17" s="227">
        <f>'B) D RI'!S18</f>
        <v>67.5</v>
      </c>
      <c r="F17" s="10">
        <f>'B) D RI'!R18</f>
        <v>2071132.1599999997</v>
      </c>
      <c r="G17" s="10">
        <f>'B) D RI'!U18</f>
        <v>30683.439407407404</v>
      </c>
      <c r="H17" s="42">
        <f>'B) D RI'!T18</f>
        <v>1851417.7099999995</v>
      </c>
      <c r="I17" s="10">
        <f t="shared" si="3"/>
        <v>54856.821037037022</v>
      </c>
      <c r="J17" s="32">
        <f t="shared" si="0"/>
        <v>70469.442673364159</v>
      </c>
      <c r="K17" s="10">
        <f t="shared" si="1"/>
        <v>54856.821037037022</v>
      </c>
      <c r="L17" s="10">
        <f t="shared" si="4"/>
        <v>15612.621636327138</v>
      </c>
      <c r="M17" s="10">
        <f>'D) Ecrêtage'!C16</f>
        <v>30683.439407407404</v>
      </c>
      <c r="N17" s="10">
        <f t="shared" si="2"/>
        <v>39817.42865899032</v>
      </c>
      <c r="O17" s="58">
        <f t="shared" si="5"/>
        <v>94674.249696027342</v>
      </c>
      <c r="P17" s="228"/>
      <c r="Q17" s="229"/>
      <c r="R17" s="225"/>
      <c r="S17" s="225"/>
      <c r="T17" s="230"/>
    </row>
    <row r="18" spans="1:20" s="224" customFormat="1" x14ac:dyDescent="0.25">
      <c r="A18" s="327">
        <f>'A) Base RI'!A19</f>
        <v>5413</v>
      </c>
      <c r="B18" s="237" t="str">
        <f>'A) Base RI'!B19</f>
        <v>Roche</v>
      </c>
      <c r="C18" s="253">
        <v>0</v>
      </c>
      <c r="D18" s="226">
        <f>'B) D RI'!AA19</f>
        <v>1650</v>
      </c>
      <c r="E18" s="227">
        <f>'B) D RI'!S19</f>
        <v>68</v>
      </c>
      <c r="F18" s="10">
        <f>'B) D RI'!R19</f>
        <v>2499273.91</v>
      </c>
      <c r="G18" s="10">
        <f>'B) D RI'!U19</f>
        <v>36754.028088235296</v>
      </c>
      <c r="H18" s="42">
        <f>'B) D RI'!T19</f>
        <v>2246098.16</v>
      </c>
      <c r="I18" s="10">
        <f t="shared" si="3"/>
        <v>66061.710588235292</v>
      </c>
      <c r="J18" s="32">
        <f t="shared" si="0"/>
        <v>138587.10418480437</v>
      </c>
      <c r="K18" s="10">
        <f t="shared" si="1"/>
        <v>66061.710588235292</v>
      </c>
      <c r="L18" s="10">
        <f t="shared" si="4"/>
        <v>72525.393596569076</v>
      </c>
      <c r="M18" s="10">
        <f>'D) Ecrêtage'!C17</f>
        <v>36754.028088235296</v>
      </c>
      <c r="N18" s="10">
        <f t="shared" si="2"/>
        <v>47695.138472010345</v>
      </c>
      <c r="O18" s="58">
        <f t="shared" si="5"/>
        <v>113756.84906024564</v>
      </c>
      <c r="P18" s="228"/>
      <c r="Q18" s="229"/>
      <c r="R18" s="225"/>
      <c r="S18" s="225"/>
      <c r="T18" s="230"/>
    </row>
    <row r="19" spans="1:20" s="224" customFormat="1" x14ac:dyDescent="0.25">
      <c r="A19" s="327">
        <f>'A) Base RI'!A20</f>
        <v>5414</v>
      </c>
      <c r="B19" s="237" t="str">
        <f>'A) Base RI'!B20</f>
        <v>Villeneuve</v>
      </c>
      <c r="C19" s="253">
        <v>0</v>
      </c>
      <c r="D19" s="226">
        <f>'B) D RI'!AA20</f>
        <v>5672</v>
      </c>
      <c r="E19" s="227">
        <f>'B) D RI'!S20</f>
        <v>69</v>
      </c>
      <c r="F19" s="10">
        <f>'B) D RI'!R20</f>
        <v>11134811.91</v>
      </c>
      <c r="G19" s="10">
        <f>'B) D RI'!U20</f>
        <v>161374.0856521739</v>
      </c>
      <c r="H19" s="42">
        <f>'B) D RI'!T20</f>
        <v>9964714.6600000001</v>
      </c>
      <c r="I19" s="10">
        <f t="shared" si="3"/>
        <v>288832.30898550723</v>
      </c>
      <c r="J19" s="32">
        <f t="shared" si="0"/>
        <v>476403.66965830926</v>
      </c>
      <c r="K19" s="10">
        <f t="shared" si="1"/>
        <v>288832.30898550723</v>
      </c>
      <c r="L19" s="10">
        <f t="shared" si="4"/>
        <v>187571.36067280202</v>
      </c>
      <c r="M19" s="10">
        <f>'D) Ecrêtage'!C18</f>
        <v>161374.0856521739</v>
      </c>
      <c r="N19" s="10">
        <f t="shared" si="2"/>
        <v>209412.67559835626</v>
      </c>
      <c r="O19" s="58">
        <f t="shared" si="5"/>
        <v>498244.98458386352</v>
      </c>
      <c r="P19" s="228"/>
      <c r="Q19" s="229"/>
      <c r="R19" s="225"/>
      <c r="S19" s="225"/>
      <c r="T19" s="230"/>
    </row>
    <row r="20" spans="1:20" s="224" customFormat="1" x14ac:dyDescent="0.25">
      <c r="A20" s="327">
        <f>'A) Base RI'!A21</f>
        <v>5415</v>
      </c>
      <c r="B20" s="237" t="str">
        <f>'A) Base RI'!B21</f>
        <v>Yvorne</v>
      </c>
      <c r="C20" s="253">
        <v>0</v>
      </c>
      <c r="D20" s="226">
        <f>'B) D RI'!AA21</f>
        <v>1057</v>
      </c>
      <c r="E20" s="227">
        <f>'B) D RI'!S21</f>
        <v>71.5</v>
      </c>
      <c r="F20" s="10">
        <f>'B) D RI'!R21</f>
        <v>2460809.4033333338</v>
      </c>
      <c r="G20" s="10">
        <f>'B) D RI'!U21</f>
        <v>34416.914731934739</v>
      </c>
      <c r="H20" s="42">
        <f>'B) D RI'!T21</f>
        <v>2237099.5200000005</v>
      </c>
      <c r="I20" s="10">
        <f t="shared" si="3"/>
        <v>62576.210349650362</v>
      </c>
      <c r="J20" s="32">
        <f t="shared" si="0"/>
        <v>88779.738862629209</v>
      </c>
      <c r="K20" s="10">
        <f t="shared" si="1"/>
        <v>62576.210349650362</v>
      </c>
      <c r="L20" s="10">
        <f t="shared" si="4"/>
        <v>26203.528512978846</v>
      </c>
      <c r="M20" s="10">
        <f>'D) Ecrêtage'!C19</f>
        <v>34416.914731934739</v>
      </c>
      <c r="N20" s="10">
        <f t="shared" si="2"/>
        <v>44662.302319033137</v>
      </c>
      <c r="O20" s="58">
        <f t="shared" si="5"/>
        <v>107238.5126686835</v>
      </c>
      <c r="P20" s="228"/>
      <c r="Q20" s="229"/>
      <c r="R20" s="225"/>
      <c r="S20" s="225"/>
      <c r="T20" s="230"/>
    </row>
    <row r="21" spans="1:20" s="224" customFormat="1" x14ac:dyDescent="0.25">
      <c r="A21" s="327">
        <f>'A) Base RI'!A22</f>
        <v>5421</v>
      </c>
      <c r="B21" s="237" t="str">
        <f>'A) Base RI'!B22</f>
        <v>Apples</v>
      </c>
      <c r="C21" s="253">
        <v>0</v>
      </c>
      <c r="D21" s="226">
        <f>'B) D RI'!AA22</f>
        <v>1437</v>
      </c>
      <c r="E21" s="227">
        <f>'B) D RI'!S22</f>
        <v>76</v>
      </c>
      <c r="F21" s="10">
        <f>'B) D RI'!R22</f>
        <v>4455360.42</v>
      </c>
      <c r="G21" s="10">
        <f>'B) D RI'!U22</f>
        <v>58623.163421052632</v>
      </c>
      <c r="H21" s="42">
        <f>'B) D RI'!T22</f>
        <v>4166299.87</v>
      </c>
      <c r="I21" s="10">
        <f t="shared" si="3"/>
        <v>109639.4702631579</v>
      </c>
      <c r="J21" s="32">
        <f t="shared" si="0"/>
        <v>120696.76891731143</v>
      </c>
      <c r="K21" s="10">
        <f t="shared" si="1"/>
        <v>109639.4702631579</v>
      </c>
      <c r="L21" s="10">
        <f t="shared" si="4"/>
        <v>11057.298654153536</v>
      </c>
      <c r="M21" s="10">
        <f>'D) Ecrêtage'!C20</f>
        <v>58623.163421052632</v>
      </c>
      <c r="N21" s="10">
        <f t="shared" si="2"/>
        <v>76074.379937947248</v>
      </c>
      <c r="O21" s="58">
        <f t="shared" si="5"/>
        <v>185713.85020110515</v>
      </c>
      <c r="P21" s="228"/>
      <c r="Q21" s="229"/>
      <c r="R21" s="225"/>
      <c r="S21" s="225"/>
      <c r="T21" s="230"/>
    </row>
    <row r="22" spans="1:20" s="224" customFormat="1" x14ac:dyDescent="0.25">
      <c r="A22" s="327">
        <f>'A) Base RI'!A23</f>
        <v>5422</v>
      </c>
      <c r="B22" s="237" t="str">
        <f>'A) Base RI'!B23</f>
        <v>Aubonne</v>
      </c>
      <c r="C22" s="253">
        <v>0</v>
      </c>
      <c r="D22" s="226">
        <f>'B) D RI'!AA23</f>
        <v>3269</v>
      </c>
      <c r="E22" s="227">
        <f>'B) D RI'!S23</f>
        <v>68</v>
      </c>
      <c r="F22" s="10">
        <f>'B) D RI'!R23</f>
        <v>16612956.390000001</v>
      </c>
      <c r="G22" s="10">
        <f>'B) D RI'!U23</f>
        <v>244308.18220588236</v>
      </c>
      <c r="H22" s="42">
        <f>'B) D RI'!T23</f>
        <v>15573360.15</v>
      </c>
      <c r="I22" s="10">
        <f t="shared" si="3"/>
        <v>458040.00441176473</v>
      </c>
      <c r="J22" s="32">
        <f t="shared" si="0"/>
        <v>274570.45065462147</v>
      </c>
      <c r="K22" s="10">
        <f t="shared" si="1"/>
        <v>274570.45065462147</v>
      </c>
      <c r="L22" s="10">
        <f t="shared" si="4"/>
        <v>0</v>
      </c>
      <c r="M22" s="10">
        <f>'D) Ecrêtage'!C21</f>
        <v>244308.18220588236</v>
      </c>
      <c r="N22" s="10">
        <f t="shared" si="2"/>
        <v>317034.9805518192</v>
      </c>
      <c r="O22" s="58">
        <f t="shared" si="5"/>
        <v>591605.43120644067</v>
      </c>
      <c r="P22" s="228"/>
      <c r="Q22" s="229"/>
      <c r="R22" s="225"/>
      <c r="S22" s="225"/>
      <c r="T22" s="230"/>
    </row>
    <row r="23" spans="1:20" s="224" customFormat="1" x14ac:dyDescent="0.25">
      <c r="A23" s="327">
        <f>'A) Base RI'!A24</f>
        <v>5423</v>
      </c>
      <c r="B23" s="237" t="str">
        <f>'A) Base RI'!B24</f>
        <v>Ballens</v>
      </c>
      <c r="C23" s="253">
        <v>0</v>
      </c>
      <c r="D23" s="226">
        <f>'B) D RI'!AA24</f>
        <v>527</v>
      </c>
      <c r="E23" s="227">
        <f>'B) D RI'!S24</f>
        <v>69</v>
      </c>
      <c r="F23" s="10">
        <f>'B) D RI'!R24</f>
        <v>1161149.0900000001</v>
      </c>
      <c r="G23" s="10">
        <f>'B) D RI'!U24</f>
        <v>16828.247681159421</v>
      </c>
      <c r="H23" s="42">
        <f>'B) D RI'!T24</f>
        <v>1082772.8400000001</v>
      </c>
      <c r="I23" s="10">
        <f t="shared" si="3"/>
        <v>31384.720000000001</v>
      </c>
      <c r="J23" s="32">
        <f t="shared" si="0"/>
        <v>44263.881154782968</v>
      </c>
      <c r="K23" s="10">
        <f t="shared" si="1"/>
        <v>31384.720000000001</v>
      </c>
      <c r="L23" s="10">
        <f t="shared" si="4"/>
        <v>12879.161154782967</v>
      </c>
      <c r="M23" s="10">
        <f>'D) Ecrêtage'!C22</f>
        <v>16828.247681159421</v>
      </c>
      <c r="N23" s="10">
        <f t="shared" si="2"/>
        <v>21837.758883660983</v>
      </c>
      <c r="O23" s="58">
        <f t="shared" si="5"/>
        <v>53222.478883660981</v>
      </c>
      <c r="P23" s="228"/>
      <c r="Q23" s="229"/>
      <c r="R23" s="225"/>
      <c r="S23" s="225"/>
      <c r="T23" s="230"/>
    </row>
    <row r="24" spans="1:20" s="224" customFormat="1" x14ac:dyDescent="0.25">
      <c r="A24" s="327">
        <f>'A) Base RI'!A25</f>
        <v>5424</v>
      </c>
      <c r="B24" s="237" t="str">
        <f>'A) Base RI'!B25</f>
        <v>Berolle</v>
      </c>
      <c r="C24" s="253">
        <v>0</v>
      </c>
      <c r="D24" s="226">
        <f>'B) D RI'!AA25</f>
        <v>301</v>
      </c>
      <c r="E24" s="227">
        <f>'B) D RI'!S25</f>
        <v>77</v>
      </c>
      <c r="F24" s="10">
        <f>'B) D RI'!R25</f>
        <v>872725.5900000002</v>
      </c>
      <c r="G24" s="10">
        <f>'B) D RI'!U25</f>
        <v>11334.098571428574</v>
      </c>
      <c r="H24" s="42">
        <f>'B) D RI'!T25</f>
        <v>822941.69000000018</v>
      </c>
      <c r="I24" s="10">
        <f t="shared" si="3"/>
        <v>21375.108831168836</v>
      </c>
      <c r="J24" s="32">
        <f t="shared" si="0"/>
        <v>25281.647490682491</v>
      </c>
      <c r="K24" s="10">
        <f t="shared" si="1"/>
        <v>21375.108831168836</v>
      </c>
      <c r="L24" s="10">
        <f t="shared" si="4"/>
        <v>3906.5386595136551</v>
      </c>
      <c r="M24" s="10">
        <f>'D) Ecrêtage'!C23</f>
        <v>11334.098571428574</v>
      </c>
      <c r="N24" s="10">
        <f t="shared" si="2"/>
        <v>14708.085859920666</v>
      </c>
      <c r="O24" s="58">
        <f t="shared" si="5"/>
        <v>36083.194691089506</v>
      </c>
      <c r="P24" s="228"/>
      <c r="Q24" s="229"/>
      <c r="R24" s="225"/>
      <c r="S24" s="225"/>
      <c r="T24" s="230"/>
    </row>
    <row r="25" spans="1:20" s="224" customFormat="1" x14ac:dyDescent="0.25">
      <c r="A25" s="327">
        <f>'A) Base RI'!A26</f>
        <v>5425</v>
      </c>
      <c r="B25" s="237" t="str">
        <f>'A) Base RI'!B26</f>
        <v>Bière</v>
      </c>
      <c r="C25" s="253">
        <v>0</v>
      </c>
      <c r="D25" s="226">
        <f>'B) D RI'!AA26</f>
        <v>1577</v>
      </c>
      <c r="E25" s="227">
        <f>'B) D RI'!S26</f>
        <v>68</v>
      </c>
      <c r="F25" s="10">
        <f>'B) D RI'!R26</f>
        <v>2759405.1737931035</v>
      </c>
      <c r="G25" s="10">
        <f>'B) D RI'!U26</f>
        <v>40579.487849898578</v>
      </c>
      <c r="H25" s="42">
        <f>'B) D RI'!T26</f>
        <v>2553335.4600000004</v>
      </c>
      <c r="I25" s="10">
        <f t="shared" si="3"/>
        <v>75098.101764705891</v>
      </c>
      <c r="J25" s="32">
        <f t="shared" si="0"/>
        <v>132455.6747269312</v>
      </c>
      <c r="K25" s="10">
        <f t="shared" si="1"/>
        <v>75098.101764705891</v>
      </c>
      <c r="L25" s="10">
        <f t="shared" si="4"/>
        <v>57357.572962225313</v>
      </c>
      <c r="M25" s="10">
        <f>'D) Ecrêtage'!C24</f>
        <v>40579.487849898578</v>
      </c>
      <c r="N25" s="10">
        <f t="shared" si="2"/>
        <v>52659.378925155041</v>
      </c>
      <c r="O25" s="58">
        <f t="shared" si="5"/>
        <v>127757.48068986094</v>
      </c>
      <c r="P25" s="228"/>
      <c r="Q25" s="229"/>
      <c r="R25" s="225"/>
      <c r="S25" s="225"/>
      <c r="T25" s="230"/>
    </row>
    <row r="26" spans="1:20" s="224" customFormat="1" x14ac:dyDescent="0.25">
      <c r="A26" s="327">
        <f>'A) Base RI'!A27</f>
        <v>5426</v>
      </c>
      <c r="B26" s="237" t="str">
        <f>'A) Base RI'!B27</f>
        <v>Bougy-Villars</v>
      </c>
      <c r="C26" s="253">
        <v>0</v>
      </c>
      <c r="D26" s="226">
        <f>'B) D RI'!AA27</f>
        <v>483</v>
      </c>
      <c r="E26" s="227">
        <f>'B) D RI'!S27</f>
        <v>66</v>
      </c>
      <c r="F26" s="10">
        <f>'B) D RI'!R27</f>
        <v>3156987.9166666665</v>
      </c>
      <c r="G26" s="10">
        <f>'B) D RI'!U27</f>
        <v>47833.150252525251</v>
      </c>
      <c r="H26" s="42">
        <f>'B) D RI'!T27</f>
        <v>2917545.45</v>
      </c>
      <c r="I26" s="10">
        <f t="shared" si="3"/>
        <v>88410.468181818185</v>
      </c>
      <c r="J26" s="32">
        <f t="shared" si="0"/>
        <v>40568.225043188184</v>
      </c>
      <c r="K26" s="10">
        <f t="shared" si="1"/>
        <v>40568.225043188184</v>
      </c>
      <c r="L26" s="10">
        <f t="shared" si="4"/>
        <v>0</v>
      </c>
      <c r="M26" s="10">
        <f>'D) Ecrêtage'!C25</f>
        <v>47833.150252525251</v>
      </c>
      <c r="N26" s="10">
        <f t="shared" si="2"/>
        <v>62072.345359526218</v>
      </c>
      <c r="O26" s="58">
        <f t="shared" si="5"/>
        <v>102640.57040271439</v>
      </c>
      <c r="P26" s="228"/>
      <c r="Q26" s="229"/>
      <c r="R26" s="225"/>
      <c r="S26" s="225"/>
      <c r="T26" s="230"/>
    </row>
    <row r="27" spans="1:20" s="224" customFormat="1" x14ac:dyDescent="0.25">
      <c r="A27" s="327">
        <f>'A) Base RI'!A28</f>
        <v>5427</v>
      </c>
      <c r="B27" s="237" t="str">
        <f>'A) Base RI'!B28</f>
        <v>Féchy</v>
      </c>
      <c r="C27" s="253">
        <v>0</v>
      </c>
      <c r="D27" s="226">
        <f>'B) D RI'!AA28</f>
        <v>895</v>
      </c>
      <c r="E27" s="227">
        <f>'B) D RI'!S28</f>
        <v>64</v>
      </c>
      <c r="F27" s="10">
        <f>'B) D RI'!R28</f>
        <v>5075762.1623076927</v>
      </c>
      <c r="G27" s="10">
        <f>'B) D RI'!U28</f>
        <v>79308.783786057698</v>
      </c>
      <c r="H27" s="42">
        <f>'B) D RI'!T28</f>
        <v>4737303.7700000005</v>
      </c>
      <c r="I27" s="10">
        <f t="shared" si="3"/>
        <v>148040.74281250002</v>
      </c>
      <c r="J27" s="32">
        <f t="shared" si="0"/>
        <v>75173.004997212061</v>
      </c>
      <c r="K27" s="10">
        <f t="shared" si="1"/>
        <v>75173.004997212061</v>
      </c>
      <c r="L27" s="10">
        <f t="shared" si="4"/>
        <v>0</v>
      </c>
      <c r="M27" s="10">
        <f>'D) Ecrêtage'!C26</f>
        <v>79308.783786057698</v>
      </c>
      <c r="N27" s="10">
        <f t="shared" si="2"/>
        <v>102917.79218434967</v>
      </c>
      <c r="O27" s="58">
        <f t="shared" si="5"/>
        <v>178090.79718156173</v>
      </c>
      <c r="P27" s="228"/>
      <c r="Q27" s="229"/>
      <c r="R27" s="225"/>
      <c r="S27" s="225"/>
      <c r="T27" s="230"/>
    </row>
    <row r="28" spans="1:20" s="224" customFormat="1" x14ac:dyDescent="0.25">
      <c r="A28" s="327">
        <f>'A) Base RI'!A29</f>
        <v>5428</v>
      </c>
      <c r="B28" s="237" t="str">
        <f>'A) Base RI'!B29</f>
        <v>Gimel</v>
      </c>
      <c r="C28" s="253">
        <v>0</v>
      </c>
      <c r="D28" s="226">
        <f>'B) D RI'!AA29</f>
        <v>2016</v>
      </c>
      <c r="E28" s="227">
        <f>'B) D RI'!S29</f>
        <v>71.5</v>
      </c>
      <c r="F28" s="10">
        <f>'B) D RI'!R29</f>
        <v>4413589.6700000009</v>
      </c>
      <c r="G28" s="10">
        <f>'B) D RI'!U29</f>
        <v>61728.526853146868</v>
      </c>
      <c r="H28" s="42">
        <f>'B) D RI'!T29</f>
        <v>4081039.7700000005</v>
      </c>
      <c r="I28" s="10">
        <f t="shared" si="3"/>
        <v>114154.95860139861</v>
      </c>
      <c r="J28" s="32">
        <f t="shared" si="0"/>
        <v>169328.24365852459</v>
      </c>
      <c r="K28" s="10">
        <f t="shared" si="1"/>
        <v>114154.95860139861</v>
      </c>
      <c r="L28" s="10">
        <f t="shared" si="4"/>
        <v>55173.285057125977</v>
      </c>
      <c r="M28" s="10">
        <f>'D) Ecrêtage'!C27</f>
        <v>61728.526853146868</v>
      </c>
      <c r="N28" s="10">
        <f t="shared" si="2"/>
        <v>80104.162429925622</v>
      </c>
      <c r="O28" s="58">
        <f t="shared" si="5"/>
        <v>194259.12103132423</v>
      </c>
      <c r="P28" s="228"/>
      <c r="Q28" s="229"/>
      <c r="R28" s="225"/>
      <c r="S28" s="225"/>
      <c r="T28" s="230"/>
    </row>
    <row r="29" spans="1:20" s="224" customFormat="1" x14ac:dyDescent="0.25">
      <c r="A29" s="327">
        <f>'A) Base RI'!A30</f>
        <v>5429</v>
      </c>
      <c r="B29" s="237" t="str">
        <f>'A) Base RI'!B30</f>
        <v>Longirod</v>
      </c>
      <c r="C29" s="253">
        <v>0</v>
      </c>
      <c r="D29" s="226">
        <f>'B) D RI'!AA30</f>
        <v>469</v>
      </c>
      <c r="E29" s="227">
        <f>'B) D RI'!S30</f>
        <v>81</v>
      </c>
      <c r="F29" s="10">
        <f>'B) D RI'!R30</f>
        <v>1210122.3999999999</v>
      </c>
      <c r="G29" s="10">
        <f>'B) D RI'!U30</f>
        <v>14939.782716049382</v>
      </c>
      <c r="H29" s="42">
        <f>'B) D RI'!T30</f>
        <v>1116381.3</v>
      </c>
      <c r="I29" s="10">
        <f t="shared" si="3"/>
        <v>27564.970370370371</v>
      </c>
      <c r="J29" s="32">
        <f t="shared" si="0"/>
        <v>39392.334462226208</v>
      </c>
      <c r="K29" s="10">
        <f t="shared" si="1"/>
        <v>27564.970370370371</v>
      </c>
      <c r="L29" s="10">
        <f t="shared" si="4"/>
        <v>11827.364091855838</v>
      </c>
      <c r="M29" s="10">
        <f>'D) Ecrêtage'!C28</f>
        <v>14939.782716049382</v>
      </c>
      <c r="N29" s="10">
        <f t="shared" si="2"/>
        <v>19387.126866015697</v>
      </c>
      <c r="O29" s="58">
        <f t="shared" si="5"/>
        <v>46952.097236386064</v>
      </c>
      <c r="P29" s="228"/>
      <c r="Q29" s="229"/>
      <c r="R29" s="225"/>
      <c r="S29" s="225"/>
      <c r="T29" s="230"/>
    </row>
    <row r="30" spans="1:20" s="224" customFormat="1" x14ac:dyDescent="0.25">
      <c r="A30" s="327">
        <f>'A) Base RI'!A31</f>
        <v>5430</v>
      </c>
      <c r="B30" s="237" t="str">
        <f>'A) Base RI'!B31</f>
        <v>Marchissy</v>
      </c>
      <c r="C30" s="253">
        <v>0</v>
      </c>
      <c r="D30" s="226">
        <f>'B) D RI'!AA31</f>
        <v>455</v>
      </c>
      <c r="E30" s="227">
        <f>'B) D RI'!S31</f>
        <v>79</v>
      </c>
      <c r="F30" s="10">
        <f>'B) D RI'!R31</f>
        <v>1075484.7799999998</v>
      </c>
      <c r="G30" s="10">
        <f>'B) D RI'!U31</f>
        <v>13613.731392405061</v>
      </c>
      <c r="H30" s="42">
        <f>'B) D RI'!T31</f>
        <v>994412.22999999986</v>
      </c>
      <c r="I30" s="10">
        <f t="shared" si="3"/>
        <v>25174.99316455696</v>
      </c>
      <c r="J30" s="32">
        <f t="shared" si="0"/>
        <v>38216.443881264233</v>
      </c>
      <c r="K30" s="10">
        <f t="shared" si="1"/>
        <v>25174.99316455696</v>
      </c>
      <c r="L30" s="10">
        <f t="shared" si="4"/>
        <v>13041.450716707273</v>
      </c>
      <c r="M30" s="10">
        <f>'D) Ecrêtage'!C29</f>
        <v>13613.731392405061</v>
      </c>
      <c r="N30" s="10">
        <f t="shared" si="2"/>
        <v>17666.330403914362</v>
      </c>
      <c r="O30" s="58">
        <f t="shared" si="5"/>
        <v>42841.323568471322</v>
      </c>
      <c r="P30" s="228"/>
      <c r="Q30" s="229"/>
      <c r="R30" s="225"/>
      <c r="S30" s="225"/>
      <c r="T30" s="230"/>
    </row>
    <row r="31" spans="1:20" s="224" customFormat="1" x14ac:dyDescent="0.25">
      <c r="A31" s="327">
        <f>'A) Base RI'!A32</f>
        <v>5431</v>
      </c>
      <c r="B31" s="237" t="str">
        <f>'A) Base RI'!B32</f>
        <v>Mollens</v>
      </c>
      <c r="C31" s="253">
        <v>0</v>
      </c>
      <c r="D31" s="226">
        <f>'B) D RI'!AA32</f>
        <v>301</v>
      </c>
      <c r="E31" s="227">
        <f>'B) D RI'!S32</f>
        <v>74</v>
      </c>
      <c r="F31" s="10">
        <f>'B) D RI'!R32</f>
        <v>664074.6100000001</v>
      </c>
      <c r="G31" s="10">
        <f>'B) D RI'!U32</f>
        <v>8973.9812162162179</v>
      </c>
      <c r="H31" s="42">
        <f>'B) D RI'!T32</f>
        <v>615640.96000000008</v>
      </c>
      <c r="I31" s="10">
        <f t="shared" si="3"/>
        <v>16638.944864864869</v>
      </c>
      <c r="J31" s="32">
        <f t="shared" si="0"/>
        <v>25281.647490682491</v>
      </c>
      <c r="K31" s="10">
        <f t="shared" si="1"/>
        <v>16638.944864864869</v>
      </c>
      <c r="L31" s="10">
        <f t="shared" si="4"/>
        <v>8642.7026258176229</v>
      </c>
      <c r="M31" s="10">
        <f>'D) Ecrêtage'!C30</f>
        <v>8973.9812162162179</v>
      </c>
      <c r="N31" s="10">
        <f t="shared" si="2"/>
        <v>11645.397770418993</v>
      </c>
      <c r="O31" s="58">
        <f t="shared" si="5"/>
        <v>28284.342635283861</v>
      </c>
      <c r="P31" s="228"/>
      <c r="Q31" s="229"/>
      <c r="R31" s="225"/>
      <c r="S31" s="225"/>
      <c r="T31" s="230"/>
    </row>
    <row r="32" spans="1:20" s="224" customFormat="1" x14ac:dyDescent="0.25">
      <c r="A32" s="327">
        <f>'A) Base RI'!A33</f>
        <v>5432</v>
      </c>
      <c r="B32" s="237" t="str">
        <f>'A) Base RI'!B33</f>
        <v>Montherod</v>
      </c>
      <c r="C32" s="253">
        <v>0</v>
      </c>
      <c r="D32" s="226">
        <f>'B) D RI'!AA33</f>
        <v>534</v>
      </c>
      <c r="E32" s="227">
        <f>'B) D RI'!S33</f>
        <v>78</v>
      </c>
      <c r="F32" s="10">
        <f>'B) D RI'!R33</f>
        <v>1395206.45</v>
      </c>
      <c r="G32" s="10">
        <f>'B) D RI'!U33</f>
        <v>17887.262179487177</v>
      </c>
      <c r="H32" s="42">
        <f>'B) D RI'!T33</f>
        <v>1297368.25</v>
      </c>
      <c r="I32" s="10">
        <f t="shared" si="3"/>
        <v>33265.852564102563</v>
      </c>
      <c r="J32" s="32">
        <f t="shared" si="0"/>
        <v>44851.826445263956</v>
      </c>
      <c r="K32" s="10">
        <f t="shared" si="1"/>
        <v>33265.852564102563</v>
      </c>
      <c r="L32" s="10">
        <f t="shared" si="4"/>
        <v>11585.973881161393</v>
      </c>
      <c r="M32" s="10">
        <f>'D) Ecrêtage'!C31</f>
        <v>17887.262179487177</v>
      </c>
      <c r="N32" s="10">
        <f t="shared" si="2"/>
        <v>23212.025753685408</v>
      </c>
      <c r="O32" s="58">
        <f t="shared" si="5"/>
        <v>56477.878317787967</v>
      </c>
      <c r="P32" s="228"/>
      <c r="Q32" s="229"/>
      <c r="R32" s="225"/>
      <c r="S32" s="225"/>
      <c r="T32" s="230"/>
    </row>
    <row r="33" spans="1:20" s="224" customFormat="1" x14ac:dyDescent="0.25">
      <c r="A33" s="327">
        <f>'A) Base RI'!A34</f>
        <v>5434</v>
      </c>
      <c r="B33" s="237" t="str">
        <f>'A) Base RI'!B34</f>
        <v>Saint-George</v>
      </c>
      <c r="C33" s="253">
        <v>0</v>
      </c>
      <c r="D33" s="226">
        <f>'B) D RI'!AA34</f>
        <v>1031</v>
      </c>
      <c r="E33" s="227">
        <f>'B) D RI'!S34</f>
        <v>71</v>
      </c>
      <c r="F33" s="10">
        <f>'B) D RI'!R34</f>
        <v>2636471.7200000002</v>
      </c>
      <c r="G33" s="10">
        <f>'B) D RI'!U34</f>
        <v>37133.404507042258</v>
      </c>
      <c r="H33" s="42">
        <f>'B) D RI'!T34</f>
        <v>2422440.2200000002</v>
      </c>
      <c r="I33" s="10">
        <f t="shared" si="3"/>
        <v>68237.752676056349</v>
      </c>
      <c r="J33" s="32">
        <f t="shared" si="0"/>
        <v>86595.942069414115</v>
      </c>
      <c r="K33" s="10">
        <f t="shared" si="1"/>
        <v>68237.752676056349</v>
      </c>
      <c r="L33" s="10">
        <f t="shared" si="4"/>
        <v>18358.189393357767</v>
      </c>
      <c r="M33" s="10">
        <f>'D) Ecrêtage'!C32</f>
        <v>37133.404507042258</v>
      </c>
      <c r="N33" s="10">
        <f t="shared" si="2"/>
        <v>48187.449431358102</v>
      </c>
      <c r="O33" s="58">
        <f t="shared" si="5"/>
        <v>116425.20210741446</v>
      </c>
      <c r="P33" s="228"/>
      <c r="Q33" s="229"/>
      <c r="R33" s="225"/>
      <c r="S33" s="225"/>
      <c r="T33" s="230"/>
    </row>
    <row r="34" spans="1:20" s="224" customFormat="1" x14ac:dyDescent="0.25">
      <c r="A34" s="327">
        <f>'A) Base RI'!A35</f>
        <v>5435</v>
      </c>
      <c r="B34" s="237" t="str">
        <f>'A) Base RI'!B35</f>
        <v>Saint-Livres</v>
      </c>
      <c r="C34" s="253">
        <v>0</v>
      </c>
      <c r="D34" s="226">
        <f>'B) D RI'!AA35</f>
        <v>683</v>
      </c>
      <c r="E34" s="227">
        <f>'B) D RI'!S35</f>
        <v>69</v>
      </c>
      <c r="F34" s="10">
        <f>'B) D RI'!R35</f>
        <v>1769137.9899999998</v>
      </c>
      <c r="G34" s="10">
        <f>'B) D RI'!U35</f>
        <v>25639.681014492751</v>
      </c>
      <c r="H34" s="42">
        <f>'B) D RI'!T35</f>
        <v>1648265.9899999998</v>
      </c>
      <c r="I34" s="10">
        <f t="shared" si="3"/>
        <v>47775.825797101439</v>
      </c>
      <c r="J34" s="32">
        <f t="shared" si="0"/>
        <v>57366.661914073564</v>
      </c>
      <c r="K34" s="10">
        <f t="shared" si="1"/>
        <v>47775.825797101439</v>
      </c>
      <c r="L34" s="10">
        <f t="shared" si="4"/>
        <v>9590.8361169721247</v>
      </c>
      <c r="M34" s="10">
        <f>'D) Ecrêtage'!C33</f>
        <v>25639.681014492751</v>
      </c>
      <c r="N34" s="10">
        <f t="shared" si="2"/>
        <v>33272.220759820455</v>
      </c>
      <c r="O34" s="58">
        <f t="shared" si="5"/>
        <v>81048.046556921894</v>
      </c>
      <c r="P34" s="228"/>
      <c r="Q34" s="229"/>
      <c r="R34" s="225"/>
      <c r="S34" s="225"/>
      <c r="T34" s="230"/>
    </row>
    <row r="35" spans="1:20" s="224" customFormat="1" x14ac:dyDescent="0.25">
      <c r="A35" s="327">
        <f>'A) Base RI'!A36</f>
        <v>5436</v>
      </c>
      <c r="B35" s="237" t="str">
        <f>'A) Base RI'!B36</f>
        <v>Saint-Oyens</v>
      </c>
      <c r="C35" s="253">
        <v>0</v>
      </c>
      <c r="D35" s="226">
        <f>'B) D RI'!AA36</f>
        <v>366</v>
      </c>
      <c r="E35" s="227">
        <f>'B) D RI'!S36</f>
        <v>81</v>
      </c>
      <c r="F35" s="10">
        <f>'B) D RI'!R36</f>
        <v>917454.61500000011</v>
      </c>
      <c r="G35" s="10">
        <f>'B) D RI'!U36</f>
        <v>11326.600185185187</v>
      </c>
      <c r="H35" s="42">
        <f>'B) D RI'!T36</f>
        <v>856430.49000000011</v>
      </c>
      <c r="I35" s="10">
        <f t="shared" si="3"/>
        <v>21146.431851851856</v>
      </c>
      <c r="J35" s="32">
        <f t="shared" si="0"/>
        <v>30741.139473720239</v>
      </c>
      <c r="K35" s="10">
        <f t="shared" si="1"/>
        <v>21146.431851851856</v>
      </c>
      <c r="L35" s="10">
        <f t="shared" si="4"/>
        <v>9594.7076218683833</v>
      </c>
      <c r="M35" s="10">
        <f>'D) Ecrêtage'!C34</f>
        <v>11326.600185185187</v>
      </c>
      <c r="N35" s="10">
        <f t="shared" si="2"/>
        <v>14698.355319112012</v>
      </c>
      <c r="O35" s="58">
        <f t="shared" si="5"/>
        <v>35844.787170963871</v>
      </c>
      <c r="P35" s="228"/>
      <c r="Q35" s="229"/>
      <c r="R35" s="225"/>
      <c r="S35" s="225"/>
      <c r="T35" s="230"/>
    </row>
    <row r="36" spans="1:20" s="224" customFormat="1" x14ac:dyDescent="0.25">
      <c r="A36" s="327">
        <f>'A) Base RI'!A37</f>
        <v>5437</v>
      </c>
      <c r="B36" s="237" t="str">
        <f>'A) Base RI'!B37</f>
        <v>Saubraz</v>
      </c>
      <c r="C36" s="253">
        <v>0</v>
      </c>
      <c r="D36" s="226">
        <f>'B) D RI'!AA37</f>
        <v>420</v>
      </c>
      <c r="E36" s="227">
        <f>'B) D RI'!S37</f>
        <v>80</v>
      </c>
      <c r="F36" s="10">
        <f>'B) D RI'!R37</f>
        <v>793112.66</v>
      </c>
      <c r="G36" s="10">
        <f>'B) D RI'!U37</f>
        <v>9913.9082500000004</v>
      </c>
      <c r="H36" s="42">
        <f>'B) D RI'!T37</f>
        <v>728435.66</v>
      </c>
      <c r="I36" s="10">
        <f t="shared" si="3"/>
        <v>18210.891500000002</v>
      </c>
      <c r="J36" s="32">
        <f t="shared" si="0"/>
        <v>35276.717428859294</v>
      </c>
      <c r="K36" s="10">
        <f t="shared" si="1"/>
        <v>18210.891500000002</v>
      </c>
      <c r="L36" s="10">
        <f t="shared" si="4"/>
        <v>17065.825928859293</v>
      </c>
      <c r="M36" s="10">
        <f>'D) Ecrêtage'!C35</f>
        <v>9913.9082500000004</v>
      </c>
      <c r="N36" s="10">
        <f t="shared" si="2"/>
        <v>12865.126664413423</v>
      </c>
      <c r="O36" s="58">
        <f t="shared" si="5"/>
        <v>31076.018164413425</v>
      </c>
      <c r="P36" s="228"/>
      <c r="Q36" s="229"/>
      <c r="R36" s="225"/>
      <c r="S36" s="225"/>
      <c r="T36" s="230"/>
    </row>
    <row r="37" spans="1:20" s="224" customFormat="1" x14ac:dyDescent="0.25">
      <c r="A37" s="327">
        <f>'A) Base RI'!A38</f>
        <v>5451</v>
      </c>
      <c r="B37" s="237" t="str">
        <f>'A) Base RI'!B38</f>
        <v>Avenches</v>
      </c>
      <c r="C37" s="253">
        <v>0</v>
      </c>
      <c r="D37" s="226">
        <f>'B) D RI'!AA38</f>
        <v>4210</v>
      </c>
      <c r="E37" s="227">
        <f>'B) D RI'!S38</f>
        <v>68</v>
      </c>
      <c r="F37" s="10">
        <f>'B) D RI'!R38</f>
        <v>6496548.3833333328</v>
      </c>
      <c r="G37" s="10">
        <f>'B) D RI'!U38</f>
        <v>95537.476225490187</v>
      </c>
      <c r="H37" s="42">
        <f>'B) D RI'!T38</f>
        <v>5588878.5999999996</v>
      </c>
      <c r="I37" s="10">
        <f t="shared" si="3"/>
        <v>164378.78235294117</v>
      </c>
      <c r="J37" s="32">
        <f t="shared" si="0"/>
        <v>353607.09613213717</v>
      </c>
      <c r="K37" s="10">
        <f t="shared" si="1"/>
        <v>164378.78235294117</v>
      </c>
      <c r="L37" s="10">
        <f t="shared" si="4"/>
        <v>189228.313779196</v>
      </c>
      <c r="M37" s="10">
        <f>'D) Ecrêtage'!C36</f>
        <v>95537.476225490187</v>
      </c>
      <c r="N37" s="10">
        <f t="shared" si="2"/>
        <v>123977.51742753088</v>
      </c>
      <c r="O37" s="58">
        <f t="shared" si="5"/>
        <v>288356.29978047207</v>
      </c>
      <c r="P37" s="228"/>
      <c r="Q37" s="229"/>
      <c r="R37" s="225"/>
      <c r="S37" s="225"/>
      <c r="T37" s="230"/>
    </row>
    <row r="38" spans="1:20" s="224" customFormat="1" x14ac:dyDescent="0.25">
      <c r="A38" s="327">
        <f>'A) Base RI'!A39</f>
        <v>5456</v>
      </c>
      <c r="B38" s="237" t="str">
        <f>'A) Base RI'!B39</f>
        <v>Cudrefin</v>
      </c>
      <c r="C38" s="253">
        <v>0</v>
      </c>
      <c r="D38" s="226">
        <f>'B) D RI'!AA39</f>
        <v>1589</v>
      </c>
      <c r="E38" s="227">
        <f>'B) D RI'!S39</f>
        <v>59</v>
      </c>
      <c r="F38" s="10">
        <f>'B) D RI'!R39</f>
        <v>3228830.5566666671</v>
      </c>
      <c r="G38" s="10">
        <f>'B) D RI'!U39</f>
        <v>54725.941638418088</v>
      </c>
      <c r="H38" s="42">
        <f>'B) D RI'!T39</f>
        <v>2927950.5400000005</v>
      </c>
      <c r="I38" s="10">
        <f t="shared" si="3"/>
        <v>99252.560677966118</v>
      </c>
      <c r="J38" s="32">
        <f t="shared" ref="J38:J69" si="6">+$I$315/$D$315*D38</f>
        <v>133463.58093918432</v>
      </c>
      <c r="K38" s="10">
        <f t="shared" si="1"/>
        <v>99252.560677966118</v>
      </c>
      <c r="L38" s="10">
        <f t="shared" si="4"/>
        <v>34211.020261218204</v>
      </c>
      <c r="M38" s="10">
        <f>'D) Ecrêtage'!C37</f>
        <v>54725.941638418088</v>
      </c>
      <c r="N38" s="10">
        <f t="shared" ref="N38:N69" si="7">+$N$5*M38</f>
        <v>71017.015010961521</v>
      </c>
      <c r="O38" s="58">
        <f t="shared" si="5"/>
        <v>170269.57568892764</v>
      </c>
      <c r="P38" s="228"/>
      <c r="Q38" s="229"/>
      <c r="R38" s="225"/>
      <c r="S38" s="225"/>
      <c r="T38" s="230"/>
    </row>
    <row r="39" spans="1:20" s="224" customFormat="1" x14ac:dyDescent="0.25">
      <c r="A39" s="327">
        <f>'A) Base RI'!A40</f>
        <v>5458</v>
      </c>
      <c r="B39" s="237" t="str">
        <f>'A) Base RI'!B40</f>
        <v>Faoug</v>
      </c>
      <c r="C39" s="253">
        <v>0</v>
      </c>
      <c r="D39" s="226">
        <f>'B) D RI'!AA40</f>
        <v>893</v>
      </c>
      <c r="E39" s="227">
        <f>'B) D RI'!S40</f>
        <v>64</v>
      </c>
      <c r="F39" s="10">
        <f>'B) D RI'!R40</f>
        <v>2214886.0100000002</v>
      </c>
      <c r="G39" s="10">
        <f>'B) D RI'!U40</f>
        <v>34607.593906250004</v>
      </c>
      <c r="H39" s="42">
        <f>'B) D RI'!T40</f>
        <v>2046113.86</v>
      </c>
      <c r="I39" s="10">
        <f t="shared" si="3"/>
        <v>63941.058125000003</v>
      </c>
      <c r="J39" s="32">
        <f t="shared" si="6"/>
        <v>75005.020628503204</v>
      </c>
      <c r="K39" s="10">
        <f t="shared" si="1"/>
        <v>63941.058125000003</v>
      </c>
      <c r="L39" s="10">
        <f t="shared" si="4"/>
        <v>11063.9625035032</v>
      </c>
      <c r="M39" s="10">
        <f>'D) Ecrêtage'!C38</f>
        <v>34607.593906250004</v>
      </c>
      <c r="N39" s="10">
        <f t="shared" si="7"/>
        <v>44909.743758672405</v>
      </c>
      <c r="O39" s="58">
        <f t="shared" si="5"/>
        <v>108850.80188367241</v>
      </c>
      <c r="P39" s="228"/>
      <c r="Q39" s="229"/>
      <c r="R39" s="225"/>
      <c r="S39" s="225"/>
      <c r="T39" s="230"/>
    </row>
    <row r="40" spans="1:20" s="224" customFormat="1" x14ac:dyDescent="0.25">
      <c r="A40" s="327">
        <f>'A) Base RI'!A41</f>
        <v>5464</v>
      </c>
      <c r="B40" s="237" t="str">
        <f>'A) Base RI'!B41</f>
        <v>Vully-les-Lacs</v>
      </c>
      <c r="C40" s="253">
        <v>0</v>
      </c>
      <c r="D40" s="226">
        <f>'B) D RI'!AA41</f>
        <v>3080</v>
      </c>
      <c r="E40" s="227">
        <f>'B) D RI'!S41</f>
        <v>67</v>
      </c>
      <c r="F40" s="10">
        <f>'B) D RI'!R41</f>
        <v>6614728.8099999996</v>
      </c>
      <c r="G40" s="10">
        <f>'B) D RI'!U41</f>
        <v>98727.295671641783</v>
      </c>
      <c r="H40" s="42">
        <f>'B) D RI'!T41</f>
        <v>6014543.9099999992</v>
      </c>
      <c r="I40" s="10">
        <f t="shared" si="3"/>
        <v>179538.62417910446</v>
      </c>
      <c r="J40" s="32">
        <f t="shared" si="6"/>
        <v>258695.92781163479</v>
      </c>
      <c r="K40" s="10">
        <f t="shared" si="1"/>
        <v>179538.62417910446</v>
      </c>
      <c r="L40" s="10">
        <f t="shared" si="4"/>
        <v>79157.303632530326</v>
      </c>
      <c r="M40" s="10">
        <f>'D) Ecrêtage'!C39</f>
        <v>98727.295671641783</v>
      </c>
      <c r="N40" s="10">
        <f t="shared" si="7"/>
        <v>128116.89719346218</v>
      </c>
      <c r="O40" s="58">
        <f t="shared" si="5"/>
        <v>307655.52137256664</v>
      </c>
      <c r="P40" s="228"/>
      <c r="Q40" s="229"/>
      <c r="R40" s="225"/>
      <c r="S40" s="225"/>
      <c r="T40" s="230"/>
    </row>
    <row r="41" spans="1:20" s="224" customFormat="1" x14ac:dyDescent="0.25">
      <c r="A41" s="327">
        <f>'A) Base RI'!A42</f>
        <v>5471</v>
      </c>
      <c r="B41" s="237" t="str">
        <f>'A) Base RI'!B42</f>
        <v>Bettens</v>
      </c>
      <c r="C41" s="253">
        <v>0</v>
      </c>
      <c r="D41" s="226">
        <f>'B) D RI'!AA42</f>
        <v>574</v>
      </c>
      <c r="E41" s="227">
        <f>'B) D RI'!S42</f>
        <v>70</v>
      </c>
      <c r="F41" s="10">
        <f>'B) D RI'!R42</f>
        <v>1340215.9099999997</v>
      </c>
      <c r="G41" s="10">
        <f>'B) D RI'!U42</f>
        <v>19145.941571428568</v>
      </c>
      <c r="H41" s="42">
        <f>'B) D RI'!T42</f>
        <v>1227679.4099999997</v>
      </c>
      <c r="I41" s="10">
        <f t="shared" si="3"/>
        <v>35076.554571428562</v>
      </c>
      <c r="J41" s="32">
        <f t="shared" si="6"/>
        <v>48211.513819441032</v>
      </c>
      <c r="K41" s="10">
        <f t="shared" si="1"/>
        <v>35076.554571428562</v>
      </c>
      <c r="L41" s="10">
        <f t="shared" si="4"/>
        <v>13134.95924801247</v>
      </c>
      <c r="M41" s="10">
        <f>'D) Ecrêtage'!C40</f>
        <v>19145.941571428568</v>
      </c>
      <c r="N41" s="10">
        <f t="shared" si="7"/>
        <v>24845.394693448678</v>
      </c>
      <c r="O41" s="58">
        <f t="shared" si="5"/>
        <v>59921.949264877243</v>
      </c>
      <c r="P41" s="228"/>
      <c r="Q41" s="229"/>
      <c r="R41" s="225"/>
      <c r="S41" s="225"/>
      <c r="T41" s="230"/>
    </row>
    <row r="42" spans="1:20" s="224" customFormat="1" x14ac:dyDescent="0.25">
      <c r="A42" s="327">
        <f>'A) Base RI'!A43</f>
        <v>5472</v>
      </c>
      <c r="B42" s="237" t="str">
        <f>'A) Base RI'!B43</f>
        <v>Bournens</v>
      </c>
      <c r="C42" s="253">
        <v>0</v>
      </c>
      <c r="D42" s="226">
        <f>'B) D RI'!AA43</f>
        <v>419</v>
      </c>
      <c r="E42" s="227">
        <f>'B) D RI'!S43</f>
        <v>80</v>
      </c>
      <c r="F42" s="10">
        <f>'B) D RI'!R43</f>
        <v>1181600.9900000002</v>
      </c>
      <c r="G42" s="10">
        <f>'B) D RI'!U43</f>
        <v>14770.012375000002</v>
      </c>
      <c r="H42" s="42">
        <f>'B) D RI'!T43</f>
        <v>1103850.2900000003</v>
      </c>
      <c r="I42" s="10">
        <f t="shared" si="3"/>
        <v>27596.257250000006</v>
      </c>
      <c r="J42" s="32">
        <f t="shared" si="6"/>
        <v>35192.725244504865</v>
      </c>
      <c r="K42" s="10">
        <f t="shared" si="1"/>
        <v>27596.257250000006</v>
      </c>
      <c r="L42" s="10">
        <f t="shared" si="4"/>
        <v>7596.4679945048592</v>
      </c>
      <c r="M42" s="10">
        <f>'D) Ecrêtage'!C41</f>
        <v>14770.012375000002</v>
      </c>
      <c r="N42" s="10">
        <f t="shared" si="7"/>
        <v>19166.818498580389</v>
      </c>
      <c r="O42" s="58">
        <f t="shared" si="5"/>
        <v>46763.075748580392</v>
      </c>
      <c r="P42" s="228"/>
      <c r="Q42" s="229"/>
      <c r="R42" s="225"/>
      <c r="S42" s="225"/>
      <c r="T42" s="230"/>
    </row>
    <row r="43" spans="1:20" s="224" customFormat="1" x14ac:dyDescent="0.25">
      <c r="A43" s="327">
        <f>'A) Base RI'!A44</f>
        <v>5473</v>
      </c>
      <c r="B43" s="237" t="str">
        <f>'A) Base RI'!B44</f>
        <v>Boussens</v>
      </c>
      <c r="C43" s="253">
        <v>0</v>
      </c>
      <c r="D43" s="226">
        <f>'B) D RI'!AA44</f>
        <v>982</v>
      </c>
      <c r="E43" s="227">
        <f>'B) D RI'!S44</f>
        <v>69</v>
      </c>
      <c r="F43" s="10">
        <f>'B) D RI'!R44</f>
        <v>2277177.2900000005</v>
      </c>
      <c r="G43" s="10">
        <f>'B) D RI'!U44</f>
        <v>33002.569420289859</v>
      </c>
      <c r="H43" s="42">
        <f>'B) D RI'!T44</f>
        <v>2109237.9900000002</v>
      </c>
      <c r="I43" s="10">
        <f t="shared" si="3"/>
        <v>61137.333043478269</v>
      </c>
      <c r="J43" s="32">
        <f t="shared" si="6"/>
        <v>82480.325036047201</v>
      </c>
      <c r="K43" s="10">
        <f t="shared" si="1"/>
        <v>61137.333043478269</v>
      </c>
      <c r="L43" s="10">
        <f t="shared" si="4"/>
        <v>21342.991992568932</v>
      </c>
      <c r="M43" s="10">
        <f>'D) Ecrêtage'!C42</f>
        <v>33002.569420289859</v>
      </c>
      <c r="N43" s="10">
        <f t="shared" si="7"/>
        <v>42826.928103064303</v>
      </c>
      <c r="O43" s="58">
        <f t="shared" si="5"/>
        <v>103964.26114654257</v>
      </c>
      <c r="P43" s="228"/>
      <c r="Q43" s="229"/>
      <c r="R43" s="225"/>
      <c r="S43" s="225"/>
      <c r="T43" s="230"/>
    </row>
    <row r="44" spans="1:20" s="224" customFormat="1" x14ac:dyDescent="0.25">
      <c r="A44" s="327">
        <f>'A) Base RI'!A45</f>
        <v>5474</v>
      </c>
      <c r="B44" s="237" t="str">
        <f>'A) Base RI'!B45</f>
        <v>La Chaux (Cossonay)</v>
      </c>
      <c r="C44" s="253">
        <v>0</v>
      </c>
      <c r="D44" s="226">
        <f>'B) D RI'!AA45</f>
        <v>420</v>
      </c>
      <c r="E44" s="227">
        <f>'B) D RI'!S45</f>
        <v>77</v>
      </c>
      <c r="F44" s="10">
        <f>'B) D RI'!R45</f>
        <v>1030879.4933333333</v>
      </c>
      <c r="G44" s="10">
        <f>'B) D RI'!U45</f>
        <v>13388.045367965367</v>
      </c>
      <c r="H44" s="42">
        <f>'B) D RI'!T45</f>
        <v>962055.65999999992</v>
      </c>
      <c r="I44" s="10">
        <f t="shared" si="3"/>
        <v>24988.458701298699</v>
      </c>
      <c r="J44" s="32">
        <f t="shared" si="6"/>
        <v>35276.717428859294</v>
      </c>
      <c r="K44" s="10">
        <f t="shared" si="1"/>
        <v>24988.458701298699</v>
      </c>
      <c r="L44" s="10">
        <f t="shared" si="4"/>
        <v>10288.258727560595</v>
      </c>
      <c r="M44" s="10">
        <f>'D) Ecrêtage'!C43</f>
        <v>13388.045367965367</v>
      </c>
      <c r="N44" s="10">
        <f t="shared" si="7"/>
        <v>17373.461111846365</v>
      </c>
      <c r="O44" s="58">
        <f t="shared" si="5"/>
        <v>42361.919813145068</v>
      </c>
      <c r="P44" s="228"/>
      <c r="Q44" s="229"/>
      <c r="R44" s="225"/>
      <c r="S44" s="225"/>
      <c r="T44" s="230"/>
    </row>
    <row r="45" spans="1:20" s="224" customFormat="1" x14ac:dyDescent="0.25">
      <c r="A45" s="327">
        <f>'A) Base RI'!A46</f>
        <v>5475</v>
      </c>
      <c r="B45" s="237" t="str">
        <f>'A) Base RI'!B46</f>
        <v>Chavannes-le-Veyron</v>
      </c>
      <c r="C45" s="253">
        <v>0</v>
      </c>
      <c r="D45" s="226">
        <f>'B) D RI'!AA46</f>
        <v>141</v>
      </c>
      <c r="E45" s="227">
        <f>'B) D RI'!S46</f>
        <v>77</v>
      </c>
      <c r="F45" s="10">
        <f>'B) D RI'!R46</f>
        <v>290727.32</v>
      </c>
      <c r="G45" s="10">
        <f>'B) D RI'!U46</f>
        <v>3775.6794805194804</v>
      </c>
      <c r="H45" s="42">
        <f>'B) D RI'!T46</f>
        <v>268150.02</v>
      </c>
      <c r="I45" s="10">
        <f t="shared" si="3"/>
        <v>6964.9355844155853</v>
      </c>
      <c r="J45" s="32">
        <f t="shared" si="6"/>
        <v>11842.897993974191</v>
      </c>
      <c r="K45" s="10">
        <f t="shared" si="1"/>
        <v>6964.9355844155853</v>
      </c>
      <c r="L45" s="10">
        <f t="shared" si="4"/>
        <v>4877.9624095586059</v>
      </c>
      <c r="M45" s="10">
        <f>'D) Ecrêtage'!C44</f>
        <v>3775.6794805194804</v>
      </c>
      <c r="N45" s="10">
        <f t="shared" si="7"/>
        <v>4899.6413458950246</v>
      </c>
      <c r="O45" s="58">
        <f t="shared" si="5"/>
        <v>11864.57693031061</v>
      </c>
      <c r="P45" s="228"/>
      <c r="Q45" s="229"/>
      <c r="R45" s="225"/>
      <c r="S45" s="225"/>
      <c r="T45" s="230"/>
    </row>
    <row r="46" spans="1:20" s="224" customFormat="1" x14ac:dyDescent="0.25">
      <c r="A46" s="327">
        <f>'A) Base RI'!A47</f>
        <v>5476</v>
      </c>
      <c r="B46" s="237" t="str">
        <f>'A) Base RI'!B47</f>
        <v>Chevilly</v>
      </c>
      <c r="C46" s="253">
        <v>0</v>
      </c>
      <c r="D46" s="226">
        <f>'B) D RI'!AA47</f>
        <v>298</v>
      </c>
      <c r="E46" s="227">
        <f>'B) D RI'!S47</f>
        <v>74</v>
      </c>
      <c r="F46" s="10">
        <f>'B) D RI'!R47</f>
        <v>745740.23666666681</v>
      </c>
      <c r="G46" s="10">
        <f>'B) D RI'!U47</f>
        <v>10077.570765765768</v>
      </c>
      <c r="H46" s="42">
        <f>'B) D RI'!T47</f>
        <v>689023.97000000009</v>
      </c>
      <c r="I46" s="10">
        <f t="shared" si="3"/>
        <v>18622.269459459461</v>
      </c>
      <c r="J46" s="32">
        <f t="shared" si="6"/>
        <v>25029.670937619212</v>
      </c>
      <c r="K46" s="10">
        <f t="shared" si="1"/>
        <v>18622.269459459461</v>
      </c>
      <c r="L46" s="10">
        <f t="shared" si="4"/>
        <v>6407.4014781597507</v>
      </c>
      <c r="M46" s="10">
        <f>'D) Ecrêtage'!C45</f>
        <v>10077.570765765768</v>
      </c>
      <c r="N46" s="10">
        <f t="shared" si="7"/>
        <v>13077.509000667458</v>
      </c>
      <c r="O46" s="58">
        <f t="shared" si="5"/>
        <v>31699.77846012692</v>
      </c>
      <c r="P46" s="228"/>
      <c r="Q46" s="229"/>
      <c r="R46" s="225"/>
      <c r="S46" s="225"/>
      <c r="T46" s="230"/>
    </row>
    <row r="47" spans="1:20" s="224" customFormat="1" x14ac:dyDescent="0.25">
      <c r="A47" s="327">
        <f>'A) Base RI'!A48</f>
        <v>5477</v>
      </c>
      <c r="B47" s="237" t="str">
        <f>'A) Base RI'!B48</f>
        <v>Cossonay</v>
      </c>
      <c r="C47" s="253">
        <v>0</v>
      </c>
      <c r="D47" s="226">
        <f>'B) D RI'!AA48</f>
        <v>3808</v>
      </c>
      <c r="E47" s="227">
        <f>'B) D RI'!S48</f>
        <v>71</v>
      </c>
      <c r="F47" s="10">
        <f>'B) D RI'!R48</f>
        <v>8771399.3800000008</v>
      </c>
      <c r="G47" s="10">
        <f>'B) D RI'!U48</f>
        <v>123540.83633802818</v>
      </c>
      <c r="H47" s="42">
        <f>'B) D RI'!T48</f>
        <v>8170410.7800000003</v>
      </c>
      <c r="I47" s="10">
        <f t="shared" si="3"/>
        <v>230152.41633802818</v>
      </c>
      <c r="J47" s="32">
        <f t="shared" si="6"/>
        <v>319842.23802165757</v>
      </c>
      <c r="K47" s="10">
        <f t="shared" si="1"/>
        <v>230152.41633802818</v>
      </c>
      <c r="L47" s="10">
        <f t="shared" si="4"/>
        <v>89689.821683629387</v>
      </c>
      <c r="M47" s="10">
        <f>'D) Ecrêtage'!C46</f>
        <v>123540.83633802818</v>
      </c>
      <c r="N47" s="10">
        <f t="shared" si="7"/>
        <v>160317.04829589289</v>
      </c>
      <c r="O47" s="58">
        <f t="shared" si="5"/>
        <v>390469.46463392104</v>
      </c>
      <c r="P47" s="228"/>
      <c r="Q47" s="229"/>
      <c r="R47" s="225"/>
      <c r="S47" s="225"/>
      <c r="T47" s="230"/>
    </row>
    <row r="48" spans="1:20" s="224" customFormat="1" x14ac:dyDescent="0.25">
      <c r="A48" s="327">
        <f>'A) Base RI'!A49</f>
        <v>5478</v>
      </c>
      <c r="B48" s="237" t="str">
        <f>'A) Base RI'!B49</f>
        <v>Cottens</v>
      </c>
      <c r="C48" s="253">
        <v>0</v>
      </c>
      <c r="D48" s="226">
        <f>'B) D RI'!AA49</f>
        <v>477</v>
      </c>
      <c r="E48" s="227">
        <f>'B) D RI'!S49</f>
        <v>74</v>
      </c>
      <c r="F48" s="10">
        <f>'B) D RI'!R49</f>
        <v>1248596.7</v>
      </c>
      <c r="G48" s="10">
        <f>'B) D RI'!U49</f>
        <v>16872.928378378379</v>
      </c>
      <c r="H48" s="42">
        <f>'B) D RI'!T49</f>
        <v>1170273.45</v>
      </c>
      <c r="I48" s="10">
        <f t="shared" si="3"/>
        <v>31629.012162162162</v>
      </c>
      <c r="J48" s="32">
        <f t="shared" si="6"/>
        <v>40064.271937061625</v>
      </c>
      <c r="K48" s="10">
        <f t="shared" si="1"/>
        <v>31629.012162162162</v>
      </c>
      <c r="L48" s="10">
        <f t="shared" si="4"/>
        <v>8435.2597748994631</v>
      </c>
      <c r="M48" s="10">
        <f>'D) Ecrêtage'!C47</f>
        <v>16872.928378378379</v>
      </c>
      <c r="N48" s="10">
        <f t="shared" si="7"/>
        <v>21895.740339075015</v>
      </c>
      <c r="O48" s="58">
        <f t="shared" si="5"/>
        <v>53524.752501237177</v>
      </c>
      <c r="P48" s="228"/>
      <c r="Q48" s="229"/>
      <c r="R48" s="225"/>
      <c r="S48" s="225"/>
      <c r="T48" s="230"/>
    </row>
    <row r="49" spans="1:20" s="224" customFormat="1" x14ac:dyDescent="0.25">
      <c r="A49" s="327">
        <f>'A) Base RI'!A50</f>
        <v>5479</v>
      </c>
      <c r="B49" s="237" t="str">
        <f>'A) Base RI'!B50</f>
        <v>Cuarnens</v>
      </c>
      <c r="C49" s="253">
        <v>0</v>
      </c>
      <c r="D49" s="226">
        <f>'B) D RI'!AA50</f>
        <v>479</v>
      </c>
      <c r="E49" s="227">
        <f>'B) D RI'!S50</f>
        <v>77</v>
      </c>
      <c r="F49" s="10">
        <f>'B) D RI'!R50</f>
        <v>1162570.8800000001</v>
      </c>
      <c r="G49" s="10">
        <f>'B) D RI'!U50</f>
        <v>15098.323116883119</v>
      </c>
      <c r="H49" s="42">
        <f>'B) D RI'!T50</f>
        <v>1073226.1300000001</v>
      </c>
      <c r="I49" s="10">
        <f t="shared" si="3"/>
        <v>27876.003376623379</v>
      </c>
      <c r="J49" s="32">
        <f t="shared" si="6"/>
        <v>40232.256305770476</v>
      </c>
      <c r="K49" s="10">
        <f t="shared" si="1"/>
        <v>27876.003376623379</v>
      </c>
      <c r="L49" s="10">
        <f t="shared" si="4"/>
        <v>12356.252929147096</v>
      </c>
      <c r="M49" s="10">
        <f>'D) Ecrêtage'!C48</f>
        <v>15098.323116883119</v>
      </c>
      <c r="N49" s="10">
        <f t="shared" si="7"/>
        <v>19592.862312291683</v>
      </c>
      <c r="O49" s="58">
        <f t="shared" si="5"/>
        <v>47468.865688915059</v>
      </c>
      <c r="P49" s="228"/>
      <c r="Q49" s="229"/>
      <c r="R49" s="225"/>
      <c r="S49" s="225"/>
      <c r="T49" s="230"/>
    </row>
    <row r="50" spans="1:20" s="224" customFormat="1" x14ac:dyDescent="0.25">
      <c r="A50" s="327">
        <f>'A) Base RI'!A51</f>
        <v>5480</v>
      </c>
      <c r="B50" s="237" t="str">
        <f>'A) Base RI'!B51</f>
        <v>Daillens</v>
      </c>
      <c r="C50" s="253">
        <v>0</v>
      </c>
      <c r="D50" s="226">
        <f>'B) D RI'!AA51</f>
        <v>998</v>
      </c>
      <c r="E50" s="227">
        <f>'B) D RI'!S51</f>
        <v>71</v>
      </c>
      <c r="F50" s="10">
        <f>'B) D RI'!R51</f>
        <v>2918508.88</v>
      </c>
      <c r="G50" s="10">
        <f>'B) D RI'!U51</f>
        <v>41105.758873239436</v>
      </c>
      <c r="H50" s="42">
        <f>'B) D RI'!T51</f>
        <v>2631392.0299999998</v>
      </c>
      <c r="I50" s="10">
        <f t="shared" si="3"/>
        <v>74123.719154929568</v>
      </c>
      <c r="J50" s="32">
        <f t="shared" si="6"/>
        <v>83824.199985718034</v>
      </c>
      <c r="K50" s="10">
        <f t="shared" si="1"/>
        <v>74123.719154929568</v>
      </c>
      <c r="L50" s="10">
        <f t="shared" si="4"/>
        <v>9700.4808307884668</v>
      </c>
      <c r="M50" s="10">
        <f>'D) Ecrêtage'!C49</f>
        <v>41105.758873239436</v>
      </c>
      <c r="N50" s="10">
        <f t="shared" si="7"/>
        <v>53342.312759557892</v>
      </c>
      <c r="O50" s="58">
        <f t="shared" si="5"/>
        <v>127466.03191448745</v>
      </c>
      <c r="P50" s="228"/>
      <c r="Q50" s="229"/>
      <c r="R50" s="225"/>
      <c r="S50" s="225"/>
      <c r="T50" s="230"/>
    </row>
    <row r="51" spans="1:20" s="224" customFormat="1" x14ac:dyDescent="0.25">
      <c r="A51" s="327">
        <f>'A) Base RI'!A52</f>
        <v>5481</v>
      </c>
      <c r="B51" s="237" t="str">
        <f>'A) Base RI'!B52</f>
        <v>Dizy</v>
      </c>
      <c r="C51" s="253">
        <v>0</v>
      </c>
      <c r="D51" s="226">
        <f>'B) D RI'!AA52</f>
        <v>229</v>
      </c>
      <c r="E51" s="227">
        <f>'B) D RI'!S52</f>
        <v>79</v>
      </c>
      <c r="F51" s="10">
        <f>'B) D RI'!R52</f>
        <v>664990.67999999993</v>
      </c>
      <c r="G51" s="10">
        <f>'B) D RI'!U52</f>
        <v>8417.6035443037963</v>
      </c>
      <c r="H51" s="42">
        <f>'B) D RI'!T52</f>
        <v>627805.07999999996</v>
      </c>
      <c r="I51" s="10">
        <f t="shared" si="3"/>
        <v>15893.799493670886</v>
      </c>
      <c r="J51" s="32">
        <f t="shared" si="6"/>
        <v>19234.210217163756</v>
      </c>
      <c r="K51" s="10">
        <f t="shared" si="1"/>
        <v>15893.799493670886</v>
      </c>
      <c r="L51" s="10">
        <f t="shared" si="4"/>
        <v>3340.4107234928706</v>
      </c>
      <c r="M51" s="10">
        <f>'D) Ecrêtage'!C50</f>
        <v>8417.6035443037963</v>
      </c>
      <c r="N51" s="10">
        <f t="shared" si="7"/>
        <v>10923.394999977299</v>
      </c>
      <c r="O51" s="58">
        <f t="shared" si="5"/>
        <v>26817.194493648185</v>
      </c>
      <c r="P51" s="228"/>
      <c r="Q51" s="229"/>
      <c r="R51" s="225"/>
      <c r="S51" s="225"/>
      <c r="T51" s="230"/>
    </row>
    <row r="52" spans="1:20" s="224" customFormat="1" x14ac:dyDescent="0.25">
      <c r="A52" s="327">
        <f>'A) Base RI'!A53</f>
        <v>5482</v>
      </c>
      <c r="B52" s="237" t="str">
        <f>'A) Base RI'!B53</f>
        <v>Eclépens</v>
      </c>
      <c r="C52" s="253">
        <v>0</v>
      </c>
      <c r="D52" s="226">
        <f>'B) D RI'!AA53</f>
        <v>1091</v>
      </c>
      <c r="E52" s="227">
        <f>'B) D RI'!S53</f>
        <v>46</v>
      </c>
      <c r="F52" s="10">
        <f>'B) D RI'!R53</f>
        <v>2250387.34</v>
      </c>
      <c r="G52" s="10">
        <f>'B) D RI'!U53</f>
        <v>48921.463913043473</v>
      </c>
      <c r="H52" s="42">
        <f>'B) D RI'!T53</f>
        <v>1821416.39</v>
      </c>
      <c r="I52" s="10">
        <f t="shared" si="3"/>
        <v>79192.016956521737</v>
      </c>
      <c r="J52" s="32">
        <f t="shared" si="6"/>
        <v>91635.473130679733</v>
      </c>
      <c r="K52" s="10">
        <f t="shared" si="1"/>
        <v>79192.016956521737</v>
      </c>
      <c r="L52" s="10">
        <f t="shared" si="4"/>
        <v>12443.456174157996</v>
      </c>
      <c r="M52" s="10">
        <f>'D) Ecrêtage'!C51</f>
        <v>48921.463913043473</v>
      </c>
      <c r="N52" s="10">
        <f t="shared" si="7"/>
        <v>63484.633302898939</v>
      </c>
      <c r="O52" s="58">
        <f t="shared" si="5"/>
        <v>142676.65025942068</v>
      </c>
      <c r="P52" s="228"/>
      <c r="Q52" s="229"/>
      <c r="R52" s="225"/>
      <c r="S52" s="225"/>
      <c r="T52" s="230"/>
    </row>
    <row r="53" spans="1:20" s="224" customFormat="1" x14ac:dyDescent="0.25">
      <c r="A53" s="327">
        <f>'A) Base RI'!A54</f>
        <v>5483</v>
      </c>
      <c r="B53" s="237" t="str">
        <f>'A) Base RI'!B54</f>
        <v>Ferreyres</v>
      </c>
      <c r="C53" s="253">
        <v>0</v>
      </c>
      <c r="D53" s="226">
        <f>'B) D RI'!AA54</f>
        <v>322</v>
      </c>
      <c r="E53" s="227">
        <f>'B) D RI'!S54</f>
        <v>76</v>
      </c>
      <c r="F53" s="10">
        <f>'B) D RI'!R54</f>
        <v>937757.79</v>
      </c>
      <c r="G53" s="10">
        <f>'B) D RI'!U54</f>
        <v>12338.918289473684</v>
      </c>
      <c r="H53" s="42">
        <f>'B) D RI'!T54</f>
        <v>885589.64</v>
      </c>
      <c r="I53" s="10">
        <f t="shared" si="3"/>
        <v>23304.990526315789</v>
      </c>
      <c r="J53" s="32">
        <f t="shared" si="6"/>
        <v>27045.483362125455</v>
      </c>
      <c r="K53" s="10">
        <f t="shared" si="1"/>
        <v>23304.990526315789</v>
      </c>
      <c r="L53" s="10">
        <f t="shared" si="4"/>
        <v>3740.4928358096658</v>
      </c>
      <c r="M53" s="10">
        <f>'D) Ecrêtage'!C52</f>
        <v>12338.918289473684</v>
      </c>
      <c r="N53" s="10">
        <f t="shared" si="7"/>
        <v>16012.024994877913</v>
      </c>
      <c r="O53" s="58">
        <f t="shared" si="5"/>
        <v>39317.015521193702</v>
      </c>
      <c r="P53" s="228"/>
      <c r="Q53" s="229"/>
      <c r="R53" s="225"/>
      <c r="S53" s="225"/>
      <c r="T53" s="230"/>
    </row>
    <row r="54" spans="1:20" s="224" customFormat="1" x14ac:dyDescent="0.25">
      <c r="A54" s="327">
        <f>'A) Base RI'!A55</f>
        <v>5484</v>
      </c>
      <c r="B54" s="237" t="str">
        <f>'A) Base RI'!B55</f>
        <v>Gollion</v>
      </c>
      <c r="C54" s="253">
        <v>0</v>
      </c>
      <c r="D54" s="226">
        <f>'B) D RI'!AA55</f>
        <v>918</v>
      </c>
      <c r="E54" s="227">
        <f>'B) D RI'!S55</f>
        <v>74</v>
      </c>
      <c r="F54" s="10">
        <f>'B) D RI'!R55</f>
        <v>2513472.29</v>
      </c>
      <c r="G54" s="10">
        <f>'B) D RI'!U55</f>
        <v>33965.841756756759</v>
      </c>
      <c r="H54" s="42">
        <f>'B) D RI'!T55</f>
        <v>2348516.8400000003</v>
      </c>
      <c r="I54" s="10">
        <f t="shared" si="3"/>
        <v>63473.428108108114</v>
      </c>
      <c r="J54" s="32">
        <f t="shared" si="6"/>
        <v>77104.825237363882</v>
      </c>
      <c r="K54" s="10">
        <f t="shared" si="1"/>
        <v>63473.428108108114</v>
      </c>
      <c r="L54" s="10">
        <f t="shared" si="4"/>
        <v>13631.397129255769</v>
      </c>
      <c r="M54" s="10">
        <f>'D) Ecrêtage'!C53</f>
        <v>33965.841756756759</v>
      </c>
      <c r="N54" s="10">
        <f t="shared" si="7"/>
        <v>44076.951838251902</v>
      </c>
      <c r="O54" s="58">
        <f t="shared" si="5"/>
        <v>107550.37994636002</v>
      </c>
      <c r="P54" s="228"/>
      <c r="Q54" s="229"/>
      <c r="R54" s="225"/>
      <c r="S54" s="225"/>
      <c r="T54" s="230"/>
    </row>
    <row r="55" spans="1:20" s="224" customFormat="1" x14ac:dyDescent="0.25">
      <c r="A55" s="327">
        <f>'A) Base RI'!A56</f>
        <v>5485</v>
      </c>
      <c r="B55" s="237" t="str">
        <f>'A) Base RI'!B56</f>
        <v>Grancy</v>
      </c>
      <c r="C55" s="253">
        <v>0</v>
      </c>
      <c r="D55" s="226">
        <f>'B) D RI'!AA56</f>
        <v>403</v>
      </c>
      <c r="E55" s="227">
        <f>'B) D RI'!S56</f>
        <v>70</v>
      </c>
      <c r="F55" s="10">
        <f>'B) D RI'!R56</f>
        <v>1241826.2700000003</v>
      </c>
      <c r="G55" s="10">
        <f>'B) D RI'!U56</f>
        <v>17740.37528571429</v>
      </c>
      <c r="H55" s="42">
        <f>'B) D RI'!T56</f>
        <v>1171406.7200000002</v>
      </c>
      <c r="I55" s="10">
        <f t="shared" si="3"/>
        <v>33468.763428571438</v>
      </c>
      <c r="J55" s="32">
        <f t="shared" si="6"/>
        <v>33848.850294834032</v>
      </c>
      <c r="K55" s="10">
        <f t="shared" si="1"/>
        <v>33468.763428571438</v>
      </c>
      <c r="L55" s="10">
        <f t="shared" si="4"/>
        <v>380.08686626259441</v>
      </c>
      <c r="M55" s="10">
        <f>'D) Ecrêtage'!C54</f>
        <v>17740.37528571429</v>
      </c>
      <c r="N55" s="10">
        <f t="shared" si="7"/>
        <v>23021.412884766589</v>
      </c>
      <c r="O55" s="58">
        <f t="shared" si="5"/>
        <v>56490.17631333803</v>
      </c>
      <c r="P55" s="228"/>
      <c r="Q55" s="229"/>
      <c r="R55" s="225"/>
      <c r="S55" s="225"/>
      <c r="T55" s="230"/>
    </row>
    <row r="56" spans="1:20" s="224" customFormat="1" x14ac:dyDescent="0.25">
      <c r="A56" s="327">
        <f>'A) Base RI'!A57</f>
        <v>5486</v>
      </c>
      <c r="B56" s="237" t="str">
        <f>'A) Base RI'!B57</f>
        <v>L'Isle</v>
      </c>
      <c r="C56" s="253">
        <v>0</v>
      </c>
      <c r="D56" s="226">
        <f>'B) D RI'!AA57</f>
        <v>1005</v>
      </c>
      <c r="E56" s="227">
        <f>'B) D RI'!S57</f>
        <v>76</v>
      </c>
      <c r="F56" s="10">
        <f>'B) D RI'!R57</f>
        <v>1952948.8900000001</v>
      </c>
      <c r="G56" s="10">
        <f>'B) D RI'!U57</f>
        <v>25696.695921052633</v>
      </c>
      <c r="H56" s="42">
        <f>'B) D RI'!T57</f>
        <v>1765790.34</v>
      </c>
      <c r="I56" s="10">
        <f t="shared" si="3"/>
        <v>46468.166842105267</v>
      </c>
      <c r="J56" s="32">
        <f t="shared" si="6"/>
        <v>84412.145276199022</v>
      </c>
      <c r="K56" s="10">
        <f t="shared" si="1"/>
        <v>46468.166842105267</v>
      </c>
      <c r="L56" s="10">
        <f t="shared" si="4"/>
        <v>37943.978434093755</v>
      </c>
      <c r="M56" s="10">
        <f>'D) Ecrêtage'!C55</f>
        <v>25696.695921052633</v>
      </c>
      <c r="N56" s="10">
        <f t="shared" si="7"/>
        <v>33346.208129499064</v>
      </c>
      <c r="O56" s="58">
        <f t="shared" si="5"/>
        <v>79814.374971604324</v>
      </c>
      <c r="P56" s="228"/>
      <c r="Q56" s="229"/>
      <c r="R56" s="225"/>
      <c r="S56" s="225"/>
      <c r="T56" s="230"/>
    </row>
    <row r="57" spans="1:20" s="224" customFormat="1" x14ac:dyDescent="0.25">
      <c r="A57" s="327">
        <f>'A) Base RI'!A58</f>
        <v>5487</v>
      </c>
      <c r="B57" s="237" t="str">
        <f>'A) Base RI'!B58</f>
        <v>Lussery-Villars</v>
      </c>
      <c r="C57" s="253">
        <v>0</v>
      </c>
      <c r="D57" s="226">
        <f>'B) D RI'!AA58</f>
        <v>459</v>
      </c>
      <c r="E57" s="227">
        <f>'B) D RI'!S58</f>
        <v>72</v>
      </c>
      <c r="F57" s="10">
        <f>'B) D RI'!R58</f>
        <v>1032992.41</v>
      </c>
      <c r="G57" s="10">
        <f>'B) D RI'!U58</f>
        <v>14347.116805555555</v>
      </c>
      <c r="H57" s="42">
        <f>'B) D RI'!T58</f>
        <v>959965.86</v>
      </c>
      <c r="I57" s="10">
        <f t="shared" si="3"/>
        <v>26665.718333333334</v>
      </c>
      <c r="J57" s="32">
        <f t="shared" si="6"/>
        <v>38552.412618681941</v>
      </c>
      <c r="K57" s="10">
        <f t="shared" si="1"/>
        <v>26665.718333333334</v>
      </c>
      <c r="L57" s="10">
        <f t="shared" si="4"/>
        <v>11886.694285348607</v>
      </c>
      <c r="M57" s="10">
        <f>'D) Ecrêtage'!C56</f>
        <v>14347.116805555555</v>
      </c>
      <c r="N57" s="10">
        <f t="shared" si="7"/>
        <v>18618.033405000162</v>
      </c>
      <c r="O57" s="58">
        <f t="shared" si="5"/>
        <v>45283.751738333493</v>
      </c>
      <c r="P57" s="228"/>
      <c r="Q57" s="229"/>
      <c r="R57" s="225"/>
      <c r="S57" s="225"/>
      <c r="T57" s="230"/>
    </row>
    <row r="58" spans="1:20" s="224" customFormat="1" x14ac:dyDescent="0.25">
      <c r="A58" s="327">
        <f>'A) Base RI'!A59</f>
        <v>5488</v>
      </c>
      <c r="B58" s="237" t="str">
        <f>'A) Base RI'!B59</f>
        <v>Mauraz</v>
      </c>
      <c r="C58" s="253">
        <v>0</v>
      </c>
      <c r="D58" s="226">
        <f>'B) D RI'!AA59</f>
        <v>60</v>
      </c>
      <c r="E58" s="227">
        <f>'B) D RI'!S59</f>
        <v>74</v>
      </c>
      <c r="F58" s="10">
        <f>'B) D RI'!R59</f>
        <v>121081.47</v>
      </c>
      <c r="G58" s="10">
        <f>'B) D RI'!U59</f>
        <v>1636.236081081081</v>
      </c>
      <c r="H58" s="42">
        <f>'B) D RI'!T59</f>
        <v>112607.47</v>
      </c>
      <c r="I58" s="10">
        <f t="shared" si="3"/>
        <v>3043.4451351351354</v>
      </c>
      <c r="J58" s="32">
        <f t="shared" si="6"/>
        <v>5039.5310612656131</v>
      </c>
      <c r="K58" s="10">
        <f t="shared" si="1"/>
        <v>3043.4451351351354</v>
      </c>
      <c r="L58" s="10">
        <f t="shared" si="4"/>
        <v>1996.0859261304777</v>
      </c>
      <c r="M58" s="10">
        <f>'D) Ecrêtage'!C57</f>
        <v>1636.236081081081</v>
      </c>
      <c r="N58" s="10">
        <f t="shared" si="7"/>
        <v>2123.3184638350408</v>
      </c>
      <c r="O58" s="58">
        <f t="shared" si="5"/>
        <v>5166.7635989701757</v>
      </c>
      <c r="P58" s="228"/>
      <c r="Q58" s="229"/>
      <c r="R58" s="225"/>
      <c r="S58" s="225"/>
      <c r="T58" s="230"/>
    </row>
    <row r="59" spans="1:20" s="224" customFormat="1" x14ac:dyDescent="0.25">
      <c r="A59" s="327">
        <f>'A) Base RI'!A60</f>
        <v>5489</v>
      </c>
      <c r="B59" s="237" t="str">
        <f>'A) Base RI'!B60</f>
        <v>Mex</v>
      </c>
      <c r="C59" s="253">
        <v>0</v>
      </c>
      <c r="D59" s="226">
        <f>'B) D RI'!AA60</f>
        <v>718</v>
      </c>
      <c r="E59" s="227">
        <f>'B) D RI'!S60</f>
        <v>61</v>
      </c>
      <c r="F59" s="10">
        <f>'B) D RI'!R60</f>
        <v>3228625.8400000003</v>
      </c>
      <c r="G59" s="10">
        <f>'B) D RI'!U60</f>
        <v>52928.292459016397</v>
      </c>
      <c r="H59" s="42">
        <f>'B) D RI'!T60</f>
        <v>2946913.49</v>
      </c>
      <c r="I59" s="10">
        <f t="shared" si="3"/>
        <v>96620.114426229513</v>
      </c>
      <c r="J59" s="32">
        <f t="shared" si="6"/>
        <v>60306.388366478503</v>
      </c>
      <c r="K59" s="10">
        <f t="shared" si="1"/>
        <v>60306.388366478503</v>
      </c>
      <c r="L59" s="10">
        <f t="shared" si="4"/>
        <v>0</v>
      </c>
      <c r="M59" s="10">
        <f>'D) Ecrêtage'!C58</f>
        <v>52928.292459016397</v>
      </c>
      <c r="N59" s="10">
        <f t="shared" si="7"/>
        <v>68684.233245386728</v>
      </c>
      <c r="O59" s="58">
        <f t="shared" si="5"/>
        <v>128990.62161186524</v>
      </c>
      <c r="P59" s="228"/>
      <c r="Q59" s="229"/>
      <c r="R59" s="225"/>
      <c r="S59" s="225"/>
      <c r="T59" s="230"/>
    </row>
    <row r="60" spans="1:20" s="224" customFormat="1" x14ac:dyDescent="0.25">
      <c r="A60" s="327">
        <f>'A) Base RI'!A61</f>
        <v>5490</v>
      </c>
      <c r="B60" s="237" t="str">
        <f>'A) Base RI'!B61</f>
        <v>Moiry</v>
      </c>
      <c r="C60" s="253">
        <v>0</v>
      </c>
      <c r="D60" s="226">
        <f>'B) D RI'!AA61</f>
        <v>316</v>
      </c>
      <c r="E60" s="227">
        <f>'B) D RI'!S61</f>
        <v>81</v>
      </c>
      <c r="F60" s="10">
        <f>'B) D RI'!R61</f>
        <v>662250.79999999993</v>
      </c>
      <c r="G60" s="10">
        <f>'B) D RI'!U61</f>
        <v>8175.9358024691346</v>
      </c>
      <c r="H60" s="42">
        <f>'B) D RI'!T61</f>
        <v>620454.35</v>
      </c>
      <c r="I60" s="10">
        <f t="shared" si="3"/>
        <v>15319.86049382716</v>
      </c>
      <c r="J60" s="32">
        <f t="shared" si="6"/>
        <v>26541.530255998896</v>
      </c>
      <c r="K60" s="10">
        <f t="shared" si="1"/>
        <v>15319.86049382716</v>
      </c>
      <c r="L60" s="10">
        <f t="shared" si="4"/>
        <v>11221.669762171736</v>
      </c>
      <c r="M60" s="10">
        <f>'D) Ecrêtage'!C59</f>
        <v>8175.9358024691346</v>
      </c>
      <c r="N60" s="10">
        <f t="shared" si="7"/>
        <v>10609.78647839292</v>
      </c>
      <c r="O60" s="58">
        <f t="shared" si="5"/>
        <v>25929.646972220078</v>
      </c>
      <c r="P60" s="228"/>
      <c r="Q60" s="229"/>
      <c r="R60" s="225"/>
      <c r="S60" s="225"/>
      <c r="T60" s="230"/>
    </row>
    <row r="61" spans="1:20" s="224" customFormat="1" x14ac:dyDescent="0.25">
      <c r="A61" s="327">
        <f>'A) Base RI'!A62</f>
        <v>5491</v>
      </c>
      <c r="B61" s="237" t="str">
        <f>'A) Base RI'!B62</f>
        <v>Mont-la-Ville</v>
      </c>
      <c r="C61" s="253">
        <v>0</v>
      </c>
      <c r="D61" s="226">
        <f>'B) D RI'!AA62</f>
        <v>417</v>
      </c>
      <c r="E61" s="227">
        <f>'B) D RI'!S62</f>
        <v>76</v>
      </c>
      <c r="F61" s="10">
        <f>'B) D RI'!R62</f>
        <v>801405.21000000008</v>
      </c>
      <c r="G61" s="10">
        <f>'B) D RI'!U62</f>
        <v>10544.805394736843</v>
      </c>
      <c r="H61" s="42">
        <f>'B) D RI'!T62</f>
        <v>731301.1100000001</v>
      </c>
      <c r="I61" s="10">
        <f t="shared" si="3"/>
        <v>19244.766052631581</v>
      </c>
      <c r="J61" s="32">
        <f t="shared" si="6"/>
        <v>35024.740875796007</v>
      </c>
      <c r="K61" s="10">
        <f t="shared" si="1"/>
        <v>19244.766052631581</v>
      </c>
      <c r="L61" s="10">
        <f t="shared" si="4"/>
        <v>15779.974823164426</v>
      </c>
      <c r="M61" s="10">
        <f>'D) Ecrêtage'!C60</f>
        <v>10544.805394736843</v>
      </c>
      <c r="N61" s="10">
        <f t="shared" si="7"/>
        <v>13683.83221166884</v>
      </c>
      <c r="O61" s="58">
        <f t="shared" si="5"/>
        <v>32928.598264300424</v>
      </c>
      <c r="P61" s="228"/>
      <c r="Q61" s="229"/>
      <c r="R61" s="225"/>
      <c r="S61" s="225"/>
      <c r="T61" s="230"/>
    </row>
    <row r="62" spans="1:20" s="224" customFormat="1" x14ac:dyDescent="0.25">
      <c r="A62" s="327">
        <f>'A) Base RI'!A63</f>
        <v>5492</v>
      </c>
      <c r="B62" s="237" t="str">
        <f>'A) Base RI'!B63</f>
        <v>Montricher</v>
      </c>
      <c r="C62" s="253">
        <v>0</v>
      </c>
      <c r="D62" s="226">
        <f>'B) D RI'!AA63</f>
        <v>986</v>
      </c>
      <c r="E62" s="227">
        <f>'B) D RI'!S63</f>
        <v>64</v>
      </c>
      <c r="F62" s="10">
        <f>'B) D RI'!R63</f>
        <v>14263916.956666667</v>
      </c>
      <c r="G62" s="10">
        <f>'B) D RI'!U63</f>
        <v>222873.70244791667</v>
      </c>
      <c r="H62" s="42">
        <f>'B) D RI'!T63</f>
        <v>14026820.340000002</v>
      </c>
      <c r="I62" s="10">
        <f t="shared" si="3"/>
        <v>438338.13562500005</v>
      </c>
      <c r="J62" s="32">
        <f t="shared" si="6"/>
        <v>82816.293773464902</v>
      </c>
      <c r="K62" s="10">
        <f t="shared" si="1"/>
        <v>82816.293773464902</v>
      </c>
      <c r="L62" s="10">
        <f t="shared" si="4"/>
        <v>0</v>
      </c>
      <c r="M62" s="10">
        <f>'D) Ecrêtage'!C61</f>
        <v>222873.70244791667</v>
      </c>
      <c r="N62" s="10">
        <f t="shared" si="7"/>
        <v>289219.78495809011</v>
      </c>
      <c r="O62" s="58">
        <f t="shared" si="5"/>
        <v>372036.07873155503</v>
      </c>
      <c r="P62" s="228"/>
      <c r="Q62" s="229"/>
      <c r="R62" s="225"/>
      <c r="S62" s="225"/>
      <c r="T62" s="230"/>
    </row>
    <row r="63" spans="1:20" s="224" customFormat="1" x14ac:dyDescent="0.25">
      <c r="A63" s="327">
        <f>'A) Base RI'!A64</f>
        <v>5493</v>
      </c>
      <c r="B63" s="237" t="str">
        <f>'A) Base RI'!B64</f>
        <v>Orny</v>
      </c>
      <c r="C63" s="253">
        <v>0</v>
      </c>
      <c r="D63" s="226">
        <f>'B) D RI'!AA64</f>
        <v>356</v>
      </c>
      <c r="E63" s="227">
        <f>'B) D RI'!S64</f>
        <v>73</v>
      </c>
      <c r="F63" s="10">
        <f>'B) D RI'!R64</f>
        <v>722434.22538461536</v>
      </c>
      <c r="G63" s="10">
        <f>'B) D RI'!U64</f>
        <v>9896.3592518440455</v>
      </c>
      <c r="H63" s="42">
        <f>'B) D RI'!T64</f>
        <v>667732.86</v>
      </c>
      <c r="I63" s="10">
        <f t="shared" si="3"/>
        <v>18294.05095890411</v>
      </c>
      <c r="J63" s="32">
        <f t="shared" si="6"/>
        <v>29901.217630175972</v>
      </c>
      <c r="K63" s="10">
        <f t="shared" si="1"/>
        <v>18294.05095890411</v>
      </c>
      <c r="L63" s="10">
        <f t="shared" si="4"/>
        <v>11607.166671271862</v>
      </c>
      <c r="M63" s="10">
        <f>'D) Ecrêtage'!C62</f>
        <v>9896.3592518440455</v>
      </c>
      <c r="N63" s="10">
        <f t="shared" si="7"/>
        <v>12842.353598694368</v>
      </c>
      <c r="O63" s="58">
        <f t="shared" si="5"/>
        <v>31136.404557598478</v>
      </c>
      <c r="P63" s="228"/>
      <c r="Q63" s="229"/>
      <c r="R63" s="225"/>
      <c r="S63" s="225"/>
      <c r="T63" s="230"/>
    </row>
    <row r="64" spans="1:20" s="224" customFormat="1" x14ac:dyDescent="0.25">
      <c r="A64" s="327">
        <f>'A) Base RI'!A65</f>
        <v>5494</v>
      </c>
      <c r="B64" s="237" t="str">
        <f>'A) Base RI'!B65</f>
        <v>Pampigny</v>
      </c>
      <c r="C64" s="253">
        <v>0</v>
      </c>
      <c r="D64" s="226">
        <f>'B) D RI'!AA65</f>
        <v>1124</v>
      </c>
      <c r="E64" s="227">
        <f>'B) D RI'!S65</f>
        <v>75</v>
      </c>
      <c r="F64" s="10">
        <f>'B) D RI'!R65</f>
        <v>2774878.3604761907</v>
      </c>
      <c r="G64" s="10">
        <f>'B) D RI'!U65</f>
        <v>36998.378139682543</v>
      </c>
      <c r="H64" s="42">
        <f>'B) D RI'!T65</f>
        <v>2559371.5200000005</v>
      </c>
      <c r="I64" s="10">
        <f t="shared" si="3"/>
        <v>68249.907200000016</v>
      </c>
      <c r="J64" s="32">
        <f t="shared" si="6"/>
        <v>94407.215214375814</v>
      </c>
      <c r="K64" s="10">
        <f t="shared" si="1"/>
        <v>68249.907200000016</v>
      </c>
      <c r="L64" s="10">
        <f t="shared" si="4"/>
        <v>26157.308014375798</v>
      </c>
      <c r="M64" s="10">
        <f>'D) Ecrêtage'!C63</f>
        <v>36998.378139682543</v>
      </c>
      <c r="N64" s="10">
        <f t="shared" si="7"/>
        <v>48012.227785634444</v>
      </c>
      <c r="O64" s="58">
        <f t="shared" si="5"/>
        <v>116262.13498563446</v>
      </c>
      <c r="P64" s="228"/>
      <c r="Q64" s="229"/>
      <c r="R64" s="225"/>
      <c r="S64" s="225"/>
      <c r="T64" s="230"/>
    </row>
    <row r="65" spans="1:20" s="224" customFormat="1" x14ac:dyDescent="0.25">
      <c r="A65" s="327">
        <f>'A) Base RI'!A66</f>
        <v>5495</v>
      </c>
      <c r="B65" s="237" t="str">
        <f>'A) Base RI'!B66</f>
        <v>Penthalaz</v>
      </c>
      <c r="C65" s="253">
        <v>0</v>
      </c>
      <c r="D65" s="226">
        <f>'B) D RI'!AA66</f>
        <v>3282</v>
      </c>
      <c r="E65" s="227">
        <f>'B) D RI'!S66</f>
        <v>74</v>
      </c>
      <c r="F65" s="10">
        <f>'B) D RI'!R66</f>
        <v>6872019.8100000005</v>
      </c>
      <c r="G65" s="10">
        <f>'B) D RI'!U66</f>
        <v>92865.132567567576</v>
      </c>
      <c r="H65" s="42">
        <f>'B) D RI'!T66</f>
        <v>6287977.8600000003</v>
      </c>
      <c r="I65" s="10">
        <f t="shared" si="3"/>
        <v>169945.34756756757</v>
      </c>
      <c r="J65" s="32">
        <f t="shared" si="6"/>
        <v>275662.34905122902</v>
      </c>
      <c r="K65" s="10">
        <f t="shared" si="1"/>
        <v>169945.34756756757</v>
      </c>
      <c r="L65" s="10">
        <f t="shared" si="4"/>
        <v>105717.00148366144</v>
      </c>
      <c r="M65" s="10">
        <f>'D) Ecrêtage'!C64</f>
        <v>92865.132567567576</v>
      </c>
      <c r="N65" s="10">
        <f t="shared" si="7"/>
        <v>120509.6580543098</v>
      </c>
      <c r="O65" s="58">
        <f t="shared" si="5"/>
        <v>290455.00562187738</v>
      </c>
      <c r="P65" s="228"/>
      <c r="Q65" s="229"/>
      <c r="R65" s="225"/>
      <c r="S65" s="225"/>
      <c r="T65" s="230"/>
    </row>
    <row r="66" spans="1:20" s="224" customFormat="1" x14ac:dyDescent="0.25">
      <c r="A66" s="327">
        <f>'A) Base RI'!A67</f>
        <v>5496</v>
      </c>
      <c r="B66" s="237" t="str">
        <f>'A) Base RI'!B67</f>
        <v>Penthaz</v>
      </c>
      <c r="C66" s="253">
        <v>0</v>
      </c>
      <c r="D66" s="226">
        <f>'B) D RI'!AA67</f>
        <v>1726</v>
      </c>
      <c r="E66" s="227">
        <f>'B) D RI'!S67</f>
        <v>71</v>
      </c>
      <c r="F66" s="10">
        <f>'B) D RI'!R67</f>
        <v>3892564.4100000011</v>
      </c>
      <c r="G66" s="10">
        <f>'B) D RI'!U67</f>
        <v>54824.850845070439</v>
      </c>
      <c r="H66" s="42">
        <f>'B) D RI'!T67</f>
        <v>3583912.5100000007</v>
      </c>
      <c r="I66" s="10">
        <f t="shared" si="3"/>
        <v>100955.28197183101</v>
      </c>
      <c r="J66" s="32">
        <f t="shared" si="6"/>
        <v>144970.51019574079</v>
      </c>
      <c r="K66" s="10">
        <f t="shared" si="1"/>
        <v>100955.28197183101</v>
      </c>
      <c r="L66" s="10">
        <f t="shared" si="4"/>
        <v>44015.228223909784</v>
      </c>
      <c r="M66" s="10">
        <f>'D) Ecrêtage'!C65</f>
        <v>54824.850845070439</v>
      </c>
      <c r="N66" s="10">
        <f t="shared" si="7"/>
        <v>71145.367971244283</v>
      </c>
      <c r="O66" s="58">
        <f t="shared" si="5"/>
        <v>172100.64994307529</v>
      </c>
      <c r="P66" s="228"/>
      <c r="Q66" s="229"/>
      <c r="R66" s="225"/>
      <c r="S66" s="225"/>
      <c r="T66" s="230"/>
    </row>
    <row r="67" spans="1:20" s="224" customFormat="1" x14ac:dyDescent="0.25">
      <c r="A67" s="327">
        <f>'A) Base RI'!A68</f>
        <v>5497</v>
      </c>
      <c r="B67" s="237" t="str">
        <f>'A) Base RI'!B68</f>
        <v>Pompaples</v>
      </c>
      <c r="C67" s="253">
        <v>0</v>
      </c>
      <c r="D67" s="226">
        <f>'B) D RI'!AA68</f>
        <v>854</v>
      </c>
      <c r="E67" s="227">
        <f>'B) D RI'!S68</f>
        <v>66</v>
      </c>
      <c r="F67" s="10">
        <f>'B) D RI'!R68</f>
        <v>1433447.9100000001</v>
      </c>
      <c r="G67" s="10">
        <f>'B) D RI'!U68</f>
        <v>21718.90772727273</v>
      </c>
      <c r="H67" s="42">
        <f>'B) D RI'!T68</f>
        <v>1317576.81</v>
      </c>
      <c r="I67" s="10">
        <f t="shared" si="3"/>
        <v>39926.57</v>
      </c>
      <c r="J67" s="32">
        <f t="shared" si="6"/>
        <v>71729.325438680564</v>
      </c>
      <c r="K67" s="10">
        <f t="shared" si="1"/>
        <v>39926.57</v>
      </c>
      <c r="L67" s="10">
        <f t="shared" si="4"/>
        <v>31802.755438680564</v>
      </c>
      <c r="M67" s="10">
        <f>'D) Ecrêtage'!C66</f>
        <v>21718.90772727273</v>
      </c>
      <c r="N67" s="10">
        <f t="shared" si="7"/>
        <v>28184.29340659584</v>
      </c>
      <c r="O67" s="58">
        <f t="shared" si="5"/>
        <v>68110.863406595832</v>
      </c>
      <c r="P67" s="228"/>
      <c r="Q67" s="229"/>
      <c r="R67" s="225"/>
      <c r="S67" s="225"/>
      <c r="T67" s="230"/>
    </row>
    <row r="68" spans="1:20" s="224" customFormat="1" x14ac:dyDescent="0.25">
      <c r="A68" s="327">
        <f>'A) Base RI'!A69</f>
        <v>5498</v>
      </c>
      <c r="B68" s="237" t="str">
        <f>'A) Base RI'!B69</f>
        <v>La Sarraz</v>
      </c>
      <c r="C68" s="253">
        <v>0</v>
      </c>
      <c r="D68" s="226">
        <f>'B) D RI'!AA69</f>
        <v>2609</v>
      </c>
      <c r="E68" s="227">
        <f>'B) D RI'!S69</f>
        <v>66</v>
      </c>
      <c r="F68" s="10">
        <f>'B) D RI'!R69</f>
        <v>4680360.9799999995</v>
      </c>
      <c r="G68" s="10">
        <f>'B) D RI'!U69</f>
        <v>70914.560303030303</v>
      </c>
      <c r="H68" s="42">
        <f>'B) D RI'!T69</f>
        <v>4287454.7799999993</v>
      </c>
      <c r="I68" s="10">
        <f t="shared" si="3"/>
        <v>129922.8721212121</v>
      </c>
      <c r="J68" s="32">
        <f t="shared" si="6"/>
        <v>219135.60898069973</v>
      </c>
      <c r="K68" s="10">
        <f t="shared" si="1"/>
        <v>129922.8721212121</v>
      </c>
      <c r="L68" s="10">
        <f t="shared" si="4"/>
        <v>89212.736859487632</v>
      </c>
      <c r="M68" s="10">
        <f>'D) Ecrêtage'!C67</f>
        <v>70914.560303030303</v>
      </c>
      <c r="N68" s="10">
        <f t="shared" si="7"/>
        <v>92024.73713125888</v>
      </c>
      <c r="O68" s="58">
        <f t="shared" si="5"/>
        <v>221947.60925247098</v>
      </c>
      <c r="P68" s="228"/>
      <c r="Q68" s="229"/>
      <c r="R68" s="225"/>
      <c r="S68" s="225"/>
      <c r="T68" s="230"/>
    </row>
    <row r="69" spans="1:20" s="224" customFormat="1" x14ac:dyDescent="0.25">
      <c r="A69" s="327">
        <f>'A) Base RI'!A70</f>
        <v>5499</v>
      </c>
      <c r="B69" s="237" t="str">
        <f>'A) Base RI'!B70</f>
        <v>Senarclens</v>
      </c>
      <c r="C69" s="253">
        <v>0</v>
      </c>
      <c r="D69" s="226">
        <f>'B) D RI'!AA70</f>
        <v>505</v>
      </c>
      <c r="E69" s="227">
        <f>'B) D RI'!S70</f>
        <v>68.5</v>
      </c>
      <c r="F69" s="10">
        <f>'B) D RI'!R70</f>
        <v>1380624.2100000002</v>
      </c>
      <c r="G69" s="10">
        <f>'B) D RI'!U70</f>
        <v>20155.097956204383</v>
      </c>
      <c r="H69" s="42">
        <f>'B) D RI'!T70</f>
        <v>1291602.4100000001</v>
      </c>
      <c r="I69" s="10">
        <f t="shared" si="3"/>
        <v>37711.019270072997</v>
      </c>
      <c r="J69" s="32">
        <f t="shared" si="6"/>
        <v>42416.053098985576</v>
      </c>
      <c r="K69" s="10">
        <f t="shared" si="1"/>
        <v>37711.019270072997</v>
      </c>
      <c r="L69" s="10">
        <f t="shared" si="4"/>
        <v>4705.0338289125793</v>
      </c>
      <c r="M69" s="10">
        <f>'D) Ecrêtage'!C68</f>
        <v>20155.097956204383</v>
      </c>
      <c r="N69" s="10">
        <f t="shared" si="7"/>
        <v>26154.961454301283</v>
      </c>
      <c r="O69" s="58">
        <f t="shared" si="5"/>
        <v>63865.980724374283</v>
      </c>
      <c r="P69" s="228"/>
      <c r="Q69" s="229"/>
      <c r="R69" s="225"/>
      <c r="S69" s="225"/>
      <c r="T69" s="230"/>
    </row>
    <row r="70" spans="1:20" s="224" customFormat="1" x14ac:dyDescent="0.25">
      <c r="A70" s="327">
        <f>'A) Base RI'!A71</f>
        <v>5500</v>
      </c>
      <c r="B70" s="237" t="str">
        <f>'A) Base RI'!B71</f>
        <v>Sévery</v>
      </c>
      <c r="C70" s="253">
        <v>0</v>
      </c>
      <c r="D70" s="226">
        <f>'B) D RI'!AA71</f>
        <v>233</v>
      </c>
      <c r="E70" s="227">
        <f>'B) D RI'!S71</f>
        <v>75</v>
      </c>
      <c r="F70" s="10">
        <f>'B) D RI'!R71</f>
        <v>669810.95666666655</v>
      </c>
      <c r="G70" s="10">
        <f>'B) D RI'!U71</f>
        <v>8930.8127555555548</v>
      </c>
      <c r="H70" s="42">
        <f>'B) D RI'!T71</f>
        <v>629402.59</v>
      </c>
      <c r="I70" s="10">
        <f t="shared" si="3"/>
        <v>16784.069066666667</v>
      </c>
      <c r="J70" s="32">
        <f t="shared" ref="J70:J101" si="8">+$I$315/$D$315*D70</f>
        <v>19570.178954581464</v>
      </c>
      <c r="K70" s="10">
        <f t="shared" ref="K70:K133" si="9">IF(C70=1,0,IF(J70&gt;I70,I70,J70))</f>
        <v>16784.069066666667</v>
      </c>
      <c r="L70" s="10">
        <f t="shared" si="4"/>
        <v>2786.1098879147976</v>
      </c>
      <c r="M70" s="10">
        <f>'D) Ecrêtage'!C69</f>
        <v>8930.8127555555548</v>
      </c>
      <c r="N70" s="10">
        <f t="shared" ref="N70:N133" si="10">+$N$5*M70</f>
        <v>11589.378721190129</v>
      </c>
      <c r="O70" s="58">
        <f t="shared" ref="O70:O133" si="11">+N70+K70</f>
        <v>28373.447787856796</v>
      </c>
      <c r="P70" s="228"/>
      <c r="Q70" s="229"/>
      <c r="R70" s="225"/>
      <c r="S70" s="225"/>
      <c r="T70" s="230"/>
    </row>
    <row r="71" spans="1:20" s="224" customFormat="1" x14ac:dyDescent="0.25">
      <c r="A71" s="327">
        <f>'A) Base RI'!A72</f>
        <v>5501</v>
      </c>
      <c r="B71" s="237" t="str">
        <f>'A) Base RI'!B72</f>
        <v>Sullens</v>
      </c>
      <c r="C71" s="253">
        <v>0</v>
      </c>
      <c r="D71" s="226">
        <f>'B) D RI'!AA72</f>
        <v>1005</v>
      </c>
      <c r="E71" s="227">
        <f>'B) D RI'!S72</f>
        <v>70</v>
      </c>
      <c r="F71" s="10">
        <f>'B) D RI'!R72</f>
        <v>2395815.62</v>
      </c>
      <c r="G71" s="10">
        <f>'B) D RI'!U72</f>
        <v>34225.937428571429</v>
      </c>
      <c r="H71" s="42">
        <f>'B) D RI'!T72</f>
        <v>2186649.17</v>
      </c>
      <c r="I71" s="10">
        <f t="shared" ref="I71:I134" si="12">+H71/E71*$I$5</f>
        <v>62475.690571428568</v>
      </c>
      <c r="J71" s="32">
        <f t="shared" si="8"/>
        <v>84412.145276199022</v>
      </c>
      <c r="K71" s="10">
        <f t="shared" si="9"/>
        <v>62475.690571428568</v>
      </c>
      <c r="L71" s="10">
        <f t="shared" ref="L71:L134" si="13">+J71-K71</f>
        <v>21936.454704770455</v>
      </c>
      <c r="M71" s="10">
        <f>'D) Ecrêtage'!C70</f>
        <v>34225.937428571429</v>
      </c>
      <c r="N71" s="10">
        <f t="shared" si="10"/>
        <v>44414.474001901282</v>
      </c>
      <c r="O71" s="58">
        <f t="shared" si="11"/>
        <v>106890.16457332985</v>
      </c>
      <c r="P71" s="228"/>
      <c r="Q71" s="229"/>
      <c r="R71" s="225"/>
      <c r="S71" s="225"/>
      <c r="T71" s="230"/>
    </row>
    <row r="72" spans="1:20" s="224" customFormat="1" x14ac:dyDescent="0.25">
      <c r="A72" s="327">
        <f>'A) Base RI'!A73</f>
        <v>5503</v>
      </c>
      <c r="B72" s="237" t="str">
        <f>'A) Base RI'!B73</f>
        <v>Vufflens-la-Ville</v>
      </c>
      <c r="C72" s="253">
        <v>0</v>
      </c>
      <c r="D72" s="226">
        <f>'B) D RI'!AA73</f>
        <v>1284</v>
      </c>
      <c r="E72" s="227">
        <f>'B) D RI'!S73</f>
        <v>67</v>
      </c>
      <c r="F72" s="10">
        <f>'B) D RI'!R73</f>
        <v>4322584.8933333335</v>
      </c>
      <c r="G72" s="10">
        <f>'B) D RI'!U73</f>
        <v>64516.192437810947</v>
      </c>
      <c r="H72" s="42">
        <f>'B) D RI'!T73</f>
        <v>3995722.96</v>
      </c>
      <c r="I72" s="10">
        <f t="shared" si="12"/>
        <v>119275.31223880597</v>
      </c>
      <c r="J72" s="32">
        <f t="shared" si="8"/>
        <v>107845.96471108412</v>
      </c>
      <c r="K72" s="10">
        <f t="shared" si="9"/>
        <v>107845.96471108412</v>
      </c>
      <c r="L72" s="10">
        <f t="shared" si="13"/>
        <v>0</v>
      </c>
      <c r="M72" s="10">
        <f>'D) Ecrêtage'!C71</f>
        <v>64516.192437810947</v>
      </c>
      <c r="N72" s="10">
        <f t="shared" si="10"/>
        <v>83721.67329853079</v>
      </c>
      <c r="O72" s="58">
        <f t="shared" si="11"/>
        <v>191567.63800961489</v>
      </c>
      <c r="P72" s="228"/>
      <c r="Q72" s="229"/>
      <c r="R72" s="225"/>
      <c r="S72" s="225"/>
      <c r="T72" s="230"/>
    </row>
    <row r="73" spans="1:20" s="224" customFormat="1" x14ac:dyDescent="0.25">
      <c r="A73" s="327">
        <f>'A) Base RI'!A74</f>
        <v>5511</v>
      </c>
      <c r="B73" s="237" t="str">
        <f>'A) Base RI'!B74</f>
        <v>Assens</v>
      </c>
      <c r="C73" s="253">
        <v>0</v>
      </c>
      <c r="D73" s="226">
        <f>'B) D RI'!AA74</f>
        <v>1070</v>
      </c>
      <c r="E73" s="227">
        <f>'B) D RI'!S74</f>
        <v>70</v>
      </c>
      <c r="F73" s="10">
        <f>'B) D RI'!R74</f>
        <v>3365720.53</v>
      </c>
      <c r="G73" s="10">
        <f>'B) D RI'!U74</f>
        <v>48081.721857142853</v>
      </c>
      <c r="H73" s="42">
        <f>'B) D RI'!T74</f>
        <v>3142776.38</v>
      </c>
      <c r="I73" s="10">
        <f t="shared" si="12"/>
        <v>89793.610857142849</v>
      </c>
      <c r="J73" s="32">
        <f t="shared" si="8"/>
        <v>89871.63725923677</v>
      </c>
      <c r="K73" s="10">
        <f t="shared" si="9"/>
        <v>89793.610857142849</v>
      </c>
      <c r="L73" s="10">
        <f t="shared" si="13"/>
        <v>78.026402093921206</v>
      </c>
      <c r="M73" s="10">
        <f>'D) Ecrêtage'!C72</f>
        <v>48081.721857142853</v>
      </c>
      <c r="N73" s="10">
        <f t="shared" si="10"/>
        <v>62394.912917944159</v>
      </c>
      <c r="O73" s="58">
        <f t="shared" si="11"/>
        <v>152188.523775087</v>
      </c>
      <c r="P73" s="228"/>
      <c r="Q73" s="229"/>
      <c r="R73" s="225"/>
      <c r="S73" s="225"/>
      <c r="T73" s="230"/>
    </row>
    <row r="74" spans="1:20" s="224" customFormat="1" x14ac:dyDescent="0.25">
      <c r="A74" s="327">
        <f>'A) Base RI'!A75</f>
        <v>5512</v>
      </c>
      <c r="B74" s="237" t="str">
        <f>'A) Base RI'!B75</f>
        <v>Bercher</v>
      </c>
      <c r="C74" s="253">
        <v>0</v>
      </c>
      <c r="D74" s="226">
        <f>'B) D RI'!AA75</f>
        <v>1221</v>
      </c>
      <c r="E74" s="227">
        <f>'B) D RI'!S75</f>
        <v>79</v>
      </c>
      <c r="F74" s="10">
        <f>'B) D RI'!R75</f>
        <v>2964849.6899999995</v>
      </c>
      <c r="G74" s="10">
        <f>'B) D RI'!U75</f>
        <v>37529.742911392401</v>
      </c>
      <c r="H74" s="42">
        <f>'B) D RI'!T75</f>
        <v>2735486.34</v>
      </c>
      <c r="I74" s="10">
        <f t="shared" si="12"/>
        <v>69252.818734177214</v>
      </c>
      <c r="J74" s="32">
        <f t="shared" si="8"/>
        <v>102554.45709675523</v>
      </c>
      <c r="K74" s="10">
        <f t="shared" si="9"/>
        <v>69252.818734177214</v>
      </c>
      <c r="L74" s="10">
        <f t="shared" si="13"/>
        <v>33301.638362578014</v>
      </c>
      <c r="M74" s="10">
        <f>'D) Ecrêtage'!C73</f>
        <v>37529.742911392401</v>
      </c>
      <c r="N74" s="10">
        <f t="shared" si="10"/>
        <v>48701.771699161625</v>
      </c>
      <c r="O74" s="58">
        <f t="shared" si="11"/>
        <v>117954.59043333883</v>
      </c>
      <c r="P74" s="228"/>
      <c r="Q74" s="229"/>
      <c r="R74" s="225"/>
      <c r="S74" s="225"/>
      <c r="T74" s="230"/>
    </row>
    <row r="75" spans="1:20" s="224" customFormat="1" x14ac:dyDescent="0.25">
      <c r="A75" s="327">
        <f>'A) Base RI'!A76</f>
        <v>5513</v>
      </c>
      <c r="B75" s="237" t="str">
        <f>'A) Base RI'!B76</f>
        <v>Bioley-Orjulaz</v>
      </c>
      <c r="C75" s="253">
        <v>0</v>
      </c>
      <c r="D75" s="226">
        <f>'B) D RI'!AA76</f>
        <v>499</v>
      </c>
      <c r="E75" s="227">
        <f>'B) D RI'!S76</f>
        <v>68</v>
      </c>
      <c r="F75" s="10">
        <f>'B) D RI'!R76</f>
        <v>1431100.5599999998</v>
      </c>
      <c r="G75" s="10">
        <f>'B) D RI'!U76</f>
        <v>21045.596470588232</v>
      </c>
      <c r="H75" s="42">
        <f>'B) D RI'!T76</f>
        <v>1326991.1599999999</v>
      </c>
      <c r="I75" s="10">
        <f t="shared" si="12"/>
        <v>39029.151764705879</v>
      </c>
      <c r="J75" s="32">
        <f t="shared" si="8"/>
        <v>41912.099992859017</v>
      </c>
      <c r="K75" s="10">
        <f t="shared" si="9"/>
        <v>39029.151764705879</v>
      </c>
      <c r="L75" s="10">
        <f t="shared" si="13"/>
        <v>2882.9482281531382</v>
      </c>
      <c r="M75" s="10">
        <f>'D) Ecrêtage'!C74</f>
        <v>21045.596470588232</v>
      </c>
      <c r="N75" s="10">
        <f t="shared" si="10"/>
        <v>27310.547716865312</v>
      </c>
      <c r="O75" s="58">
        <f t="shared" si="11"/>
        <v>66339.699481571195</v>
      </c>
      <c r="P75" s="228"/>
      <c r="Q75" s="229"/>
      <c r="R75" s="225"/>
      <c r="S75" s="225"/>
      <c r="T75" s="230"/>
    </row>
    <row r="76" spans="1:20" s="224" customFormat="1" x14ac:dyDescent="0.25">
      <c r="A76" s="327">
        <f>'A) Base RI'!A77</f>
        <v>5514</v>
      </c>
      <c r="B76" s="237" t="str">
        <f>'A) Base RI'!B77</f>
        <v>Bottens</v>
      </c>
      <c r="C76" s="253">
        <v>0</v>
      </c>
      <c r="D76" s="226">
        <f>'B) D RI'!AA77</f>
        <v>1263</v>
      </c>
      <c r="E76" s="227">
        <f>'B) D RI'!S77</f>
        <v>69</v>
      </c>
      <c r="F76" s="10">
        <f>'B) D RI'!R77</f>
        <v>2822994.49</v>
      </c>
      <c r="G76" s="10">
        <f>'B) D RI'!U77</f>
        <v>40912.963623188407</v>
      </c>
      <c r="H76" s="42">
        <f>'B) D RI'!T77</f>
        <v>2607477.54</v>
      </c>
      <c r="I76" s="10">
        <f t="shared" si="12"/>
        <v>75579.059130434791</v>
      </c>
      <c r="J76" s="32">
        <f t="shared" si="8"/>
        <v>106082.12883964115</v>
      </c>
      <c r="K76" s="10">
        <f t="shared" si="9"/>
        <v>75579.059130434791</v>
      </c>
      <c r="L76" s="10">
        <f t="shared" si="13"/>
        <v>30503.069709206364</v>
      </c>
      <c r="M76" s="10">
        <f>'D) Ecrêtage'!C75</f>
        <v>40912.963623188407</v>
      </c>
      <c r="N76" s="10">
        <f t="shared" si="10"/>
        <v>53092.125320895269</v>
      </c>
      <c r="O76" s="58">
        <f t="shared" si="11"/>
        <v>128671.18445133006</v>
      </c>
      <c r="P76" s="228"/>
      <c r="Q76" s="229"/>
      <c r="R76" s="225"/>
      <c r="S76" s="225"/>
      <c r="T76" s="230"/>
    </row>
    <row r="77" spans="1:20" s="224" customFormat="1" x14ac:dyDescent="0.25">
      <c r="A77" s="327">
        <f>'A) Base RI'!A78</f>
        <v>5515</v>
      </c>
      <c r="B77" s="237" t="str">
        <f>'A) Base RI'!B78</f>
        <v>Bretigny-sur-Morrens</v>
      </c>
      <c r="C77" s="253">
        <v>0</v>
      </c>
      <c r="D77" s="226">
        <f>'B) D RI'!AA78</f>
        <v>825</v>
      </c>
      <c r="E77" s="227">
        <f>'B) D RI'!S78</f>
        <v>73</v>
      </c>
      <c r="F77" s="10">
        <f>'B) D RI'!R78</f>
        <v>2021620.05</v>
      </c>
      <c r="G77" s="10">
        <f>'B) D RI'!U78</f>
        <v>27693.425342465755</v>
      </c>
      <c r="H77" s="42">
        <f>'B) D RI'!T78</f>
        <v>1871732.35</v>
      </c>
      <c r="I77" s="10">
        <f t="shared" si="12"/>
        <v>51280.338356164386</v>
      </c>
      <c r="J77" s="32">
        <f t="shared" si="8"/>
        <v>69293.552092402184</v>
      </c>
      <c r="K77" s="10">
        <f t="shared" si="9"/>
        <v>51280.338356164386</v>
      </c>
      <c r="L77" s="10">
        <f t="shared" si="13"/>
        <v>18013.213736237798</v>
      </c>
      <c r="M77" s="10">
        <f>'D) Ecrêtage'!C76</f>
        <v>27693.425342465755</v>
      </c>
      <c r="N77" s="10">
        <f t="shared" si="10"/>
        <v>35937.33327139663</v>
      </c>
      <c r="O77" s="58">
        <f t="shared" si="11"/>
        <v>87217.671627561009</v>
      </c>
      <c r="P77" s="228"/>
      <c r="Q77" s="229"/>
      <c r="R77" s="225"/>
      <c r="S77" s="225"/>
      <c r="T77" s="230"/>
    </row>
    <row r="78" spans="1:20" s="224" customFormat="1" x14ac:dyDescent="0.25">
      <c r="A78" s="327">
        <f>'A) Base RI'!A79</f>
        <v>5516</v>
      </c>
      <c r="B78" s="237" t="str">
        <f>'A) Base RI'!B79</f>
        <v>Cugy</v>
      </c>
      <c r="C78" s="253">
        <v>0</v>
      </c>
      <c r="D78" s="226">
        <f>'B) D RI'!AA79</f>
        <v>2744</v>
      </c>
      <c r="E78" s="227">
        <f>'B) D RI'!S79</f>
        <v>70</v>
      </c>
      <c r="F78" s="10">
        <f>'B) D RI'!R79</f>
        <v>7701286.7199999988</v>
      </c>
      <c r="G78" s="10">
        <f>'B) D RI'!U79</f>
        <v>110018.3817142857</v>
      </c>
      <c r="H78" s="42">
        <f>'B) D RI'!T79</f>
        <v>7125764.2199999988</v>
      </c>
      <c r="I78" s="10">
        <f t="shared" si="12"/>
        <v>203593.2634285714</v>
      </c>
      <c r="J78" s="32">
        <f t="shared" si="8"/>
        <v>230474.55386854737</v>
      </c>
      <c r="K78" s="10">
        <f t="shared" si="9"/>
        <v>203593.2634285714</v>
      </c>
      <c r="L78" s="10">
        <f t="shared" si="13"/>
        <v>26881.290439975972</v>
      </c>
      <c r="M78" s="10">
        <f>'D) Ecrêtage'!C77</f>
        <v>110018.3817142857</v>
      </c>
      <c r="N78" s="10">
        <f t="shared" si="10"/>
        <v>142769.16635455759</v>
      </c>
      <c r="O78" s="58">
        <f t="shared" si="11"/>
        <v>346362.42978312902</v>
      </c>
      <c r="P78" s="228"/>
      <c r="Q78" s="229"/>
      <c r="R78" s="225"/>
      <c r="S78" s="225"/>
      <c r="T78" s="230"/>
    </row>
    <row r="79" spans="1:20" s="224" customFormat="1" x14ac:dyDescent="0.25">
      <c r="A79" s="327">
        <f>'A) Base RI'!A80</f>
        <v>5518</v>
      </c>
      <c r="B79" s="237" t="str">
        <f>'A) Base RI'!B80</f>
        <v>Echallens</v>
      </c>
      <c r="C79" s="253">
        <v>0</v>
      </c>
      <c r="D79" s="226">
        <f>'B) D RI'!AA80</f>
        <v>5728</v>
      </c>
      <c r="E79" s="227">
        <f>'B) D RI'!S80</f>
        <v>74</v>
      </c>
      <c r="F79" s="10">
        <f>'B) D RI'!R80</f>
        <v>13782585.170000002</v>
      </c>
      <c r="G79" s="10">
        <f>'B) D RI'!U80</f>
        <v>186251.15094594596</v>
      </c>
      <c r="H79" s="42">
        <f>'B) D RI'!T80</f>
        <v>12728000.520000001</v>
      </c>
      <c r="I79" s="10">
        <f t="shared" si="12"/>
        <v>344000.0140540541</v>
      </c>
      <c r="J79" s="32">
        <f t="shared" si="8"/>
        <v>481107.23198215716</v>
      </c>
      <c r="K79" s="10">
        <f t="shared" si="9"/>
        <v>344000.0140540541</v>
      </c>
      <c r="L79" s="10">
        <f t="shared" si="13"/>
        <v>137107.21792810305</v>
      </c>
      <c r="M79" s="10">
        <f>'D) Ecrêtage'!C78</f>
        <v>186251.15094594596</v>
      </c>
      <c r="N79" s="10">
        <f t="shared" si="10"/>
        <v>241695.26163532716</v>
      </c>
      <c r="O79" s="58">
        <f t="shared" si="11"/>
        <v>585695.27568938129</v>
      </c>
      <c r="P79" s="228"/>
      <c r="Q79" s="229"/>
      <c r="R79" s="225"/>
      <c r="S79" s="225"/>
      <c r="T79" s="230"/>
    </row>
    <row r="80" spans="1:20" s="224" customFormat="1" x14ac:dyDescent="0.25">
      <c r="A80" s="327">
        <f>'A) Base RI'!A81</f>
        <v>5520</v>
      </c>
      <c r="B80" s="237" t="str">
        <f>'A) Base RI'!B81</f>
        <v>Essertines-sur-Yverdon</v>
      </c>
      <c r="C80" s="253">
        <v>0</v>
      </c>
      <c r="D80" s="226">
        <f>'B) D RI'!AA81</f>
        <v>981</v>
      </c>
      <c r="E80" s="227">
        <f>'B) D RI'!S81</f>
        <v>73</v>
      </c>
      <c r="F80" s="10">
        <f>'B) D RI'!R81</f>
        <v>2337914.12</v>
      </c>
      <c r="G80" s="10">
        <f>'B) D RI'!U81</f>
        <v>32026.22082191781</v>
      </c>
      <c r="H80" s="42">
        <f>'B) D RI'!T81</f>
        <v>2163089.67</v>
      </c>
      <c r="I80" s="10">
        <f t="shared" si="12"/>
        <v>59262.730684931506</v>
      </c>
      <c r="J80" s="32">
        <f t="shared" si="8"/>
        <v>82396.332851692772</v>
      </c>
      <c r="K80" s="10">
        <f t="shared" si="9"/>
        <v>59262.730684931506</v>
      </c>
      <c r="L80" s="10">
        <f t="shared" si="13"/>
        <v>23133.602166761266</v>
      </c>
      <c r="M80" s="10">
        <f>'D) Ecrêtage'!C79</f>
        <v>32026.22082191781</v>
      </c>
      <c r="N80" s="10">
        <f t="shared" si="10"/>
        <v>41559.935503382047</v>
      </c>
      <c r="O80" s="58">
        <f t="shared" si="11"/>
        <v>100822.66618831355</v>
      </c>
      <c r="P80" s="228"/>
      <c r="Q80" s="229"/>
      <c r="R80" s="225"/>
      <c r="S80" s="225"/>
      <c r="T80" s="230"/>
    </row>
    <row r="81" spans="1:20" s="224" customFormat="1" x14ac:dyDescent="0.25">
      <c r="A81" s="327">
        <f>'A) Base RI'!A82</f>
        <v>5521</v>
      </c>
      <c r="B81" s="237" t="str">
        <f>'A) Base RI'!B82</f>
        <v>Etagnières</v>
      </c>
      <c r="C81" s="253">
        <v>0</v>
      </c>
      <c r="D81" s="226">
        <f>'B) D RI'!AA82</f>
        <v>1119</v>
      </c>
      <c r="E81" s="227">
        <f>'B) D RI'!S82</f>
        <v>73</v>
      </c>
      <c r="F81" s="10">
        <f>'B) D RI'!R82</f>
        <v>2988579.1799999997</v>
      </c>
      <c r="G81" s="10">
        <f>'B) D RI'!U82</f>
        <v>40939.440821917808</v>
      </c>
      <c r="H81" s="42">
        <f>'B) D RI'!T82</f>
        <v>2743686.3299999996</v>
      </c>
      <c r="I81" s="10">
        <f t="shared" si="12"/>
        <v>75169.488493150668</v>
      </c>
      <c r="J81" s="32">
        <f t="shared" si="8"/>
        <v>93987.254292603684</v>
      </c>
      <c r="K81" s="10">
        <f t="shared" si="9"/>
        <v>75169.488493150668</v>
      </c>
      <c r="L81" s="10">
        <f t="shared" si="13"/>
        <v>18817.765799453016</v>
      </c>
      <c r="M81" s="10">
        <f>'D) Ecrêtage'!C80</f>
        <v>40939.440821917808</v>
      </c>
      <c r="N81" s="10">
        <f t="shared" si="10"/>
        <v>53126.484375546861</v>
      </c>
      <c r="O81" s="58">
        <f t="shared" si="11"/>
        <v>128295.97286869753</v>
      </c>
      <c r="P81" s="228"/>
      <c r="Q81" s="229"/>
      <c r="R81" s="225"/>
      <c r="S81" s="225"/>
      <c r="T81" s="230"/>
    </row>
    <row r="82" spans="1:20" s="224" customFormat="1" x14ac:dyDescent="0.25">
      <c r="A82" s="327">
        <f>'A) Base RI'!A83</f>
        <v>5522</v>
      </c>
      <c r="B82" s="237" t="str">
        <f>'A) Base RI'!B83</f>
        <v>Fey</v>
      </c>
      <c r="C82" s="253">
        <v>0</v>
      </c>
      <c r="D82" s="226">
        <f>'B) D RI'!AA83</f>
        <v>703</v>
      </c>
      <c r="E82" s="227">
        <f>'B) D RI'!S83</f>
        <v>75</v>
      </c>
      <c r="F82" s="10">
        <f>'B) D RI'!R83</f>
        <v>1516185.99</v>
      </c>
      <c r="G82" s="10">
        <f>'B) D RI'!U83</f>
        <v>20215.813200000001</v>
      </c>
      <c r="H82" s="42">
        <f>'B) D RI'!T83</f>
        <v>1395361.1900000002</v>
      </c>
      <c r="I82" s="10">
        <f t="shared" si="12"/>
        <v>37209.631733333335</v>
      </c>
      <c r="J82" s="32">
        <f t="shared" si="8"/>
        <v>59046.505601162098</v>
      </c>
      <c r="K82" s="10">
        <f t="shared" si="9"/>
        <v>37209.631733333335</v>
      </c>
      <c r="L82" s="10">
        <f t="shared" si="13"/>
        <v>21836.873867828763</v>
      </c>
      <c r="M82" s="10">
        <f>'D) Ecrêtage'!C81</f>
        <v>20215.813200000001</v>
      </c>
      <c r="N82" s="10">
        <f t="shared" si="10"/>
        <v>26233.750694850423</v>
      </c>
      <c r="O82" s="58">
        <f t="shared" si="11"/>
        <v>63443.382428183759</v>
      </c>
      <c r="P82" s="228"/>
      <c r="Q82" s="229"/>
      <c r="R82" s="225"/>
      <c r="S82" s="225"/>
      <c r="T82" s="230"/>
    </row>
    <row r="83" spans="1:20" s="224" customFormat="1" x14ac:dyDescent="0.25">
      <c r="A83" s="327">
        <f>'A) Base RI'!A84</f>
        <v>5523</v>
      </c>
      <c r="B83" s="237" t="str">
        <f>'A) Base RI'!B84</f>
        <v>Froideville</v>
      </c>
      <c r="C83" s="253">
        <v>0</v>
      </c>
      <c r="D83" s="226">
        <f>'B) D RI'!AA84</f>
        <v>2561</v>
      </c>
      <c r="E83" s="227">
        <f>'B) D RI'!S84</f>
        <v>76</v>
      </c>
      <c r="F83" s="10">
        <f>'B) D RI'!R84</f>
        <v>6371167.8700000001</v>
      </c>
      <c r="G83" s="10">
        <f>'B) D RI'!U84</f>
        <v>83831.156184210529</v>
      </c>
      <c r="H83" s="42">
        <f>'B) D RI'!T84</f>
        <v>5867376.3700000001</v>
      </c>
      <c r="I83" s="10">
        <f t="shared" si="12"/>
        <v>154404.64131578949</v>
      </c>
      <c r="J83" s="32">
        <f t="shared" si="8"/>
        <v>215103.98413168723</v>
      </c>
      <c r="K83" s="10">
        <f t="shared" si="9"/>
        <v>154404.64131578949</v>
      </c>
      <c r="L83" s="10">
        <f t="shared" si="13"/>
        <v>60699.342815897748</v>
      </c>
      <c r="M83" s="10">
        <f>'D) Ecrêtage'!C82</f>
        <v>83831.156184210529</v>
      </c>
      <c r="N83" s="10">
        <f t="shared" si="10"/>
        <v>108786.40547577117</v>
      </c>
      <c r="O83" s="58">
        <f t="shared" si="11"/>
        <v>263191.04679156066</v>
      </c>
      <c r="P83" s="228"/>
      <c r="Q83" s="229"/>
      <c r="R83" s="225"/>
      <c r="S83" s="225"/>
      <c r="T83" s="230"/>
    </row>
    <row r="84" spans="1:20" s="224" customFormat="1" x14ac:dyDescent="0.25">
      <c r="A84" s="327">
        <f>'A) Base RI'!A85</f>
        <v>5527</v>
      </c>
      <c r="B84" s="237" t="str">
        <f>'A) Base RI'!B85</f>
        <v>Morrens</v>
      </c>
      <c r="C84" s="253">
        <v>0</v>
      </c>
      <c r="D84" s="226">
        <f>'B) D RI'!AA85</f>
        <v>1092</v>
      </c>
      <c r="E84" s="227">
        <f>'B) D RI'!S85</f>
        <v>71</v>
      </c>
      <c r="F84" s="10">
        <f>'B) D RI'!R85</f>
        <v>2816342.59</v>
      </c>
      <c r="G84" s="10">
        <f>'B) D RI'!U85</f>
        <v>39666.797042253522</v>
      </c>
      <c r="H84" s="42">
        <f>'B) D RI'!T85</f>
        <v>2599502.89</v>
      </c>
      <c r="I84" s="10">
        <f t="shared" si="12"/>
        <v>73225.433521126761</v>
      </c>
      <c r="J84" s="32">
        <f t="shared" si="8"/>
        <v>91719.465315034162</v>
      </c>
      <c r="K84" s="10">
        <f t="shared" si="9"/>
        <v>73225.433521126761</v>
      </c>
      <c r="L84" s="10">
        <f t="shared" si="13"/>
        <v>18494.031793907401</v>
      </c>
      <c r="M84" s="10">
        <f>'D) Ecrêtage'!C83</f>
        <v>39666.797042253522</v>
      </c>
      <c r="N84" s="10">
        <f t="shared" si="10"/>
        <v>51474.994064038394</v>
      </c>
      <c r="O84" s="58">
        <f t="shared" si="11"/>
        <v>124700.42758516516</v>
      </c>
      <c r="P84" s="228"/>
      <c r="Q84" s="229"/>
      <c r="R84" s="225"/>
      <c r="S84" s="225"/>
      <c r="T84" s="230"/>
    </row>
    <row r="85" spans="1:20" s="224" customFormat="1" x14ac:dyDescent="0.25">
      <c r="A85" s="327">
        <f>'A) Base RI'!A86</f>
        <v>5529</v>
      </c>
      <c r="B85" s="237" t="str">
        <f>'A) Base RI'!B86</f>
        <v>Oulens-sous-Echallens</v>
      </c>
      <c r="C85" s="253">
        <v>0</v>
      </c>
      <c r="D85" s="226">
        <f>'B) D RI'!AA86</f>
        <v>577</v>
      </c>
      <c r="E85" s="227">
        <f>'B) D RI'!S86</f>
        <v>71</v>
      </c>
      <c r="F85" s="10">
        <f>'B) D RI'!R86</f>
        <v>1435929.7400000002</v>
      </c>
      <c r="G85" s="10">
        <f>'B) D RI'!U86</f>
        <v>20224.362535211272</v>
      </c>
      <c r="H85" s="42">
        <f>'B) D RI'!T86</f>
        <v>1330414.8400000003</v>
      </c>
      <c r="I85" s="10">
        <f t="shared" si="12"/>
        <v>37476.474366197195</v>
      </c>
      <c r="J85" s="32">
        <f t="shared" si="8"/>
        <v>48463.490372504311</v>
      </c>
      <c r="K85" s="10">
        <f t="shared" si="9"/>
        <v>37476.474366197195</v>
      </c>
      <c r="L85" s="10">
        <f t="shared" si="13"/>
        <v>10987.016006307116</v>
      </c>
      <c r="M85" s="10">
        <f>'D) Ecrêtage'!C84</f>
        <v>20224.362535211272</v>
      </c>
      <c r="N85" s="10">
        <f t="shared" si="10"/>
        <v>26244.845036013961</v>
      </c>
      <c r="O85" s="58">
        <f t="shared" si="11"/>
        <v>63721.319402211157</v>
      </c>
      <c r="P85" s="228"/>
      <c r="Q85" s="229"/>
      <c r="R85" s="225"/>
      <c r="S85" s="225"/>
      <c r="T85" s="230"/>
    </row>
    <row r="86" spans="1:20" s="224" customFormat="1" x14ac:dyDescent="0.25">
      <c r="A86" s="327">
        <f>'A) Base RI'!A87</f>
        <v>5530</v>
      </c>
      <c r="B86" s="237" t="str">
        <f>'A) Base RI'!B87</f>
        <v>Pailly</v>
      </c>
      <c r="C86" s="253">
        <v>0</v>
      </c>
      <c r="D86" s="226">
        <f>'B) D RI'!AA87</f>
        <v>543</v>
      </c>
      <c r="E86" s="227">
        <f>'B) D RI'!S87</f>
        <v>77.5</v>
      </c>
      <c r="F86" s="10">
        <f>'B) D RI'!R87</f>
        <v>1261323.8049999999</v>
      </c>
      <c r="G86" s="10">
        <f>'B) D RI'!U87</f>
        <v>16275.145870967741</v>
      </c>
      <c r="H86" s="42">
        <f>'B) D RI'!T87</f>
        <v>1183955.23</v>
      </c>
      <c r="I86" s="10">
        <f t="shared" si="12"/>
        <v>30553.683354838708</v>
      </c>
      <c r="J86" s="32">
        <f t="shared" si="8"/>
        <v>45607.756104453794</v>
      </c>
      <c r="K86" s="10">
        <f t="shared" si="9"/>
        <v>30553.683354838708</v>
      </c>
      <c r="L86" s="10">
        <f t="shared" si="13"/>
        <v>15054.072749615087</v>
      </c>
      <c r="M86" s="10">
        <f>'D) Ecrêtage'!C85</f>
        <v>16275.145870967741</v>
      </c>
      <c r="N86" s="10">
        <f t="shared" si="10"/>
        <v>21120.007148725133</v>
      </c>
      <c r="O86" s="58">
        <f t="shared" si="11"/>
        <v>51673.690503563841</v>
      </c>
      <c r="P86" s="228"/>
      <c r="Q86" s="229"/>
      <c r="R86" s="225"/>
      <c r="S86" s="225"/>
      <c r="T86" s="230"/>
    </row>
    <row r="87" spans="1:20" s="224" customFormat="1" x14ac:dyDescent="0.25">
      <c r="A87" s="327">
        <f>'A) Base RI'!A88</f>
        <v>5531</v>
      </c>
      <c r="B87" s="237" t="str">
        <f>'A) Base RI'!B88</f>
        <v>Penthéréaz</v>
      </c>
      <c r="C87" s="253">
        <v>0</v>
      </c>
      <c r="D87" s="226">
        <f>'B) D RI'!AA88</f>
        <v>418</v>
      </c>
      <c r="E87" s="227">
        <f>'B) D RI'!S88</f>
        <v>78</v>
      </c>
      <c r="F87" s="10">
        <f>'B) D RI'!R88</f>
        <v>1023017.3700000001</v>
      </c>
      <c r="G87" s="10">
        <f>'B) D RI'!U88</f>
        <v>13115.607307692309</v>
      </c>
      <c r="H87" s="42">
        <f>'B) D RI'!T88</f>
        <v>950904.52000000014</v>
      </c>
      <c r="I87" s="10">
        <f t="shared" si="12"/>
        <v>24382.167179487184</v>
      </c>
      <c r="J87" s="32">
        <f t="shared" si="8"/>
        <v>35108.733060150436</v>
      </c>
      <c r="K87" s="10">
        <f t="shared" si="9"/>
        <v>24382.167179487184</v>
      </c>
      <c r="L87" s="10">
        <f t="shared" si="13"/>
        <v>10726.565880663253</v>
      </c>
      <c r="M87" s="10">
        <f>'D) Ecrêtage'!C86</f>
        <v>13115.607307692309</v>
      </c>
      <c r="N87" s="10">
        <f t="shared" si="10"/>
        <v>17019.922420017137</v>
      </c>
      <c r="O87" s="58">
        <f t="shared" si="11"/>
        <v>41402.089599504325</v>
      </c>
      <c r="P87" s="228"/>
      <c r="Q87" s="229"/>
      <c r="R87" s="225"/>
      <c r="S87" s="225"/>
      <c r="T87" s="230"/>
    </row>
    <row r="88" spans="1:20" s="224" customFormat="1" x14ac:dyDescent="0.25">
      <c r="A88" s="327">
        <f>'A) Base RI'!A89</f>
        <v>5533</v>
      </c>
      <c r="B88" s="237" t="str">
        <f>'A) Base RI'!B89</f>
        <v>Poliez-Pittet</v>
      </c>
      <c r="C88" s="253">
        <v>0</v>
      </c>
      <c r="D88" s="226">
        <f>'B) D RI'!AA89</f>
        <v>849</v>
      </c>
      <c r="E88" s="227">
        <f>'B) D RI'!S89</f>
        <v>71</v>
      </c>
      <c r="F88" s="10">
        <f>'B) D RI'!R89</f>
        <v>1953156.78</v>
      </c>
      <c r="G88" s="10">
        <f>'B) D RI'!U89</f>
        <v>27509.250422535213</v>
      </c>
      <c r="H88" s="42">
        <f>'B) D RI'!T89</f>
        <v>1809887.03</v>
      </c>
      <c r="I88" s="10">
        <f t="shared" si="12"/>
        <v>50982.733239436624</v>
      </c>
      <c r="J88" s="32">
        <f t="shared" si="8"/>
        <v>71309.364516908419</v>
      </c>
      <c r="K88" s="10">
        <f t="shared" si="9"/>
        <v>50982.733239436624</v>
      </c>
      <c r="L88" s="10">
        <f t="shared" si="13"/>
        <v>20326.631277471795</v>
      </c>
      <c r="M88" s="10">
        <f>'D) Ecrêtage'!C87</f>
        <v>27509.250422535213</v>
      </c>
      <c r="N88" s="10">
        <f t="shared" si="10"/>
        <v>35698.332302902236</v>
      </c>
      <c r="O88" s="58">
        <f t="shared" si="11"/>
        <v>86681.065542338853</v>
      </c>
      <c r="P88" s="228"/>
      <c r="Q88" s="229"/>
      <c r="R88" s="225"/>
      <c r="S88" s="225"/>
      <c r="T88" s="230"/>
    </row>
    <row r="89" spans="1:20" s="224" customFormat="1" x14ac:dyDescent="0.25">
      <c r="A89" s="327">
        <f>'A) Base RI'!A90</f>
        <v>5534</v>
      </c>
      <c r="B89" s="237" t="str">
        <f>'A) Base RI'!B90</f>
        <v>Rueyres</v>
      </c>
      <c r="C89" s="253">
        <v>0</v>
      </c>
      <c r="D89" s="226">
        <f>'B) D RI'!AA90</f>
        <v>257</v>
      </c>
      <c r="E89" s="227">
        <f>'B) D RI'!S90</f>
        <v>73</v>
      </c>
      <c r="F89" s="10">
        <f>'B) D RI'!R90</f>
        <v>677624.14</v>
      </c>
      <c r="G89" s="10">
        <f>'B) D RI'!U90</f>
        <v>9282.5224657534254</v>
      </c>
      <c r="H89" s="42">
        <f>'B) D RI'!T90</f>
        <v>605113.39</v>
      </c>
      <c r="I89" s="10">
        <f t="shared" si="12"/>
        <v>16578.44904109589</v>
      </c>
      <c r="J89" s="32">
        <f t="shared" si="8"/>
        <v>21585.991379087707</v>
      </c>
      <c r="K89" s="10">
        <f t="shared" si="9"/>
        <v>16578.44904109589</v>
      </c>
      <c r="L89" s="10">
        <f t="shared" si="13"/>
        <v>5007.5423379918175</v>
      </c>
      <c r="M89" s="10">
        <f>'D) Ecrêtage'!C88</f>
        <v>9282.5224657534254</v>
      </c>
      <c r="N89" s="10">
        <f t="shared" si="10"/>
        <v>12045.787017161574</v>
      </c>
      <c r="O89" s="58">
        <f t="shared" si="11"/>
        <v>28624.236058257462</v>
      </c>
      <c r="P89" s="228"/>
      <c r="Q89" s="229"/>
      <c r="R89" s="225"/>
      <c r="S89" s="225"/>
      <c r="T89" s="230"/>
    </row>
    <row r="90" spans="1:20" s="224" customFormat="1" x14ac:dyDescent="0.25">
      <c r="A90" s="327">
        <f>'A) Base RI'!A91</f>
        <v>5535</v>
      </c>
      <c r="B90" s="237" t="str">
        <f>'A) Base RI'!B91</f>
        <v>Saint-Barthélemy</v>
      </c>
      <c r="C90" s="253">
        <v>0</v>
      </c>
      <c r="D90" s="226">
        <f>'B) D RI'!AA91</f>
        <v>769</v>
      </c>
      <c r="E90" s="227">
        <f>'B) D RI'!S91</f>
        <v>77</v>
      </c>
      <c r="F90" s="10">
        <f>'B) D RI'!R91</f>
        <v>1786874.9300000002</v>
      </c>
      <c r="G90" s="10">
        <f>'B) D RI'!U91</f>
        <v>23206.167922077926</v>
      </c>
      <c r="H90" s="42">
        <f>'B) D RI'!T91</f>
        <v>1647510.33</v>
      </c>
      <c r="I90" s="10">
        <f t="shared" si="12"/>
        <v>42792.476103896108</v>
      </c>
      <c r="J90" s="32">
        <f t="shared" si="8"/>
        <v>64589.989768554275</v>
      </c>
      <c r="K90" s="10">
        <f t="shared" si="9"/>
        <v>42792.476103896108</v>
      </c>
      <c r="L90" s="10">
        <f t="shared" si="13"/>
        <v>21797.513664658167</v>
      </c>
      <c r="M90" s="10">
        <f>'D) Ecrêtage'!C89</f>
        <v>23206.167922077926</v>
      </c>
      <c r="N90" s="10">
        <f t="shared" si="10"/>
        <v>30114.288147984436</v>
      </c>
      <c r="O90" s="58">
        <f t="shared" si="11"/>
        <v>72906.764251880551</v>
      </c>
      <c r="P90" s="228"/>
      <c r="Q90" s="229"/>
      <c r="R90" s="225"/>
      <c r="S90" s="225"/>
      <c r="T90" s="230"/>
    </row>
    <row r="91" spans="1:20" s="224" customFormat="1" x14ac:dyDescent="0.25">
      <c r="A91" s="327">
        <f>'A) Base RI'!A92</f>
        <v>5537</v>
      </c>
      <c r="B91" s="237" t="str">
        <f>'A) Base RI'!B92</f>
        <v>Villars-le-Terroir</v>
      </c>
      <c r="C91" s="253">
        <v>0</v>
      </c>
      <c r="D91" s="226">
        <f>'B) D RI'!AA92</f>
        <v>1150</v>
      </c>
      <c r="E91" s="227">
        <f>'B) D RI'!S92</f>
        <v>73</v>
      </c>
      <c r="F91" s="10">
        <f>'B) D RI'!R92</f>
        <v>2445837.66</v>
      </c>
      <c r="G91" s="10">
        <f>'B) D RI'!U92</f>
        <v>33504.625479452057</v>
      </c>
      <c r="H91" s="42">
        <f>'B) D RI'!T92</f>
        <v>2240894.3600000003</v>
      </c>
      <c r="I91" s="10">
        <f t="shared" si="12"/>
        <v>61394.366027397271</v>
      </c>
      <c r="J91" s="32">
        <f t="shared" si="8"/>
        <v>96591.012007590922</v>
      </c>
      <c r="K91" s="10">
        <f t="shared" si="9"/>
        <v>61394.366027397271</v>
      </c>
      <c r="L91" s="10">
        <f t="shared" si="13"/>
        <v>35196.645980193651</v>
      </c>
      <c r="M91" s="10">
        <f>'D) Ecrêtage'!C90</f>
        <v>33504.625479452057</v>
      </c>
      <c r="N91" s="10">
        <f t="shared" si="10"/>
        <v>43478.438549891158</v>
      </c>
      <c r="O91" s="58">
        <f t="shared" si="11"/>
        <v>104872.80457728842</v>
      </c>
      <c r="P91" s="228"/>
      <c r="Q91" s="229"/>
      <c r="R91" s="225"/>
      <c r="S91" s="225"/>
      <c r="T91" s="230"/>
    </row>
    <row r="92" spans="1:20" s="224" customFormat="1" x14ac:dyDescent="0.25">
      <c r="A92" s="327">
        <f>'A) Base RI'!A93</f>
        <v>5539</v>
      </c>
      <c r="B92" s="237" t="str">
        <f>'A) Base RI'!B93</f>
        <v>Vuarrens</v>
      </c>
      <c r="C92" s="253">
        <v>0</v>
      </c>
      <c r="D92" s="226">
        <f>'B) D RI'!AA93</f>
        <v>1003</v>
      </c>
      <c r="E92" s="227">
        <f>'B) D RI'!S93</f>
        <v>75</v>
      </c>
      <c r="F92" s="10">
        <f>'B) D RI'!R93</f>
        <v>2019482.4175</v>
      </c>
      <c r="G92" s="10">
        <f>'B) D RI'!U93</f>
        <v>26926.432233333333</v>
      </c>
      <c r="H92" s="42">
        <f>'B) D RI'!T93</f>
        <v>1845827.28</v>
      </c>
      <c r="I92" s="10">
        <f t="shared" si="12"/>
        <v>49222.060799999999</v>
      </c>
      <c r="J92" s="32">
        <f t="shared" si="8"/>
        <v>84244.160907490164</v>
      </c>
      <c r="K92" s="10">
        <f t="shared" si="9"/>
        <v>49222.060799999999</v>
      </c>
      <c r="L92" s="10">
        <f t="shared" si="13"/>
        <v>35022.100107490165</v>
      </c>
      <c r="M92" s="10">
        <f>'D) Ecrêtage'!C91</f>
        <v>26926.432233333333</v>
      </c>
      <c r="N92" s="10">
        <f t="shared" si="10"/>
        <v>34942.018078750902</v>
      </c>
      <c r="O92" s="58">
        <f t="shared" si="11"/>
        <v>84164.078878750908</v>
      </c>
      <c r="P92" s="228"/>
      <c r="Q92" s="229"/>
      <c r="R92" s="225"/>
      <c r="S92" s="225"/>
      <c r="T92" s="230"/>
    </row>
    <row r="93" spans="1:20" s="224" customFormat="1" x14ac:dyDescent="0.25">
      <c r="A93" s="327">
        <f>'A) Base RI'!A94</f>
        <v>5540</v>
      </c>
      <c r="B93" s="237" t="str">
        <f>'A) Base RI'!B94</f>
        <v>Montilliez</v>
      </c>
      <c r="C93" s="253">
        <v>0</v>
      </c>
      <c r="D93" s="226">
        <f>'B) D RI'!AA94</f>
        <v>1731</v>
      </c>
      <c r="E93" s="227">
        <f>'B) D RI'!S94</f>
        <v>74</v>
      </c>
      <c r="F93" s="10">
        <f>'B) D RI'!R94</f>
        <v>4216790.1050000004</v>
      </c>
      <c r="G93" s="10">
        <f>'B) D RI'!U94</f>
        <v>56983.650067567571</v>
      </c>
      <c r="H93" s="42">
        <f>'B) D RI'!T94</f>
        <v>3902204.38</v>
      </c>
      <c r="I93" s="10">
        <f t="shared" si="12"/>
        <v>105464.98324324324</v>
      </c>
      <c r="J93" s="32">
        <f t="shared" si="8"/>
        <v>145390.47111751293</v>
      </c>
      <c r="K93" s="10">
        <f t="shared" si="9"/>
        <v>105464.98324324324</v>
      </c>
      <c r="L93" s="10">
        <f t="shared" si="13"/>
        <v>39925.487874269689</v>
      </c>
      <c r="M93" s="10">
        <f>'D) Ecrêtage'!C92</f>
        <v>56983.650067567571</v>
      </c>
      <c r="N93" s="10">
        <f t="shared" si="10"/>
        <v>73946.808607984363</v>
      </c>
      <c r="O93" s="58">
        <f t="shared" si="11"/>
        <v>179411.79185122761</v>
      </c>
      <c r="P93" s="228"/>
      <c r="Q93" s="229"/>
      <c r="R93" s="225"/>
      <c r="S93" s="225"/>
      <c r="T93" s="230"/>
    </row>
    <row r="94" spans="1:20" s="224" customFormat="1" x14ac:dyDescent="0.25">
      <c r="A94" s="327">
        <f>'A) Base RI'!A95</f>
        <v>5541</v>
      </c>
      <c r="B94" s="237" t="str">
        <f>'A) Base RI'!B95</f>
        <v>Goumoëns</v>
      </c>
      <c r="C94" s="253">
        <v>0</v>
      </c>
      <c r="D94" s="226">
        <f>'B) D RI'!AA95</f>
        <v>1110</v>
      </c>
      <c r="E94" s="227">
        <f>'B) D RI'!S95</f>
        <v>77</v>
      </c>
      <c r="F94" s="10">
        <f>'B) D RI'!R95</f>
        <v>2968217.0700000003</v>
      </c>
      <c r="G94" s="10">
        <f>'B) D RI'!U95</f>
        <v>38548.273636363643</v>
      </c>
      <c r="H94" s="42">
        <f>'B) D RI'!T95</f>
        <v>2774255.5700000003</v>
      </c>
      <c r="I94" s="10">
        <f t="shared" si="12"/>
        <v>72058.58623376624</v>
      </c>
      <c r="J94" s="32">
        <f t="shared" si="8"/>
        <v>93231.324633413838</v>
      </c>
      <c r="K94" s="10">
        <f t="shared" si="9"/>
        <v>72058.58623376624</v>
      </c>
      <c r="L94" s="10">
        <f t="shared" si="13"/>
        <v>21172.738399647598</v>
      </c>
      <c r="M94" s="10">
        <f>'D) Ecrêtage'!C93</f>
        <v>38548.273636363643</v>
      </c>
      <c r="N94" s="10">
        <f t="shared" si="10"/>
        <v>50023.503397490778</v>
      </c>
      <c r="O94" s="58">
        <f t="shared" si="11"/>
        <v>122082.08963125703</v>
      </c>
      <c r="P94" s="228"/>
      <c r="Q94" s="229"/>
      <c r="R94" s="225"/>
      <c r="S94" s="225"/>
      <c r="T94" s="230"/>
    </row>
    <row r="95" spans="1:20" s="224" customFormat="1" x14ac:dyDescent="0.25">
      <c r="A95" s="327">
        <f>'A) Base RI'!A96</f>
        <v>5551</v>
      </c>
      <c r="B95" s="237" t="str">
        <f>'A) Base RI'!B96</f>
        <v>Bonvillars</v>
      </c>
      <c r="C95" s="253">
        <v>0</v>
      </c>
      <c r="D95" s="226">
        <f>'B) D RI'!AA96</f>
        <v>495</v>
      </c>
      <c r="E95" s="227">
        <f>'B) D RI'!S96</f>
        <v>55</v>
      </c>
      <c r="F95" s="10">
        <f>'B) D RI'!R96</f>
        <v>1032643.1900000001</v>
      </c>
      <c r="G95" s="10">
        <f>'B) D RI'!U96</f>
        <v>18775.330727272729</v>
      </c>
      <c r="H95" s="42">
        <f>'B) D RI'!T96</f>
        <v>924187.79</v>
      </c>
      <c r="I95" s="10">
        <f t="shared" si="12"/>
        <v>33606.828727272732</v>
      </c>
      <c r="J95" s="32">
        <f t="shared" si="8"/>
        <v>41576.131255441309</v>
      </c>
      <c r="K95" s="10">
        <f t="shared" si="9"/>
        <v>33606.828727272732</v>
      </c>
      <c r="L95" s="10">
        <f t="shared" si="13"/>
        <v>7969.3025281685768</v>
      </c>
      <c r="M95" s="10">
        <f>'D) Ecrêtage'!C94</f>
        <v>18775.330727272729</v>
      </c>
      <c r="N95" s="10">
        <f t="shared" si="10"/>
        <v>24364.458685868616</v>
      </c>
      <c r="O95" s="58">
        <f t="shared" si="11"/>
        <v>57971.287413141348</v>
      </c>
      <c r="P95" s="228"/>
      <c r="Q95" s="229"/>
      <c r="R95" s="225"/>
      <c r="S95" s="225"/>
      <c r="T95" s="230"/>
    </row>
    <row r="96" spans="1:20" s="224" customFormat="1" x14ac:dyDescent="0.25">
      <c r="A96" s="327">
        <f>'A) Base RI'!A97</f>
        <v>5552</v>
      </c>
      <c r="B96" s="237" t="str">
        <f>'A) Base RI'!B97</f>
        <v>Bullet</v>
      </c>
      <c r="C96" s="253">
        <v>0</v>
      </c>
      <c r="D96" s="226">
        <f>'B) D RI'!AA97</f>
        <v>644</v>
      </c>
      <c r="E96" s="227">
        <f>'B) D RI'!S97</f>
        <v>70</v>
      </c>
      <c r="F96" s="10">
        <f>'B) D RI'!R97</f>
        <v>1245224.29</v>
      </c>
      <c r="G96" s="10">
        <f>'B) D RI'!U97</f>
        <v>17788.918428571429</v>
      </c>
      <c r="H96" s="42">
        <f>'B) D RI'!T97</f>
        <v>1131274.79</v>
      </c>
      <c r="I96" s="10">
        <f t="shared" si="12"/>
        <v>32322.136857142857</v>
      </c>
      <c r="J96" s="32">
        <f t="shared" si="8"/>
        <v>54090.966724250909</v>
      </c>
      <c r="K96" s="10">
        <f t="shared" si="9"/>
        <v>32322.136857142857</v>
      </c>
      <c r="L96" s="10">
        <f t="shared" si="13"/>
        <v>21768.829867108052</v>
      </c>
      <c r="M96" s="10">
        <f>'D) Ecrêtage'!C95</f>
        <v>17788.918428571429</v>
      </c>
      <c r="N96" s="10">
        <f t="shared" si="10"/>
        <v>23084.40657663839</v>
      </c>
      <c r="O96" s="58">
        <f t="shared" si="11"/>
        <v>55406.543433781248</v>
      </c>
      <c r="P96" s="228"/>
      <c r="Q96" s="229"/>
      <c r="R96" s="225"/>
      <c r="S96" s="225"/>
      <c r="T96" s="230"/>
    </row>
    <row r="97" spans="1:20" s="224" customFormat="1" x14ac:dyDescent="0.25">
      <c r="A97" s="327">
        <f>'A) Base RI'!A98</f>
        <v>5553</v>
      </c>
      <c r="B97" s="237" t="str">
        <f>'A) Base RI'!B98</f>
        <v>Champagne</v>
      </c>
      <c r="C97" s="253">
        <v>0</v>
      </c>
      <c r="D97" s="226">
        <f>'B) D RI'!AA98</f>
        <v>1027</v>
      </c>
      <c r="E97" s="227">
        <f>'B) D RI'!S98</f>
        <v>65</v>
      </c>
      <c r="F97" s="10">
        <f>'B) D RI'!R98</f>
        <v>2213924.7200000002</v>
      </c>
      <c r="G97" s="10">
        <f>'B) D RI'!U98</f>
        <v>34060.380307692314</v>
      </c>
      <c r="H97" s="42">
        <f>'B) D RI'!T98</f>
        <v>1990187.62</v>
      </c>
      <c r="I97" s="10">
        <f t="shared" si="12"/>
        <v>61236.54215384616</v>
      </c>
      <c r="J97" s="32">
        <f t="shared" si="8"/>
        <v>86259.973331996414</v>
      </c>
      <c r="K97" s="10">
        <f t="shared" si="9"/>
        <v>61236.54215384616</v>
      </c>
      <c r="L97" s="10">
        <f t="shared" si="13"/>
        <v>25023.431178150255</v>
      </c>
      <c r="M97" s="10">
        <f>'D) Ecrêtage'!C96</f>
        <v>34060.380307692314</v>
      </c>
      <c r="N97" s="10">
        <f t="shared" si="10"/>
        <v>44199.633065653419</v>
      </c>
      <c r="O97" s="58">
        <f t="shared" si="11"/>
        <v>105436.17521949958</v>
      </c>
      <c r="P97" s="228"/>
      <c r="Q97" s="229"/>
      <c r="R97" s="225"/>
      <c r="S97" s="225"/>
      <c r="T97" s="230"/>
    </row>
    <row r="98" spans="1:20" s="224" customFormat="1" x14ac:dyDescent="0.25">
      <c r="A98" s="327">
        <f>'A) Base RI'!A99</f>
        <v>5554</v>
      </c>
      <c r="B98" s="237" t="str">
        <f>'A) Base RI'!B99</f>
        <v>Concise</v>
      </c>
      <c r="C98" s="253">
        <v>0</v>
      </c>
      <c r="D98" s="226">
        <f>'B) D RI'!AA99</f>
        <v>969</v>
      </c>
      <c r="E98" s="227">
        <f>'B) D RI'!S99</f>
        <v>75</v>
      </c>
      <c r="F98" s="10">
        <f>'B) D RI'!R99</f>
        <v>2377576.7600000002</v>
      </c>
      <c r="G98" s="10">
        <f>'B) D RI'!U99</f>
        <v>31701.023466666669</v>
      </c>
      <c r="H98" s="42">
        <f>'B) D RI'!T99</f>
        <v>2203646.41</v>
      </c>
      <c r="I98" s="10">
        <f t="shared" si="12"/>
        <v>58763.904266666672</v>
      </c>
      <c r="J98" s="32">
        <f t="shared" si="8"/>
        <v>81388.426639439655</v>
      </c>
      <c r="K98" s="10">
        <f t="shared" si="9"/>
        <v>58763.904266666672</v>
      </c>
      <c r="L98" s="10">
        <f t="shared" si="13"/>
        <v>22624.522372772983</v>
      </c>
      <c r="M98" s="10">
        <f>'D) Ecrêtage'!C97</f>
        <v>31701.023466666669</v>
      </c>
      <c r="N98" s="10">
        <f t="shared" si="10"/>
        <v>41137.931883746147</v>
      </c>
      <c r="O98" s="58">
        <f t="shared" si="11"/>
        <v>99901.836150412826</v>
      </c>
      <c r="P98" s="228"/>
      <c r="Q98" s="229"/>
      <c r="R98" s="225"/>
      <c r="S98" s="225"/>
      <c r="T98" s="230"/>
    </row>
    <row r="99" spans="1:20" s="224" customFormat="1" x14ac:dyDescent="0.25">
      <c r="A99" s="327">
        <f>'A) Base RI'!A100</f>
        <v>5555</v>
      </c>
      <c r="B99" s="237" t="str">
        <f>'A) Base RI'!B100</f>
        <v>Corcelles-près-Concise</v>
      </c>
      <c r="C99" s="253">
        <v>0</v>
      </c>
      <c r="D99" s="226">
        <f>'B) D RI'!AA100</f>
        <v>377</v>
      </c>
      <c r="E99" s="227">
        <f>'B) D RI'!S100</f>
        <v>71</v>
      </c>
      <c r="F99" s="10">
        <f>'B) D RI'!R100</f>
        <v>967863.21</v>
      </c>
      <c r="G99" s="10">
        <f>'B) D RI'!U100</f>
        <v>13631.876197183097</v>
      </c>
      <c r="H99" s="42">
        <f>'B) D RI'!T100</f>
        <v>884352.86</v>
      </c>
      <c r="I99" s="10">
        <f t="shared" si="12"/>
        <v>24911.348169014083</v>
      </c>
      <c r="J99" s="32">
        <f t="shared" si="8"/>
        <v>31665.053501618935</v>
      </c>
      <c r="K99" s="10">
        <f t="shared" si="9"/>
        <v>24911.348169014083</v>
      </c>
      <c r="L99" s="10">
        <f t="shared" si="13"/>
        <v>6753.7053326048517</v>
      </c>
      <c r="M99" s="10">
        <f>'D) Ecrêtage'!C98</f>
        <v>13631.876197183097</v>
      </c>
      <c r="N99" s="10">
        <f t="shared" si="10"/>
        <v>17689.876638747679</v>
      </c>
      <c r="O99" s="58">
        <f t="shared" si="11"/>
        <v>42601.224807761762</v>
      </c>
      <c r="P99" s="228"/>
      <c r="Q99" s="229"/>
      <c r="R99" s="225"/>
      <c r="S99" s="225"/>
      <c r="T99" s="230"/>
    </row>
    <row r="100" spans="1:20" s="224" customFormat="1" x14ac:dyDescent="0.25">
      <c r="A100" s="327">
        <f>'A) Base RI'!A101</f>
        <v>5556</v>
      </c>
      <c r="B100" s="237" t="str">
        <f>'A) Base RI'!B101</f>
        <v>Fiez</v>
      </c>
      <c r="C100" s="253">
        <v>0</v>
      </c>
      <c r="D100" s="226">
        <f>'B) D RI'!AA101</f>
        <v>425</v>
      </c>
      <c r="E100" s="227">
        <f>'B) D RI'!S101</f>
        <v>69</v>
      </c>
      <c r="F100" s="10">
        <f>'B) D RI'!R101</f>
        <v>890693.98666666658</v>
      </c>
      <c r="G100" s="10">
        <f>'B) D RI'!U101</f>
        <v>12908.608502415458</v>
      </c>
      <c r="H100" s="42">
        <f>'B) D RI'!T101</f>
        <v>822851.66999999993</v>
      </c>
      <c r="I100" s="10">
        <f t="shared" si="12"/>
        <v>23850.773043478257</v>
      </c>
      <c r="J100" s="32">
        <f t="shared" si="8"/>
        <v>35696.678350631424</v>
      </c>
      <c r="K100" s="10">
        <f t="shared" si="9"/>
        <v>23850.773043478257</v>
      </c>
      <c r="L100" s="10">
        <f t="shared" si="13"/>
        <v>11845.905307153167</v>
      </c>
      <c r="M100" s="10">
        <f>'D) Ecrêtage'!C99</f>
        <v>12908.608502415458</v>
      </c>
      <c r="N100" s="10">
        <f t="shared" si="10"/>
        <v>16751.303245609412</v>
      </c>
      <c r="O100" s="58">
        <f t="shared" si="11"/>
        <v>40602.076289087665</v>
      </c>
      <c r="P100" s="228"/>
      <c r="Q100" s="229"/>
      <c r="R100" s="225"/>
      <c r="S100" s="225"/>
      <c r="T100" s="230"/>
    </row>
    <row r="101" spans="1:20" s="224" customFormat="1" x14ac:dyDescent="0.25">
      <c r="A101" s="327">
        <f>'A) Base RI'!A102</f>
        <v>5557</v>
      </c>
      <c r="B101" s="237" t="str">
        <f>'A) Base RI'!B102</f>
        <v>Fontaines-sur-Grandson</v>
      </c>
      <c r="C101" s="253">
        <v>0</v>
      </c>
      <c r="D101" s="226">
        <f>'B) D RI'!AA102</f>
        <v>210</v>
      </c>
      <c r="E101" s="227">
        <f>'B) D RI'!S102</f>
        <v>69</v>
      </c>
      <c r="F101" s="10">
        <f>'B) D RI'!R102</f>
        <v>305780.5400000001</v>
      </c>
      <c r="G101" s="10">
        <f>'B) D RI'!U102</f>
        <v>4431.6020289855087</v>
      </c>
      <c r="H101" s="42">
        <f>'B) D RI'!T102</f>
        <v>274483.94000000006</v>
      </c>
      <c r="I101" s="10">
        <f t="shared" si="12"/>
        <v>7956.0562318840593</v>
      </c>
      <c r="J101" s="32">
        <f t="shared" si="8"/>
        <v>17638.358714429647</v>
      </c>
      <c r="K101" s="10">
        <f t="shared" si="9"/>
        <v>7956.0562318840593</v>
      </c>
      <c r="L101" s="10">
        <f t="shared" si="13"/>
        <v>9682.3024825455868</v>
      </c>
      <c r="M101" s="10">
        <f>'D) Ecrêtage'!C100</f>
        <v>4431.6020289855087</v>
      </c>
      <c r="N101" s="10">
        <f t="shared" si="10"/>
        <v>5750.8219756996532</v>
      </c>
      <c r="O101" s="58">
        <f t="shared" si="11"/>
        <v>13706.878207583712</v>
      </c>
      <c r="P101" s="228"/>
      <c r="Q101" s="229"/>
      <c r="R101" s="225"/>
      <c r="S101" s="225"/>
      <c r="T101" s="230"/>
    </row>
    <row r="102" spans="1:20" s="224" customFormat="1" x14ac:dyDescent="0.25">
      <c r="A102" s="327">
        <f>'A) Base RI'!A103</f>
        <v>5559</v>
      </c>
      <c r="B102" s="237" t="str">
        <f>'A) Base RI'!B103</f>
        <v>Giez</v>
      </c>
      <c r="C102" s="253">
        <v>0</v>
      </c>
      <c r="D102" s="226">
        <f>'B) D RI'!AA103</f>
        <v>421</v>
      </c>
      <c r="E102" s="227">
        <f>'B) D RI'!S103</f>
        <v>66</v>
      </c>
      <c r="F102" s="10">
        <f>'B) D RI'!R103</f>
        <v>1042119.2900000002</v>
      </c>
      <c r="G102" s="10">
        <f>'B) D RI'!U103</f>
        <v>15789.686212121214</v>
      </c>
      <c r="H102" s="42">
        <f>'B) D RI'!T103</f>
        <v>953768.19000000006</v>
      </c>
      <c r="I102" s="10">
        <f t="shared" si="12"/>
        <v>28902.066363636364</v>
      </c>
      <c r="J102" s="32">
        <f t="shared" ref="J102:J133" si="14">+$I$315/$D$315*D102</f>
        <v>35360.709613213716</v>
      </c>
      <c r="K102" s="10">
        <f t="shared" si="9"/>
        <v>28902.066363636364</v>
      </c>
      <c r="L102" s="10">
        <f t="shared" si="13"/>
        <v>6458.6432495773515</v>
      </c>
      <c r="M102" s="10">
        <f>'D) Ecrêtage'!C101</f>
        <v>15789.686212121214</v>
      </c>
      <c r="N102" s="10">
        <f t="shared" si="10"/>
        <v>20490.033596012108</v>
      </c>
      <c r="O102" s="58">
        <f t="shared" si="11"/>
        <v>49392.099959648476</v>
      </c>
      <c r="P102" s="228"/>
      <c r="Q102" s="229"/>
      <c r="R102" s="225"/>
      <c r="S102" s="225"/>
      <c r="T102" s="230"/>
    </row>
    <row r="103" spans="1:20" s="224" customFormat="1" x14ac:dyDescent="0.25">
      <c r="A103" s="327">
        <f>'A) Base RI'!A104</f>
        <v>5560</v>
      </c>
      <c r="B103" s="237" t="str">
        <f>'A) Base RI'!B104</f>
        <v>Grandevent</v>
      </c>
      <c r="C103" s="253">
        <v>0</v>
      </c>
      <c r="D103" s="226">
        <f>'B) D RI'!AA104</f>
        <v>229</v>
      </c>
      <c r="E103" s="227">
        <f>'B) D RI'!S104</f>
        <v>68</v>
      </c>
      <c r="F103" s="10">
        <f>'B) D RI'!R104</f>
        <v>425905.6</v>
      </c>
      <c r="G103" s="10">
        <f>'B) D RI'!U104</f>
        <v>6263.3176470588232</v>
      </c>
      <c r="H103" s="42">
        <f>'B) D RI'!T104</f>
        <v>385512.35</v>
      </c>
      <c r="I103" s="10">
        <f t="shared" si="12"/>
        <v>11338.598529411764</v>
      </c>
      <c r="J103" s="32">
        <f t="shared" si="14"/>
        <v>19234.210217163756</v>
      </c>
      <c r="K103" s="10">
        <f t="shared" si="9"/>
        <v>11338.598529411764</v>
      </c>
      <c r="L103" s="10">
        <f t="shared" si="13"/>
        <v>7895.6116877519926</v>
      </c>
      <c r="M103" s="10">
        <f>'D) Ecrêtage'!C102</f>
        <v>6263.3176470588232</v>
      </c>
      <c r="N103" s="10">
        <f t="shared" si="10"/>
        <v>8127.8112361860522</v>
      </c>
      <c r="O103" s="58">
        <f t="shared" si="11"/>
        <v>19466.409765597815</v>
      </c>
      <c r="P103" s="228"/>
      <c r="Q103" s="229"/>
      <c r="R103" s="225"/>
      <c r="S103" s="225"/>
      <c r="T103" s="230"/>
    </row>
    <row r="104" spans="1:20" s="224" customFormat="1" x14ac:dyDescent="0.25">
      <c r="A104" s="327">
        <f>'A) Base RI'!A105</f>
        <v>5561</v>
      </c>
      <c r="B104" s="237" t="str">
        <f>'A) Base RI'!B105</f>
        <v>Grandson</v>
      </c>
      <c r="C104" s="253">
        <v>0</v>
      </c>
      <c r="D104" s="226">
        <f>'B) D RI'!AA105</f>
        <v>3284</v>
      </c>
      <c r="E104" s="227">
        <f>'B) D RI'!S105</f>
        <v>69</v>
      </c>
      <c r="F104" s="10">
        <f>'B) D RI'!R105</f>
        <v>7980430.3600000003</v>
      </c>
      <c r="G104" s="10">
        <f>'B) D RI'!U105</f>
        <v>115658.41101449275</v>
      </c>
      <c r="H104" s="42">
        <f>'B) D RI'!T105</f>
        <v>7395983.4100000011</v>
      </c>
      <c r="I104" s="10">
        <f t="shared" si="12"/>
        <v>214376.33072463772</v>
      </c>
      <c r="J104" s="32">
        <f t="shared" si="14"/>
        <v>275830.33341993787</v>
      </c>
      <c r="K104" s="10">
        <f t="shared" si="9"/>
        <v>214376.33072463772</v>
      </c>
      <c r="L104" s="10">
        <f t="shared" si="13"/>
        <v>61454.002695300151</v>
      </c>
      <c r="M104" s="10">
        <f>'D) Ecrêtage'!C103</f>
        <v>115658.41101449275</v>
      </c>
      <c r="N104" s="10">
        <f t="shared" si="10"/>
        <v>150088.14586379068</v>
      </c>
      <c r="O104" s="58">
        <f t="shared" si="11"/>
        <v>364464.47658842837</v>
      </c>
      <c r="P104" s="228"/>
      <c r="Q104" s="229"/>
      <c r="R104" s="225"/>
      <c r="S104" s="225"/>
      <c r="T104" s="230"/>
    </row>
    <row r="105" spans="1:20" s="224" customFormat="1" x14ac:dyDescent="0.25">
      <c r="A105" s="327">
        <f>'A) Base RI'!A106</f>
        <v>5562</v>
      </c>
      <c r="B105" s="237" t="str">
        <f>'A) Base RI'!B106</f>
        <v>Mauborget</v>
      </c>
      <c r="C105" s="253">
        <v>0</v>
      </c>
      <c r="D105" s="226">
        <f>'B) D RI'!AA106</f>
        <v>119</v>
      </c>
      <c r="E105" s="227">
        <f>'B) D RI'!S106</f>
        <v>70</v>
      </c>
      <c r="F105" s="10">
        <f>'B) D RI'!R106</f>
        <v>413193.46500000003</v>
      </c>
      <c r="G105" s="10">
        <f>'B) D RI'!U106</f>
        <v>5902.7637857142863</v>
      </c>
      <c r="H105" s="42">
        <f>'B) D RI'!T106</f>
        <v>383958.84</v>
      </c>
      <c r="I105" s="10">
        <f t="shared" si="12"/>
        <v>10970.252571428573</v>
      </c>
      <c r="J105" s="32">
        <f t="shared" si="14"/>
        <v>9995.069938176799</v>
      </c>
      <c r="K105" s="10">
        <f t="shared" si="9"/>
        <v>9995.069938176799</v>
      </c>
      <c r="L105" s="10">
        <f t="shared" si="13"/>
        <v>0</v>
      </c>
      <c r="M105" s="10">
        <f>'D) Ecrêtage'!C104</f>
        <v>5902.7637857142863</v>
      </c>
      <c r="N105" s="10">
        <f t="shared" si="10"/>
        <v>7659.9260209339518</v>
      </c>
      <c r="O105" s="58">
        <f t="shared" si="11"/>
        <v>17654.995959110751</v>
      </c>
      <c r="P105" s="228"/>
      <c r="Q105" s="229"/>
      <c r="R105" s="225"/>
      <c r="S105" s="225"/>
      <c r="T105" s="230"/>
    </row>
    <row r="106" spans="1:20" s="224" customFormat="1" x14ac:dyDescent="0.25">
      <c r="A106" s="327">
        <f>'A) Base RI'!A107</f>
        <v>5563</v>
      </c>
      <c r="B106" s="237" t="str">
        <f>'A) Base RI'!B107</f>
        <v>Mutrux</v>
      </c>
      <c r="C106" s="253">
        <v>0</v>
      </c>
      <c r="D106" s="226">
        <f>'B) D RI'!AA107</f>
        <v>163</v>
      </c>
      <c r="E106" s="227">
        <f>'B) D RI'!S107</f>
        <v>78.5</v>
      </c>
      <c r="F106" s="10">
        <f>'B) D RI'!R107</f>
        <v>244078.22</v>
      </c>
      <c r="G106" s="10">
        <f>'B) D RI'!U107</f>
        <v>3109.2766878980892</v>
      </c>
      <c r="H106" s="42">
        <f>'B) D RI'!T107</f>
        <v>222878.27</v>
      </c>
      <c r="I106" s="10">
        <f t="shared" si="12"/>
        <v>5678.4272611464967</v>
      </c>
      <c r="J106" s="32">
        <f t="shared" si="14"/>
        <v>13690.726049771582</v>
      </c>
      <c r="K106" s="10">
        <f t="shared" si="9"/>
        <v>5678.4272611464967</v>
      </c>
      <c r="L106" s="10">
        <f t="shared" si="13"/>
        <v>8012.2987886250849</v>
      </c>
      <c r="M106" s="10">
        <f>'D) Ecrêtage'!C105</f>
        <v>3109.2766878980892</v>
      </c>
      <c r="N106" s="10">
        <f t="shared" si="10"/>
        <v>4034.8606640087432</v>
      </c>
      <c r="O106" s="58">
        <f t="shared" si="11"/>
        <v>9713.2879251552404</v>
      </c>
      <c r="P106" s="228"/>
      <c r="Q106" s="229"/>
      <c r="R106" s="225"/>
      <c r="S106" s="225"/>
      <c r="T106" s="230"/>
    </row>
    <row r="107" spans="1:20" s="224" customFormat="1" x14ac:dyDescent="0.25">
      <c r="A107" s="327">
        <f>'A) Base RI'!A108</f>
        <v>5564</v>
      </c>
      <c r="B107" s="237" t="str">
        <f>'A) Base RI'!B108</f>
        <v>Novalles</v>
      </c>
      <c r="C107" s="253">
        <v>0</v>
      </c>
      <c r="D107" s="226">
        <f>'B) D RI'!AA108</f>
        <v>101</v>
      </c>
      <c r="E107" s="227">
        <f>'B) D RI'!S108</f>
        <v>76</v>
      </c>
      <c r="F107" s="10">
        <f>'B) D RI'!R108</f>
        <v>199560.0275</v>
      </c>
      <c r="G107" s="10">
        <f>'B) D RI'!U108</f>
        <v>2625.7898355263155</v>
      </c>
      <c r="H107" s="42">
        <f>'B) D RI'!T108</f>
        <v>186697.84</v>
      </c>
      <c r="I107" s="10">
        <f t="shared" si="12"/>
        <v>4913.1010526315786</v>
      </c>
      <c r="J107" s="32">
        <f t="shared" si="14"/>
        <v>8483.2106197971152</v>
      </c>
      <c r="K107" s="10">
        <f t="shared" si="9"/>
        <v>4913.1010526315786</v>
      </c>
      <c r="L107" s="10">
        <f t="shared" si="13"/>
        <v>3570.1095671655366</v>
      </c>
      <c r="M107" s="10">
        <f>'D) Ecrêtage'!C106</f>
        <v>2625.7898355263155</v>
      </c>
      <c r="N107" s="10">
        <f t="shared" si="10"/>
        <v>3407.4471919966918</v>
      </c>
      <c r="O107" s="58">
        <f t="shared" si="11"/>
        <v>8320.5482446282695</v>
      </c>
      <c r="P107" s="228"/>
      <c r="Q107" s="229"/>
      <c r="R107" s="225"/>
      <c r="S107" s="225"/>
      <c r="T107" s="230"/>
    </row>
    <row r="108" spans="1:20" s="224" customFormat="1" x14ac:dyDescent="0.25">
      <c r="A108" s="327">
        <f>'A) Base RI'!A109</f>
        <v>5565</v>
      </c>
      <c r="B108" s="237" t="str">
        <f>'A) Base RI'!B109</f>
        <v>Onnens</v>
      </c>
      <c r="C108" s="253">
        <v>0</v>
      </c>
      <c r="D108" s="226">
        <f>'B) D RI'!AA109</f>
        <v>477</v>
      </c>
      <c r="E108" s="227">
        <f>'B) D RI'!S109</f>
        <v>65</v>
      </c>
      <c r="F108" s="10">
        <f>'B) D RI'!R109</f>
        <v>1201710.0099999998</v>
      </c>
      <c r="G108" s="10">
        <f>'B) D RI'!U109</f>
        <v>18487.846307692304</v>
      </c>
      <c r="H108" s="42">
        <f>'B) D RI'!T109</f>
        <v>1080367.6099999999</v>
      </c>
      <c r="I108" s="10">
        <f t="shared" si="12"/>
        <v>33242.080307692304</v>
      </c>
      <c r="J108" s="32">
        <f t="shared" si="14"/>
        <v>40064.271937061625</v>
      </c>
      <c r="K108" s="10">
        <f t="shared" si="9"/>
        <v>33242.080307692304</v>
      </c>
      <c r="L108" s="10">
        <f t="shared" si="13"/>
        <v>6822.1916293693212</v>
      </c>
      <c r="M108" s="10">
        <f>'D) Ecrêtage'!C107</f>
        <v>18487.846307692304</v>
      </c>
      <c r="N108" s="10">
        <f t="shared" si="10"/>
        <v>23991.394564365619</v>
      </c>
      <c r="O108" s="58">
        <f t="shared" si="11"/>
        <v>57233.474872057923</v>
      </c>
      <c r="P108" s="228"/>
      <c r="Q108" s="229"/>
      <c r="R108" s="225"/>
      <c r="S108" s="225"/>
      <c r="T108" s="230"/>
    </row>
    <row r="109" spans="1:20" s="224" customFormat="1" x14ac:dyDescent="0.25">
      <c r="A109" s="327">
        <f>'A) Base RI'!A110</f>
        <v>5566</v>
      </c>
      <c r="B109" s="237" t="str">
        <f>'A) Base RI'!B110</f>
        <v>Provence</v>
      </c>
      <c r="C109" s="253">
        <v>0</v>
      </c>
      <c r="D109" s="226">
        <f>'B) D RI'!AA110</f>
        <v>388</v>
      </c>
      <c r="E109" s="227">
        <f>'B) D RI'!S110</f>
        <v>81</v>
      </c>
      <c r="F109" s="10">
        <f>'B) D RI'!R110</f>
        <v>642995.02333333343</v>
      </c>
      <c r="G109" s="10">
        <f>'B) D RI'!U110</f>
        <v>7938.210164609055</v>
      </c>
      <c r="H109" s="42">
        <f>'B) D RI'!T110</f>
        <v>590228.39</v>
      </c>
      <c r="I109" s="10">
        <f t="shared" si="12"/>
        <v>14573.54049382716</v>
      </c>
      <c r="J109" s="32">
        <f t="shared" si="14"/>
        <v>32588.967529517631</v>
      </c>
      <c r="K109" s="10">
        <f t="shared" si="9"/>
        <v>14573.54049382716</v>
      </c>
      <c r="L109" s="10">
        <f t="shared" si="13"/>
        <v>18015.427035690471</v>
      </c>
      <c r="M109" s="10">
        <f>'D) Ecrêtage'!C108</f>
        <v>7938.210164609055</v>
      </c>
      <c r="N109" s="10">
        <f t="shared" si="10"/>
        <v>10301.293564667558</v>
      </c>
      <c r="O109" s="58">
        <f t="shared" si="11"/>
        <v>24874.834058494718</v>
      </c>
      <c r="P109" s="228"/>
      <c r="Q109" s="229"/>
      <c r="R109" s="225"/>
      <c r="S109" s="225"/>
      <c r="T109" s="230"/>
    </row>
    <row r="110" spans="1:20" s="224" customFormat="1" x14ac:dyDescent="0.25">
      <c r="A110" s="327">
        <f>'A) Base RI'!A111</f>
        <v>5568</v>
      </c>
      <c r="B110" s="237" t="str">
        <f>'A) Base RI'!B111</f>
        <v>Sainte-Croix</v>
      </c>
      <c r="C110" s="253">
        <v>0</v>
      </c>
      <c r="D110" s="226">
        <f>'B) D RI'!AA111</f>
        <v>4919</v>
      </c>
      <c r="E110" s="227">
        <f>'B) D RI'!S111</f>
        <v>70</v>
      </c>
      <c r="F110" s="10">
        <f>'B) D RI'!R111</f>
        <v>6974836.709999999</v>
      </c>
      <c r="G110" s="10">
        <f>'B) D RI'!U111</f>
        <v>99640.524428571414</v>
      </c>
      <c r="H110" s="42">
        <f>'B) D RI'!T111</f>
        <v>6385143.2599999998</v>
      </c>
      <c r="I110" s="10">
        <f t="shared" si="12"/>
        <v>182432.66457142856</v>
      </c>
      <c r="J110" s="32">
        <f t="shared" si="14"/>
        <v>413157.55483942584</v>
      </c>
      <c r="K110" s="10">
        <f t="shared" si="9"/>
        <v>182432.66457142856</v>
      </c>
      <c r="L110" s="10">
        <f t="shared" si="13"/>
        <v>230724.89026799728</v>
      </c>
      <c r="M110" s="10">
        <f>'D) Ecrêtage'!C109</f>
        <v>99640.524428571414</v>
      </c>
      <c r="N110" s="10">
        <f t="shared" si="10"/>
        <v>129301.98014311369</v>
      </c>
      <c r="O110" s="58">
        <f t="shared" si="11"/>
        <v>311734.64471454226</v>
      </c>
      <c r="P110" s="228"/>
      <c r="Q110" s="229"/>
      <c r="R110" s="225"/>
      <c r="S110" s="225"/>
      <c r="T110" s="230"/>
    </row>
    <row r="111" spans="1:20" s="224" customFormat="1" x14ac:dyDescent="0.25">
      <c r="A111" s="327">
        <f>'A) Base RI'!A112</f>
        <v>5571</v>
      </c>
      <c r="B111" s="237" t="str">
        <f>'A) Base RI'!B112</f>
        <v>Tévenon</v>
      </c>
      <c r="C111" s="253">
        <v>0</v>
      </c>
      <c r="D111" s="226">
        <f>'B) D RI'!AA112</f>
        <v>843</v>
      </c>
      <c r="E111" s="227">
        <f>'B) D RI'!S112</f>
        <v>73</v>
      </c>
      <c r="F111" s="10">
        <f>'B) D RI'!R112</f>
        <v>1556697.9849999999</v>
      </c>
      <c r="G111" s="10">
        <f>'B) D RI'!U112</f>
        <v>21324.629931506846</v>
      </c>
      <c r="H111" s="42">
        <f>'B) D RI'!T112</f>
        <v>1404239.91</v>
      </c>
      <c r="I111" s="10">
        <f t="shared" si="12"/>
        <v>38472.32630136986</v>
      </c>
      <c r="J111" s="32">
        <f t="shared" si="14"/>
        <v>70805.41141078186</v>
      </c>
      <c r="K111" s="10">
        <f t="shared" si="9"/>
        <v>38472.32630136986</v>
      </c>
      <c r="L111" s="10">
        <f t="shared" si="13"/>
        <v>32333.085109412001</v>
      </c>
      <c r="M111" s="10">
        <f>'D) Ecrêtage'!C110</f>
        <v>21324.629931506846</v>
      </c>
      <c r="N111" s="10">
        <f t="shared" si="10"/>
        <v>27672.645158943982</v>
      </c>
      <c r="O111" s="58">
        <f t="shared" si="11"/>
        <v>66144.971460313842</v>
      </c>
      <c r="P111" s="228"/>
      <c r="Q111" s="229"/>
      <c r="R111" s="225"/>
      <c r="S111" s="225"/>
      <c r="T111" s="230"/>
    </row>
    <row r="112" spans="1:20" s="224" customFormat="1" x14ac:dyDescent="0.25">
      <c r="A112" s="327">
        <f>'A) Base RI'!A113</f>
        <v>5581</v>
      </c>
      <c r="B112" s="237" t="str">
        <f>'A) Base RI'!B113</f>
        <v>Belmont-sur-Lausanne</v>
      </c>
      <c r="C112" s="253">
        <v>1</v>
      </c>
      <c r="D112" s="226">
        <f>'B) D RI'!AA113</f>
        <v>3662</v>
      </c>
      <c r="E112" s="227">
        <f>'B) D RI'!S113</f>
        <v>69.5</v>
      </c>
      <c r="F112" s="10">
        <f>'B) D RI'!R113</f>
        <v>13347610.14666667</v>
      </c>
      <c r="G112" s="10">
        <f>'B) D RI'!U113</f>
        <v>192051.94455635498</v>
      </c>
      <c r="H112" s="42">
        <f>'B) D RI'!T113</f>
        <v>12498186.280000003</v>
      </c>
      <c r="I112" s="10">
        <f t="shared" si="12"/>
        <v>359660.03683453245</v>
      </c>
      <c r="J112" s="32">
        <f t="shared" si="14"/>
        <v>307579.37910591124</v>
      </c>
      <c r="K112" s="10">
        <f t="shared" si="9"/>
        <v>0</v>
      </c>
      <c r="L112" s="10">
        <f t="shared" si="13"/>
        <v>307579.37910591124</v>
      </c>
      <c r="M112" s="10">
        <f>'D) Ecrêtage'!C111</f>
        <v>192051.94455635498</v>
      </c>
      <c r="N112" s="10">
        <f t="shared" si="10"/>
        <v>249222.86252391036</v>
      </c>
      <c r="O112" s="58">
        <f t="shared" si="11"/>
        <v>249222.86252391036</v>
      </c>
      <c r="P112" s="228"/>
      <c r="Q112" s="229"/>
      <c r="R112" s="225"/>
      <c r="S112" s="225"/>
      <c r="T112" s="230"/>
    </row>
    <row r="113" spans="1:20" s="224" customFormat="1" x14ac:dyDescent="0.25">
      <c r="A113" s="327">
        <f>'A) Base RI'!A114</f>
        <v>5582</v>
      </c>
      <c r="B113" s="237" t="str">
        <f>'A) Base RI'!B114</f>
        <v>Cheseaux-sur-Lausanne</v>
      </c>
      <c r="C113" s="253">
        <v>0</v>
      </c>
      <c r="D113" s="226">
        <f>'B) D RI'!AA114</f>
        <v>4357</v>
      </c>
      <c r="E113" s="227">
        <f>'B) D RI'!S114</f>
        <v>74.5</v>
      </c>
      <c r="F113" s="10">
        <f>'B) D RI'!R114</f>
        <v>13335697.49</v>
      </c>
      <c r="G113" s="10">
        <f>'B) D RI'!U114</f>
        <v>179002.65087248324</v>
      </c>
      <c r="H113" s="42">
        <f>'B) D RI'!T114</f>
        <v>12472744.24</v>
      </c>
      <c r="I113" s="10">
        <f t="shared" si="12"/>
        <v>334838.77154362417</v>
      </c>
      <c r="J113" s="32">
        <f t="shared" si="14"/>
        <v>365953.9472322379</v>
      </c>
      <c r="K113" s="10">
        <f t="shared" si="9"/>
        <v>334838.77154362417</v>
      </c>
      <c r="L113" s="10">
        <f t="shared" si="13"/>
        <v>31115.17568861373</v>
      </c>
      <c r="M113" s="10">
        <f>'D) Ecrêtage'!C112</f>
        <v>179002.65087248324</v>
      </c>
      <c r="N113" s="10">
        <f t="shared" si="10"/>
        <v>232288.99427632595</v>
      </c>
      <c r="O113" s="58">
        <f t="shared" si="11"/>
        <v>567127.76581995015</v>
      </c>
      <c r="P113" s="228"/>
      <c r="Q113" s="229"/>
      <c r="R113" s="225"/>
      <c r="S113" s="225"/>
      <c r="T113" s="230"/>
    </row>
    <row r="114" spans="1:20" s="224" customFormat="1" x14ac:dyDescent="0.25">
      <c r="A114" s="327">
        <f>'A) Base RI'!A115</f>
        <v>5583</v>
      </c>
      <c r="B114" s="237" t="str">
        <f>'A) Base RI'!B115</f>
        <v>Crissier</v>
      </c>
      <c r="C114" s="253">
        <v>1</v>
      </c>
      <c r="D114" s="226">
        <f>'B) D RI'!AA115</f>
        <v>8008</v>
      </c>
      <c r="E114" s="227">
        <f>'B) D RI'!S115</f>
        <v>65</v>
      </c>
      <c r="F114" s="10">
        <f>'B) D RI'!R115</f>
        <v>19145451.189999998</v>
      </c>
      <c r="G114" s="10">
        <f>'B) D RI'!U115</f>
        <v>294545.40292307688</v>
      </c>
      <c r="H114" s="42">
        <f>'B) D RI'!T115</f>
        <v>16672842.640000001</v>
      </c>
      <c r="I114" s="10">
        <f t="shared" si="12"/>
        <v>513010.54276923079</v>
      </c>
      <c r="J114" s="32">
        <f t="shared" si="14"/>
        <v>672609.41231025045</v>
      </c>
      <c r="K114" s="10">
        <f t="shared" si="9"/>
        <v>0</v>
      </c>
      <c r="L114" s="10">
        <f t="shared" si="13"/>
        <v>672609.41231025045</v>
      </c>
      <c r="M114" s="10">
        <f>'D) Ecrêtage'!C113</f>
        <v>294545.40292307688</v>
      </c>
      <c r="N114" s="10">
        <f t="shared" si="10"/>
        <v>382227.05127678294</v>
      </c>
      <c r="O114" s="58">
        <f t="shared" si="11"/>
        <v>382227.05127678294</v>
      </c>
      <c r="P114" s="228"/>
      <c r="Q114" s="229"/>
      <c r="R114" s="225"/>
      <c r="S114" s="225"/>
      <c r="T114" s="230"/>
    </row>
    <row r="115" spans="1:20" s="224" customFormat="1" x14ac:dyDescent="0.25">
      <c r="A115" s="327">
        <f>'A) Base RI'!A116</f>
        <v>5584</v>
      </c>
      <c r="B115" s="237" t="str">
        <f>'A) Base RI'!B116</f>
        <v>Epalinges</v>
      </c>
      <c r="C115" s="253">
        <v>0</v>
      </c>
      <c r="D115" s="226">
        <f>'B) D RI'!AA116</f>
        <v>9335</v>
      </c>
      <c r="E115" s="227">
        <f>'B) D RI'!S116</f>
        <v>66</v>
      </c>
      <c r="F115" s="10">
        <f>'B) D RI'!R116</f>
        <v>27350274.210000001</v>
      </c>
      <c r="G115" s="10">
        <f>'B) D RI'!U116</f>
        <v>414398.09409090912</v>
      </c>
      <c r="H115" s="42">
        <f>'B) D RI'!T116</f>
        <v>25068724.210000001</v>
      </c>
      <c r="I115" s="10">
        <f t="shared" si="12"/>
        <v>759658.30939393945</v>
      </c>
      <c r="J115" s="32">
        <f t="shared" si="14"/>
        <v>784067.0409485749</v>
      </c>
      <c r="K115" s="10">
        <f t="shared" si="9"/>
        <v>759658.30939393945</v>
      </c>
      <c r="L115" s="10">
        <f t="shared" si="13"/>
        <v>24408.731554635451</v>
      </c>
      <c r="M115" s="10">
        <f>'D) Ecrêtage'!C114</f>
        <v>414398.09409090912</v>
      </c>
      <c r="N115" s="10">
        <f t="shared" si="10"/>
        <v>537758.05015857972</v>
      </c>
      <c r="O115" s="58">
        <f t="shared" si="11"/>
        <v>1297416.3595525192</v>
      </c>
      <c r="P115" s="228"/>
      <c r="Q115" s="229"/>
      <c r="R115" s="225"/>
      <c r="S115" s="225"/>
      <c r="T115" s="230"/>
    </row>
    <row r="116" spans="1:20" s="224" customFormat="1" x14ac:dyDescent="0.25">
      <c r="A116" s="327">
        <f>'A) Base RI'!A117</f>
        <v>5585</v>
      </c>
      <c r="B116" s="237" t="str">
        <f>'A) Base RI'!B117</f>
        <v>Jouxtens-Mézery</v>
      </c>
      <c r="C116" s="253">
        <v>0</v>
      </c>
      <c r="D116" s="226">
        <f>'B) D RI'!AA117</f>
        <v>1469</v>
      </c>
      <c r="E116" s="227">
        <f>'B) D RI'!S117</f>
        <v>53</v>
      </c>
      <c r="F116" s="10">
        <f>'B) D RI'!R117</f>
        <v>9094093.2300000004</v>
      </c>
      <c r="G116" s="10">
        <f>'B) D RI'!U117</f>
        <v>171586.66471698115</v>
      </c>
      <c r="H116" s="42">
        <f>'B) D RI'!T117</f>
        <v>8617176.4800000004</v>
      </c>
      <c r="I116" s="10">
        <f t="shared" si="12"/>
        <v>325176.47094339627</v>
      </c>
      <c r="J116" s="32">
        <f t="shared" si="14"/>
        <v>123384.51881665309</v>
      </c>
      <c r="K116" s="10">
        <f t="shared" si="9"/>
        <v>123384.51881665309</v>
      </c>
      <c r="L116" s="10">
        <f t="shared" si="13"/>
        <v>0</v>
      </c>
      <c r="M116" s="10">
        <f>'D) Ecrêtage'!C115</f>
        <v>171586.66471698115</v>
      </c>
      <c r="N116" s="10">
        <f t="shared" si="10"/>
        <v>222665.38279776796</v>
      </c>
      <c r="O116" s="58">
        <f t="shared" si="11"/>
        <v>346049.90161442105</v>
      </c>
      <c r="P116" s="228"/>
      <c r="Q116" s="229"/>
      <c r="R116" s="225"/>
      <c r="S116" s="225"/>
      <c r="T116" s="230"/>
    </row>
    <row r="117" spans="1:20" s="224" customFormat="1" x14ac:dyDescent="0.25">
      <c r="A117" s="327">
        <f>'A) Base RI'!A118</f>
        <v>5586</v>
      </c>
      <c r="B117" s="237" t="str">
        <f>'A) Base RI'!B118</f>
        <v>Lausanne</v>
      </c>
      <c r="C117" s="253">
        <v>1</v>
      </c>
      <c r="D117" s="226">
        <f>'B) D RI'!AA118</f>
        <v>139624</v>
      </c>
      <c r="E117" s="227">
        <f>'B) D RI'!S118</f>
        <v>79</v>
      </c>
      <c r="F117" s="10">
        <f>'B) D RI'!R118</f>
        <v>463872998.35000008</v>
      </c>
      <c r="G117" s="10">
        <f>'B) D RI'!U118</f>
        <v>5871810.1056962032</v>
      </c>
      <c r="H117" s="42">
        <f>'B) D RI'!T118</f>
        <v>435586806.25000006</v>
      </c>
      <c r="I117" s="10">
        <f t="shared" si="12"/>
        <v>11027514.082278483</v>
      </c>
      <c r="J117" s="32">
        <f t="shared" si="14"/>
        <v>11727324.748302499</v>
      </c>
      <c r="K117" s="10">
        <f t="shared" si="9"/>
        <v>0</v>
      </c>
      <c r="L117" s="10">
        <f t="shared" si="13"/>
        <v>11727324.748302499</v>
      </c>
      <c r="M117" s="10">
        <f>'D) Ecrêtage'!C116</f>
        <v>5871810.1056962032</v>
      </c>
      <c r="N117" s="10">
        <f t="shared" si="10"/>
        <v>7619757.9051797679</v>
      </c>
      <c r="O117" s="58">
        <f t="shared" si="11"/>
        <v>7619757.9051797679</v>
      </c>
      <c r="P117" s="228"/>
      <c r="Q117" s="229"/>
      <c r="R117" s="225"/>
      <c r="S117" s="225"/>
      <c r="T117" s="230"/>
    </row>
    <row r="118" spans="1:20" s="224" customFormat="1" x14ac:dyDescent="0.25">
      <c r="A118" s="327">
        <f>'A) Base RI'!A119</f>
        <v>5587</v>
      </c>
      <c r="B118" s="237" t="str">
        <f>'A) Base RI'!B119</f>
        <v>Le Mont-sur-Lausanne</v>
      </c>
      <c r="C118" s="253">
        <v>0</v>
      </c>
      <c r="D118" s="226">
        <f>'B) D RI'!AA119</f>
        <v>8093</v>
      </c>
      <c r="E118" s="227">
        <f>'B) D RI'!S119</f>
        <v>75</v>
      </c>
      <c r="F118" s="10">
        <f>'B) D RI'!R119</f>
        <v>31195923.475000001</v>
      </c>
      <c r="G118" s="10">
        <f>'B) D RI'!U119</f>
        <v>415945.64633333334</v>
      </c>
      <c r="H118" s="42">
        <f>'B) D RI'!T119</f>
        <v>28986918.050000001</v>
      </c>
      <c r="I118" s="10">
        <f t="shared" si="12"/>
        <v>772984.4813333333</v>
      </c>
      <c r="J118" s="32">
        <f t="shared" si="14"/>
        <v>679748.74798037671</v>
      </c>
      <c r="K118" s="10">
        <f t="shared" si="9"/>
        <v>679748.74798037671</v>
      </c>
      <c r="L118" s="10">
        <f t="shared" si="13"/>
        <v>0</v>
      </c>
      <c r="M118" s="10">
        <f>'D) Ecrêtage'!C117</f>
        <v>415945.64633333334</v>
      </c>
      <c r="N118" s="10">
        <f t="shared" si="10"/>
        <v>539766.2849653305</v>
      </c>
      <c r="O118" s="58">
        <f t="shared" si="11"/>
        <v>1219515.0329457072</v>
      </c>
      <c r="P118" s="228"/>
      <c r="Q118" s="229"/>
      <c r="R118" s="225"/>
      <c r="S118" s="225"/>
      <c r="T118" s="230"/>
    </row>
    <row r="119" spans="1:20" s="224" customFormat="1" x14ac:dyDescent="0.25">
      <c r="A119" s="327">
        <f>'A) Base RI'!A120</f>
        <v>5588</v>
      </c>
      <c r="B119" s="237" t="str">
        <f>'A) Base RI'!B120</f>
        <v>Paudex</v>
      </c>
      <c r="C119" s="253">
        <v>1</v>
      </c>
      <c r="D119" s="226">
        <f>'B) D RI'!AA120</f>
        <v>1480</v>
      </c>
      <c r="E119" s="227">
        <f>'B) D RI'!S120</f>
        <v>61.5</v>
      </c>
      <c r="F119" s="10">
        <f>'B) D RI'!R120</f>
        <v>9053429.0385714304</v>
      </c>
      <c r="G119" s="10">
        <f>'B) D RI'!U120</f>
        <v>147210.22826945415</v>
      </c>
      <c r="H119" s="42">
        <f>'B) D RI'!T120</f>
        <v>8519572.0600000005</v>
      </c>
      <c r="I119" s="10">
        <f t="shared" si="12"/>
        <v>277059.25398373988</v>
      </c>
      <c r="J119" s="32">
        <f t="shared" si="14"/>
        <v>124308.43284455179</v>
      </c>
      <c r="K119" s="10">
        <f t="shared" si="9"/>
        <v>0</v>
      </c>
      <c r="L119" s="10">
        <f t="shared" si="13"/>
        <v>124308.43284455179</v>
      </c>
      <c r="M119" s="10">
        <f>'D) Ecrêtage'!C118</f>
        <v>147210.22826945415</v>
      </c>
      <c r="N119" s="10">
        <f t="shared" si="10"/>
        <v>191032.45513531368</v>
      </c>
      <c r="O119" s="58">
        <f t="shared" si="11"/>
        <v>191032.45513531368</v>
      </c>
      <c r="P119" s="228"/>
      <c r="Q119" s="229"/>
      <c r="R119" s="225"/>
      <c r="S119" s="225"/>
      <c r="T119" s="230"/>
    </row>
    <row r="120" spans="1:20" s="224" customFormat="1" x14ac:dyDescent="0.25">
      <c r="A120" s="327">
        <f>'A) Base RI'!A121</f>
        <v>5589</v>
      </c>
      <c r="B120" s="237" t="str">
        <f>'A) Base RI'!B121</f>
        <v>Prilly</v>
      </c>
      <c r="C120" s="253">
        <v>1</v>
      </c>
      <c r="D120" s="226">
        <f>'B) D RI'!AA121</f>
        <v>12105</v>
      </c>
      <c r="E120" s="227">
        <f>'B) D RI'!S121</f>
        <v>73.5</v>
      </c>
      <c r="F120" s="10">
        <f>'B) D RI'!R121</f>
        <v>29198714.799999997</v>
      </c>
      <c r="G120" s="10">
        <f>'B) D RI'!U121</f>
        <v>397261.42585034011</v>
      </c>
      <c r="H120" s="42">
        <f>'B) D RI'!T121</f>
        <v>26927153.499999996</v>
      </c>
      <c r="I120" s="10">
        <f t="shared" si="12"/>
        <v>732711.65986394545</v>
      </c>
      <c r="J120" s="32">
        <f t="shared" si="14"/>
        <v>1016725.3916103374</v>
      </c>
      <c r="K120" s="10">
        <f t="shared" si="9"/>
        <v>0</v>
      </c>
      <c r="L120" s="10">
        <f t="shared" si="13"/>
        <v>1016725.3916103374</v>
      </c>
      <c r="M120" s="10">
        <f>'D) Ecrêtage'!C119</f>
        <v>397261.42585034011</v>
      </c>
      <c r="N120" s="10">
        <f t="shared" si="10"/>
        <v>515520.05864590342</v>
      </c>
      <c r="O120" s="58">
        <f t="shared" si="11"/>
        <v>515520.05864590342</v>
      </c>
      <c r="P120" s="228"/>
      <c r="Q120" s="229"/>
      <c r="R120" s="225"/>
      <c r="S120" s="225"/>
      <c r="T120" s="230"/>
    </row>
    <row r="121" spans="1:20" s="224" customFormat="1" x14ac:dyDescent="0.25">
      <c r="A121" s="327">
        <f>'A) Base RI'!A122</f>
        <v>5590</v>
      </c>
      <c r="B121" s="237" t="str">
        <f>'A) Base RI'!B122</f>
        <v>Pully</v>
      </c>
      <c r="C121" s="253">
        <v>1</v>
      </c>
      <c r="D121" s="226">
        <f>'B) D RI'!AA122</f>
        <v>18194</v>
      </c>
      <c r="E121" s="227">
        <f>'B) D RI'!S122</f>
        <v>61</v>
      </c>
      <c r="F121" s="10">
        <f>'B) D RI'!R122</f>
        <v>87602319.104285717</v>
      </c>
      <c r="G121" s="10">
        <f>'B) D RI'!U122</f>
        <v>1436103.5918735364</v>
      </c>
      <c r="H121" s="42">
        <f>'B) D RI'!T122</f>
        <v>82624866.590000004</v>
      </c>
      <c r="I121" s="10">
        <f t="shared" si="12"/>
        <v>2709012.0193442623</v>
      </c>
      <c r="J121" s="32">
        <f t="shared" si="14"/>
        <v>1528153.8021444427</v>
      </c>
      <c r="K121" s="10">
        <f t="shared" si="9"/>
        <v>0</v>
      </c>
      <c r="L121" s="10">
        <f t="shared" si="13"/>
        <v>1528153.8021444427</v>
      </c>
      <c r="M121" s="10">
        <f>'D) Ecrêtage'!C120</f>
        <v>1436103.5918735364</v>
      </c>
      <c r="N121" s="10">
        <f t="shared" si="10"/>
        <v>1863609.6024665271</v>
      </c>
      <c r="O121" s="58">
        <f t="shared" si="11"/>
        <v>1863609.6024665271</v>
      </c>
      <c r="P121" s="228"/>
      <c r="Q121" s="229"/>
      <c r="R121" s="225"/>
      <c r="S121" s="225"/>
      <c r="T121" s="230"/>
    </row>
    <row r="122" spans="1:20" s="224" customFormat="1" x14ac:dyDescent="0.25">
      <c r="A122" s="327">
        <f>'A) Base RI'!A123</f>
        <v>5591</v>
      </c>
      <c r="B122" s="237" t="str">
        <f>'A) Base RI'!B123</f>
        <v>Renens</v>
      </c>
      <c r="C122" s="253">
        <v>1</v>
      </c>
      <c r="D122" s="226">
        <f>'B) D RI'!AA123</f>
        <v>21114</v>
      </c>
      <c r="E122" s="227">
        <f>'B) D RI'!S123</f>
        <v>78.5</v>
      </c>
      <c r="F122" s="10">
        <f>'B) D RI'!R123</f>
        <v>41307431.247142851</v>
      </c>
      <c r="G122" s="10">
        <f>'B) D RI'!U123</f>
        <v>526209.31525022746</v>
      </c>
      <c r="H122" s="42">
        <f>'B) D RI'!T123</f>
        <v>37483257.739999995</v>
      </c>
      <c r="I122" s="10">
        <f t="shared" si="12"/>
        <v>954987.45834394894</v>
      </c>
      <c r="J122" s="32">
        <f t="shared" si="14"/>
        <v>1773410.9804593693</v>
      </c>
      <c r="K122" s="10">
        <f t="shared" si="9"/>
        <v>0</v>
      </c>
      <c r="L122" s="10">
        <f t="shared" si="13"/>
        <v>1773410.9804593693</v>
      </c>
      <c r="M122" s="10">
        <f>'D) Ecrêtage'!C121</f>
        <v>526209.31525022746</v>
      </c>
      <c r="N122" s="10">
        <f t="shared" si="10"/>
        <v>682853.75676019897</v>
      </c>
      <c r="O122" s="58">
        <f t="shared" si="11"/>
        <v>682853.75676019897</v>
      </c>
      <c r="P122" s="228"/>
      <c r="Q122" s="229"/>
      <c r="R122" s="225"/>
      <c r="S122" s="225"/>
      <c r="T122" s="230"/>
    </row>
    <row r="123" spans="1:20" s="224" customFormat="1" x14ac:dyDescent="0.25">
      <c r="A123" s="327">
        <f>'A) Base RI'!A124</f>
        <v>5592</v>
      </c>
      <c r="B123" s="237" t="str">
        <f>'A) Base RI'!B124</f>
        <v>Romanel-sur-Lausanne</v>
      </c>
      <c r="C123" s="253">
        <v>0</v>
      </c>
      <c r="D123" s="226">
        <f>'B) D RI'!AA124</f>
        <v>3300</v>
      </c>
      <c r="E123" s="227">
        <f>'B) D RI'!S124</f>
        <v>70</v>
      </c>
      <c r="F123" s="10">
        <f>'B) D RI'!R124</f>
        <v>7804897.8299999991</v>
      </c>
      <c r="G123" s="10">
        <f>'B) D RI'!U124</f>
        <v>111498.54042857142</v>
      </c>
      <c r="H123" s="42">
        <f>'B) D RI'!T124</f>
        <v>7003902.0799999991</v>
      </c>
      <c r="I123" s="10">
        <f t="shared" si="12"/>
        <v>200111.48799999998</v>
      </c>
      <c r="J123" s="32">
        <f t="shared" si="14"/>
        <v>277174.20836960874</v>
      </c>
      <c r="K123" s="10">
        <f t="shared" si="9"/>
        <v>200111.48799999998</v>
      </c>
      <c r="L123" s="10">
        <f t="shared" si="13"/>
        <v>77062.720369608753</v>
      </c>
      <c r="M123" s="10">
        <f>'D) Ecrêtage'!C122</f>
        <v>111498.54042857142</v>
      </c>
      <c r="N123" s="10">
        <f t="shared" si="10"/>
        <v>144689.94561360724</v>
      </c>
      <c r="O123" s="58">
        <f t="shared" si="11"/>
        <v>344801.43361360719</v>
      </c>
      <c r="P123" s="228"/>
      <c r="Q123" s="229"/>
      <c r="R123" s="225"/>
      <c r="S123" s="225"/>
      <c r="T123" s="230"/>
    </row>
    <row r="124" spans="1:20" s="224" customFormat="1" x14ac:dyDescent="0.25">
      <c r="A124" s="327">
        <f>'A) Base RI'!A125</f>
        <v>5601</v>
      </c>
      <c r="B124" s="237" t="str">
        <f>'A) Base RI'!B125</f>
        <v>Chexbres</v>
      </c>
      <c r="C124" s="253">
        <v>1</v>
      </c>
      <c r="D124" s="226">
        <f>'B) D RI'!AA125</f>
        <v>2250</v>
      </c>
      <c r="E124" s="227">
        <f>'B) D RI'!S125</f>
        <v>64</v>
      </c>
      <c r="F124" s="10">
        <f>'B) D RI'!R125</f>
        <v>7477303.7000000002</v>
      </c>
      <c r="G124" s="10">
        <f>'B) D RI'!U125</f>
        <v>116832.8703125</v>
      </c>
      <c r="H124" s="42">
        <f>'B) D RI'!T125</f>
        <v>7029732.0499999998</v>
      </c>
      <c r="I124" s="10">
        <f t="shared" si="12"/>
        <v>219679.12656249999</v>
      </c>
      <c r="J124" s="32">
        <f t="shared" si="14"/>
        <v>188982.41479746049</v>
      </c>
      <c r="K124" s="10">
        <f t="shared" si="9"/>
        <v>0</v>
      </c>
      <c r="L124" s="10">
        <f t="shared" si="13"/>
        <v>188982.41479746049</v>
      </c>
      <c r="M124" s="10">
        <f>'D) Ecrêtage'!C123</f>
        <v>116832.8703125</v>
      </c>
      <c r="N124" s="10">
        <f t="shared" si="10"/>
        <v>151612.2236795261</v>
      </c>
      <c r="O124" s="58">
        <f t="shared" si="11"/>
        <v>151612.2236795261</v>
      </c>
      <c r="P124" s="228"/>
      <c r="Q124" s="229"/>
      <c r="R124" s="225"/>
      <c r="S124" s="225"/>
      <c r="T124" s="230"/>
    </row>
    <row r="125" spans="1:20" s="224" customFormat="1" x14ac:dyDescent="0.25">
      <c r="A125" s="327">
        <f>'A) Base RI'!A126</f>
        <v>5604</v>
      </c>
      <c r="B125" s="237" t="str">
        <f>'A) Base RI'!B126</f>
        <v>Forel (Lavaux)</v>
      </c>
      <c r="C125" s="253">
        <v>0</v>
      </c>
      <c r="D125" s="226">
        <f>'B) D RI'!AA126</f>
        <v>2084</v>
      </c>
      <c r="E125" s="227">
        <f>'B) D RI'!S126</f>
        <v>68</v>
      </c>
      <c r="F125" s="10">
        <f>'B) D RI'!R126</f>
        <v>4701811.4099999992</v>
      </c>
      <c r="G125" s="10">
        <f>'B) D RI'!U126</f>
        <v>69144.285441176457</v>
      </c>
      <c r="H125" s="42">
        <f>'B) D RI'!T126</f>
        <v>4324482.209999999</v>
      </c>
      <c r="I125" s="10">
        <f t="shared" si="12"/>
        <v>127190.65323529408</v>
      </c>
      <c r="J125" s="32">
        <f t="shared" si="14"/>
        <v>175039.71219462564</v>
      </c>
      <c r="K125" s="10">
        <f t="shared" si="9"/>
        <v>127190.65323529408</v>
      </c>
      <c r="L125" s="10">
        <f t="shared" si="13"/>
        <v>47849.058959331553</v>
      </c>
      <c r="M125" s="10">
        <f>'D) Ecrêtage'!C124</f>
        <v>69144.285441176457</v>
      </c>
      <c r="N125" s="10">
        <f t="shared" si="10"/>
        <v>89727.478597665249</v>
      </c>
      <c r="O125" s="58">
        <f t="shared" si="11"/>
        <v>216918.13183295933</v>
      </c>
      <c r="P125" s="228"/>
      <c r="Q125" s="229"/>
      <c r="R125" s="225"/>
      <c r="S125" s="225"/>
      <c r="T125" s="230"/>
    </row>
    <row r="126" spans="1:20" s="224" customFormat="1" x14ac:dyDescent="0.25">
      <c r="A126" s="327">
        <f>'A) Base RI'!A127</f>
        <v>5606</v>
      </c>
      <c r="B126" s="237" t="str">
        <f>'A) Base RI'!B127</f>
        <v>Lutry</v>
      </c>
      <c r="C126" s="253">
        <v>1</v>
      </c>
      <c r="D126" s="226">
        <f>'B) D RI'!AA127</f>
        <v>10001</v>
      </c>
      <c r="E126" s="227">
        <f>'B) D RI'!S127</f>
        <v>55.5</v>
      </c>
      <c r="F126" s="10">
        <f>'B) D RI'!R127</f>
        <v>45471836.751428574</v>
      </c>
      <c r="G126" s="10">
        <f>'B) D RI'!U127</f>
        <v>819312.37389961397</v>
      </c>
      <c r="H126" s="42">
        <f>'B) D RI'!T127</f>
        <v>42534350.68</v>
      </c>
      <c r="I126" s="10">
        <f t="shared" si="12"/>
        <v>1532769.3938738739</v>
      </c>
      <c r="J126" s="32">
        <f t="shared" si="14"/>
        <v>840005.83572862321</v>
      </c>
      <c r="K126" s="10">
        <f t="shared" si="9"/>
        <v>0</v>
      </c>
      <c r="L126" s="10">
        <f t="shared" si="13"/>
        <v>840005.83572862321</v>
      </c>
      <c r="M126" s="10">
        <f>'D) Ecrêtage'!C125</f>
        <v>819312.37389961397</v>
      </c>
      <c r="N126" s="10">
        <f t="shared" si="10"/>
        <v>1063209.0999974487</v>
      </c>
      <c r="O126" s="58">
        <f t="shared" si="11"/>
        <v>1063209.0999974487</v>
      </c>
      <c r="P126" s="228"/>
      <c r="Q126" s="229"/>
      <c r="R126" s="225"/>
      <c r="S126" s="225"/>
      <c r="T126" s="230"/>
    </row>
    <row r="127" spans="1:20" s="224" customFormat="1" x14ac:dyDescent="0.25">
      <c r="A127" s="327">
        <f>'A) Base RI'!A128</f>
        <v>5607</v>
      </c>
      <c r="B127" s="237" t="str">
        <f>'A) Base RI'!B128</f>
        <v>Puidoux</v>
      </c>
      <c r="C127" s="253">
        <v>1</v>
      </c>
      <c r="D127" s="226">
        <f>'B) D RI'!AA128</f>
        <v>2904</v>
      </c>
      <c r="E127" s="227">
        <f>'B) D RI'!S128</f>
        <v>70</v>
      </c>
      <c r="F127" s="10">
        <f>'B) D RI'!R128</f>
        <v>7333758.8073913045</v>
      </c>
      <c r="G127" s="10">
        <f>'B) D RI'!U128</f>
        <v>104767.98296273292</v>
      </c>
      <c r="H127" s="42">
        <f>'B) D RI'!T128</f>
        <v>6676880.54</v>
      </c>
      <c r="I127" s="10">
        <f t="shared" si="12"/>
        <v>190768.01542857144</v>
      </c>
      <c r="J127" s="32">
        <f t="shared" si="14"/>
        <v>243913.30336525568</v>
      </c>
      <c r="K127" s="10">
        <f t="shared" si="9"/>
        <v>0</v>
      </c>
      <c r="L127" s="10">
        <f t="shared" si="13"/>
        <v>243913.30336525568</v>
      </c>
      <c r="M127" s="10">
        <f>'D) Ecrêtage'!C126</f>
        <v>104767.98296273292</v>
      </c>
      <c r="N127" s="10">
        <f t="shared" si="10"/>
        <v>135955.80443168478</v>
      </c>
      <c r="O127" s="58">
        <f t="shared" si="11"/>
        <v>135955.80443168478</v>
      </c>
      <c r="P127" s="228"/>
      <c r="Q127" s="229"/>
      <c r="R127" s="225"/>
      <c r="S127" s="225"/>
      <c r="T127" s="230"/>
    </row>
    <row r="128" spans="1:20" s="224" customFormat="1" x14ac:dyDescent="0.25">
      <c r="A128" s="327">
        <f>'A) Base RI'!A129</f>
        <v>5609</v>
      </c>
      <c r="B128" s="237" t="str">
        <f>'A) Base RI'!B129</f>
        <v>Rivaz</v>
      </c>
      <c r="C128" s="253">
        <v>1</v>
      </c>
      <c r="D128" s="226">
        <f>'B) D RI'!AA129</f>
        <v>351</v>
      </c>
      <c r="E128" s="227">
        <f>'B) D RI'!S129</f>
        <v>63.5</v>
      </c>
      <c r="F128" s="10">
        <f>'B) D RI'!R129</f>
        <v>987440.25000000023</v>
      </c>
      <c r="G128" s="10">
        <f>'B) D RI'!U129</f>
        <v>15550.240157480319</v>
      </c>
      <c r="H128" s="42">
        <f>'B) D RI'!T129</f>
        <v>933218.35000000021</v>
      </c>
      <c r="I128" s="10">
        <f t="shared" si="12"/>
        <v>29392.703937007882</v>
      </c>
      <c r="J128" s="32">
        <f t="shared" si="14"/>
        <v>29481.256708403835</v>
      </c>
      <c r="K128" s="10">
        <f t="shared" si="9"/>
        <v>0</v>
      </c>
      <c r="L128" s="10">
        <f t="shared" si="13"/>
        <v>29481.256708403835</v>
      </c>
      <c r="M128" s="10">
        <f>'D) Ecrêtage'!C127</f>
        <v>15550.240157480319</v>
      </c>
      <c r="N128" s="10">
        <f t="shared" si="10"/>
        <v>20179.30812382013</v>
      </c>
      <c r="O128" s="58">
        <f t="shared" si="11"/>
        <v>20179.30812382013</v>
      </c>
      <c r="P128" s="228"/>
      <c r="Q128" s="229"/>
      <c r="R128" s="225"/>
      <c r="S128" s="225"/>
      <c r="T128" s="230"/>
    </row>
    <row r="129" spans="1:20" s="224" customFormat="1" x14ac:dyDescent="0.25">
      <c r="A129" s="327">
        <f>'A) Base RI'!A130</f>
        <v>5610</v>
      </c>
      <c r="B129" s="237" t="str">
        <f>'A) Base RI'!B130</f>
        <v>St-Saphorin (Lavaux)</v>
      </c>
      <c r="C129" s="253">
        <v>1</v>
      </c>
      <c r="D129" s="226">
        <f>'B) D RI'!AA130</f>
        <v>389</v>
      </c>
      <c r="E129" s="227">
        <f>'B) D RI'!S130</f>
        <v>67</v>
      </c>
      <c r="F129" s="10">
        <f>'B) D RI'!R130</f>
        <v>1028148.2699999999</v>
      </c>
      <c r="G129" s="10">
        <f>'B) D RI'!U130</f>
        <v>15345.496567164178</v>
      </c>
      <c r="H129" s="42">
        <f>'B) D RI'!T130</f>
        <v>938086.21999999986</v>
      </c>
      <c r="I129" s="10">
        <f t="shared" si="12"/>
        <v>28002.57373134328</v>
      </c>
      <c r="J129" s="32">
        <f t="shared" si="14"/>
        <v>32672.959713872056</v>
      </c>
      <c r="K129" s="10">
        <f t="shared" si="9"/>
        <v>0</v>
      </c>
      <c r="L129" s="10">
        <f t="shared" si="13"/>
        <v>32672.959713872056</v>
      </c>
      <c r="M129" s="10">
        <f>'D) Ecrêtage'!C128</f>
        <v>15345.496567164178</v>
      </c>
      <c r="N129" s="10">
        <f t="shared" si="10"/>
        <v>19913.615507273684</v>
      </c>
      <c r="O129" s="58">
        <f t="shared" si="11"/>
        <v>19913.615507273684</v>
      </c>
      <c r="P129" s="228"/>
      <c r="Q129" s="229"/>
      <c r="R129" s="225"/>
      <c r="S129" s="225"/>
      <c r="T129" s="230"/>
    </row>
    <row r="130" spans="1:20" s="224" customFormat="1" x14ac:dyDescent="0.25">
      <c r="A130" s="327">
        <f>'A) Base RI'!A131</f>
        <v>5611</v>
      </c>
      <c r="B130" s="237" t="str">
        <f>'A) Base RI'!B131</f>
        <v>Savigny</v>
      </c>
      <c r="C130" s="253">
        <v>1</v>
      </c>
      <c r="D130" s="226">
        <f>'B) D RI'!AA131</f>
        <v>3352</v>
      </c>
      <c r="E130" s="227">
        <f>'B) D RI'!S131</f>
        <v>69</v>
      </c>
      <c r="F130" s="10">
        <f>'B) D RI'!R131</f>
        <v>9106811.4283333328</v>
      </c>
      <c r="G130" s="10">
        <f>'B) D RI'!U131</f>
        <v>131982.7743236715</v>
      </c>
      <c r="H130" s="42">
        <f>'B) D RI'!T131</f>
        <v>8477447.1199999992</v>
      </c>
      <c r="I130" s="10">
        <f t="shared" si="12"/>
        <v>245723.10492753622</v>
      </c>
      <c r="J130" s="32">
        <f t="shared" si="14"/>
        <v>281541.80195603892</v>
      </c>
      <c r="K130" s="10">
        <f t="shared" si="9"/>
        <v>0</v>
      </c>
      <c r="L130" s="10">
        <f t="shared" si="13"/>
        <v>281541.80195603892</v>
      </c>
      <c r="M130" s="10">
        <f>'D) Ecrêtage'!C129</f>
        <v>131982.7743236715</v>
      </c>
      <c r="N130" s="10">
        <f t="shared" si="10"/>
        <v>171272.02172712516</v>
      </c>
      <c r="O130" s="58">
        <f t="shared" si="11"/>
        <v>171272.02172712516</v>
      </c>
      <c r="P130" s="228"/>
      <c r="Q130" s="229"/>
      <c r="R130" s="225"/>
      <c r="S130" s="225"/>
      <c r="T130" s="230"/>
    </row>
    <row r="131" spans="1:20" s="224" customFormat="1" x14ac:dyDescent="0.25">
      <c r="A131" s="327">
        <f>'A) Base RI'!A132</f>
        <v>5613</v>
      </c>
      <c r="B131" s="237" t="str">
        <f>'A) Base RI'!B132</f>
        <v>Bourg-en-Lavaux</v>
      </c>
      <c r="C131" s="253">
        <v>1</v>
      </c>
      <c r="D131" s="226">
        <f>'B) D RI'!AA132</f>
        <v>5288</v>
      </c>
      <c r="E131" s="227">
        <f>'B) D RI'!S132</f>
        <v>61</v>
      </c>
      <c r="F131" s="10">
        <f>'B) D RI'!R132</f>
        <v>20119004.396666665</v>
      </c>
      <c r="G131" s="10">
        <f>'B) D RI'!U132</f>
        <v>329819.74420765025</v>
      </c>
      <c r="H131" s="42">
        <f>'B) D RI'!T132</f>
        <v>18810295.73</v>
      </c>
      <c r="I131" s="10">
        <f t="shared" si="12"/>
        <v>616731.00754098361</v>
      </c>
      <c r="J131" s="32">
        <f t="shared" si="14"/>
        <v>444150.67086620937</v>
      </c>
      <c r="K131" s="10">
        <f t="shared" si="9"/>
        <v>0</v>
      </c>
      <c r="L131" s="10">
        <f t="shared" si="13"/>
        <v>444150.67086620937</v>
      </c>
      <c r="M131" s="10">
        <f>'D) Ecrêtage'!C130</f>
        <v>329819.74420765025</v>
      </c>
      <c r="N131" s="10">
        <f t="shared" si="10"/>
        <v>428002.02288092137</v>
      </c>
      <c r="O131" s="58">
        <f t="shared" si="11"/>
        <v>428002.02288092137</v>
      </c>
      <c r="P131" s="228"/>
      <c r="Q131" s="229"/>
      <c r="R131" s="225"/>
      <c r="S131" s="225"/>
      <c r="T131" s="230"/>
    </row>
    <row r="132" spans="1:20" s="224" customFormat="1" x14ac:dyDescent="0.25">
      <c r="A132" s="327">
        <f>'A) Base RI'!A133</f>
        <v>5621</v>
      </c>
      <c r="B132" s="237" t="str">
        <f>'A) Base RI'!B133</f>
        <v>Aclens</v>
      </c>
      <c r="C132" s="253">
        <v>0</v>
      </c>
      <c r="D132" s="226">
        <f>'B) D RI'!AA133</f>
        <v>545</v>
      </c>
      <c r="E132" s="227">
        <f>'B) D RI'!S133</f>
        <v>62</v>
      </c>
      <c r="F132" s="10">
        <f>'B) D RI'!R133</f>
        <v>1844627.3863636362</v>
      </c>
      <c r="G132" s="10">
        <f>'B) D RI'!U133</f>
        <v>29752.054618768325</v>
      </c>
      <c r="H132" s="42">
        <f>'B) D RI'!T133</f>
        <v>1573471.1</v>
      </c>
      <c r="I132" s="10">
        <f t="shared" si="12"/>
        <v>50757.132258064521</v>
      </c>
      <c r="J132" s="32">
        <f t="shared" si="14"/>
        <v>45775.740473162652</v>
      </c>
      <c r="K132" s="10">
        <f t="shared" si="9"/>
        <v>45775.740473162652</v>
      </c>
      <c r="L132" s="10">
        <f t="shared" si="13"/>
        <v>0</v>
      </c>
      <c r="M132" s="10">
        <f>'D) Ecrêtage'!C131</f>
        <v>29752.054618768325</v>
      </c>
      <c r="N132" s="10">
        <f t="shared" si="10"/>
        <v>38608.784905488799</v>
      </c>
      <c r="O132" s="58">
        <f t="shared" si="11"/>
        <v>84384.525378651451</v>
      </c>
      <c r="P132" s="228"/>
      <c r="Q132" s="229"/>
      <c r="R132" s="225"/>
      <c r="S132" s="225"/>
      <c r="T132" s="230"/>
    </row>
    <row r="133" spans="1:20" s="224" customFormat="1" x14ac:dyDescent="0.25">
      <c r="A133" s="327">
        <f>'A) Base RI'!A134</f>
        <v>5622</v>
      </c>
      <c r="B133" s="237" t="str">
        <f>'A) Base RI'!B134</f>
        <v>Bremblens</v>
      </c>
      <c r="C133" s="253">
        <v>0</v>
      </c>
      <c r="D133" s="226">
        <f>'B) D RI'!AA134</f>
        <v>547</v>
      </c>
      <c r="E133" s="227">
        <f>'B) D RI'!S134</f>
        <v>66</v>
      </c>
      <c r="F133" s="10">
        <f>'B) D RI'!R134</f>
        <v>1984327.3</v>
      </c>
      <c r="G133" s="10">
        <f>'B) D RI'!U134</f>
        <v>30065.565151515151</v>
      </c>
      <c r="H133" s="42">
        <f>'B) D RI'!T134</f>
        <v>1844219.3</v>
      </c>
      <c r="I133" s="10">
        <f t="shared" si="12"/>
        <v>55885.433333333334</v>
      </c>
      <c r="J133" s="32">
        <f t="shared" si="14"/>
        <v>45943.724841871503</v>
      </c>
      <c r="K133" s="10">
        <f t="shared" si="9"/>
        <v>45943.724841871503</v>
      </c>
      <c r="L133" s="10">
        <f t="shared" si="13"/>
        <v>0</v>
      </c>
      <c r="M133" s="10">
        <f>'D) Ecrêtage'!C132</f>
        <v>30065.565151515151</v>
      </c>
      <c r="N133" s="10">
        <f t="shared" si="10"/>
        <v>39015.622714827579</v>
      </c>
      <c r="O133" s="58">
        <f t="shared" si="11"/>
        <v>84959.347556699082</v>
      </c>
      <c r="P133" s="228"/>
      <c r="Q133" s="229"/>
      <c r="R133" s="225"/>
      <c r="S133" s="225"/>
      <c r="T133" s="230"/>
    </row>
    <row r="134" spans="1:20" s="224" customFormat="1" x14ac:dyDescent="0.25">
      <c r="A134" s="327">
        <f>'A) Base RI'!A135</f>
        <v>5623</v>
      </c>
      <c r="B134" s="237" t="str">
        <f>'A) Base RI'!B135</f>
        <v>Buchillon</v>
      </c>
      <c r="C134" s="253">
        <v>1</v>
      </c>
      <c r="D134" s="226">
        <f>'B) D RI'!AA135</f>
        <v>638</v>
      </c>
      <c r="E134" s="227">
        <f>'B) D RI'!S135</f>
        <v>53</v>
      </c>
      <c r="F134" s="10">
        <f>'B) D RI'!R135</f>
        <v>3960189.03</v>
      </c>
      <c r="G134" s="10">
        <f>'B) D RI'!U135</f>
        <v>74720.547735849046</v>
      </c>
      <c r="H134" s="42">
        <f>'B) D RI'!T135</f>
        <v>3642681.73</v>
      </c>
      <c r="I134" s="10">
        <f t="shared" si="12"/>
        <v>137459.68792452829</v>
      </c>
      <c r="J134" s="32">
        <f t="shared" ref="J134:J169" si="15">+$I$315/$D$315*D134</f>
        <v>53587.013618124351</v>
      </c>
      <c r="K134" s="10">
        <f t="shared" ref="K134:K192" si="16">IF(C134=1,0,IF(J134&gt;I134,I134,J134))</f>
        <v>0</v>
      </c>
      <c r="L134" s="10">
        <f t="shared" si="13"/>
        <v>53587.013618124351</v>
      </c>
      <c r="M134" s="10">
        <f>'D) Ecrêtage'!C133</f>
        <v>74720.547735849046</v>
      </c>
      <c r="N134" s="10">
        <f t="shared" ref="N134:N192" si="17">+$N$5*M134</f>
        <v>96963.708641952326</v>
      </c>
      <c r="O134" s="58">
        <f t="shared" ref="O134:O192" si="18">+N134+K134</f>
        <v>96963.708641952326</v>
      </c>
      <c r="P134" s="228"/>
      <c r="Q134" s="229"/>
      <c r="R134" s="225"/>
      <c r="S134" s="225"/>
      <c r="T134" s="230"/>
    </row>
    <row r="135" spans="1:20" s="224" customFormat="1" x14ac:dyDescent="0.25">
      <c r="A135" s="327">
        <f>'A) Base RI'!A136</f>
        <v>5624</v>
      </c>
      <c r="B135" s="237" t="str">
        <f>'A) Base RI'!B136</f>
        <v>Bussigny</v>
      </c>
      <c r="C135" s="253">
        <v>1</v>
      </c>
      <c r="D135" s="226">
        <f>'B) D RI'!AA136</f>
        <v>8677</v>
      </c>
      <c r="E135" s="227">
        <f>'B) D RI'!S136</f>
        <v>62</v>
      </c>
      <c r="F135" s="10">
        <f>'B) D RI'!R136</f>
        <v>19427856.880000003</v>
      </c>
      <c r="G135" s="10">
        <f>'B) D RI'!U136</f>
        <v>313352.53032258071</v>
      </c>
      <c r="H135" s="42">
        <f>'B) D RI'!T136</f>
        <v>17364093.530000001</v>
      </c>
      <c r="I135" s="10">
        <f t="shared" ref="I135:I193" si="19">+H135/E135*$I$5</f>
        <v>560132.04935483879</v>
      </c>
      <c r="J135" s="32">
        <f t="shared" si="15"/>
        <v>728800.18364336202</v>
      </c>
      <c r="K135" s="10">
        <f t="shared" si="16"/>
        <v>0</v>
      </c>
      <c r="L135" s="10">
        <f t="shared" ref="L135:L193" si="20">+J135-K135</f>
        <v>728800.18364336202</v>
      </c>
      <c r="M135" s="10">
        <f>'D) Ecrêtage'!C134</f>
        <v>313352.53032258071</v>
      </c>
      <c r="N135" s="10">
        <f t="shared" si="17"/>
        <v>406632.77201646974</v>
      </c>
      <c r="O135" s="58">
        <f t="shared" si="18"/>
        <v>406632.77201646974</v>
      </c>
      <c r="P135" s="228"/>
      <c r="Q135" s="229"/>
      <c r="R135" s="225"/>
      <c r="S135" s="225"/>
      <c r="T135" s="230"/>
    </row>
    <row r="136" spans="1:20" s="224" customFormat="1" x14ac:dyDescent="0.25">
      <c r="A136" s="327">
        <f>'A) Base RI'!A137</f>
        <v>5625</v>
      </c>
      <c r="B136" s="237" t="str">
        <f>'A) Base RI'!B137</f>
        <v>Bussy-Chardonney</v>
      </c>
      <c r="C136" s="253">
        <v>0</v>
      </c>
      <c r="D136" s="226">
        <f>'B) D RI'!AA137</f>
        <v>371</v>
      </c>
      <c r="E136" s="227">
        <f>'B) D RI'!S137</f>
        <v>78</v>
      </c>
      <c r="F136" s="10">
        <f>'B) D RI'!R137</f>
        <v>1064520.2533333334</v>
      </c>
      <c r="G136" s="10">
        <f>'B) D RI'!U137</f>
        <v>13647.695555555556</v>
      </c>
      <c r="H136" s="42">
        <f>'B) D RI'!T137</f>
        <v>967601.42</v>
      </c>
      <c r="I136" s="10">
        <f t="shared" si="19"/>
        <v>24810.292820512823</v>
      </c>
      <c r="J136" s="32">
        <f t="shared" si="15"/>
        <v>31161.100395492373</v>
      </c>
      <c r="K136" s="10">
        <f t="shared" si="16"/>
        <v>24810.292820512823</v>
      </c>
      <c r="L136" s="10">
        <f t="shared" si="20"/>
        <v>6350.8075749795498</v>
      </c>
      <c r="M136" s="10">
        <f>'D) Ecrêtage'!C135</f>
        <v>13647.695555555556</v>
      </c>
      <c r="N136" s="10">
        <f t="shared" si="17"/>
        <v>17710.405177451015</v>
      </c>
      <c r="O136" s="58">
        <f t="shared" si="18"/>
        <v>42520.697997963842</v>
      </c>
      <c r="P136" s="228"/>
      <c r="Q136" s="229"/>
      <c r="R136" s="225"/>
      <c r="S136" s="225"/>
      <c r="T136" s="230"/>
    </row>
    <row r="137" spans="1:20" s="224" customFormat="1" x14ac:dyDescent="0.25">
      <c r="A137" s="327">
        <f>'A) Base RI'!A138</f>
        <v>5627</v>
      </c>
      <c r="B137" s="237" t="str">
        <f>'A) Base RI'!B138</f>
        <v>Chavannes-près-Renens</v>
      </c>
      <c r="C137" s="253">
        <v>1</v>
      </c>
      <c r="D137" s="226">
        <f>'B) D RI'!AA138</f>
        <v>7653</v>
      </c>
      <c r="E137" s="227">
        <f>'B) D RI'!S138</f>
        <v>79</v>
      </c>
      <c r="F137" s="10">
        <f>'B) D RI'!R138</f>
        <v>13251471.793333331</v>
      </c>
      <c r="G137" s="10">
        <f>'B) D RI'!U138</f>
        <v>167740.14928270038</v>
      </c>
      <c r="H137" s="42">
        <f>'B) D RI'!T138</f>
        <v>12171760.409999996</v>
      </c>
      <c r="I137" s="10">
        <f t="shared" si="19"/>
        <v>308145.83316455688</v>
      </c>
      <c r="J137" s="32">
        <f t="shared" si="15"/>
        <v>642792.18686442892</v>
      </c>
      <c r="K137" s="10">
        <f t="shared" si="16"/>
        <v>0</v>
      </c>
      <c r="L137" s="10">
        <f t="shared" si="20"/>
        <v>642792.18686442892</v>
      </c>
      <c r="M137" s="10">
        <f>'D) Ecrêtage'!C136</f>
        <v>167740.14928270038</v>
      </c>
      <c r="N137" s="10">
        <f t="shared" si="17"/>
        <v>217673.81872124513</v>
      </c>
      <c r="O137" s="58">
        <f t="shared" si="18"/>
        <v>217673.81872124513</v>
      </c>
      <c r="P137" s="228"/>
      <c r="Q137" s="229"/>
      <c r="R137" s="225"/>
      <c r="S137" s="225"/>
      <c r="T137" s="230"/>
    </row>
    <row r="138" spans="1:20" s="224" customFormat="1" x14ac:dyDescent="0.25">
      <c r="A138" s="327">
        <f>'A) Base RI'!A139</f>
        <v>5628</v>
      </c>
      <c r="B138" s="237" t="str">
        <f>'A) Base RI'!B139</f>
        <v>Chigny</v>
      </c>
      <c r="C138" s="253">
        <v>0</v>
      </c>
      <c r="D138" s="226">
        <f>'B) D RI'!AA139</f>
        <v>338</v>
      </c>
      <c r="E138" s="227">
        <f>'B) D RI'!S139</f>
        <v>62</v>
      </c>
      <c r="F138" s="10">
        <f>'B) D RI'!R139</f>
        <v>1209827.77</v>
      </c>
      <c r="G138" s="10">
        <f>'B) D RI'!U139</f>
        <v>19513.351129032257</v>
      </c>
      <c r="H138" s="42">
        <f>'B) D RI'!T139</f>
        <v>1126700.57</v>
      </c>
      <c r="I138" s="10">
        <f t="shared" si="19"/>
        <v>36345.179677419357</v>
      </c>
      <c r="J138" s="32">
        <f t="shared" si="15"/>
        <v>28389.358311796288</v>
      </c>
      <c r="K138" s="10">
        <f t="shared" si="16"/>
        <v>28389.358311796288</v>
      </c>
      <c r="L138" s="10">
        <f t="shared" si="20"/>
        <v>0</v>
      </c>
      <c r="M138" s="10">
        <f>'D) Ecrêtage'!C137</f>
        <v>19513.351129032257</v>
      </c>
      <c r="N138" s="10">
        <f t="shared" si="17"/>
        <v>25322.176440575255</v>
      </c>
      <c r="O138" s="58">
        <f t="shared" si="18"/>
        <v>53711.534752371546</v>
      </c>
      <c r="P138" s="228"/>
      <c r="Q138" s="229"/>
      <c r="R138" s="225"/>
      <c r="S138" s="225"/>
      <c r="T138" s="230"/>
    </row>
    <row r="139" spans="1:20" s="224" customFormat="1" x14ac:dyDescent="0.25">
      <c r="A139" s="327">
        <f>'A) Base RI'!A140</f>
        <v>5629</v>
      </c>
      <c r="B139" s="237" t="str">
        <f>'A) Base RI'!B140</f>
        <v>Clarmont</v>
      </c>
      <c r="C139" s="253">
        <v>0</v>
      </c>
      <c r="D139" s="226">
        <f>'B) D RI'!AA140</f>
        <v>189</v>
      </c>
      <c r="E139" s="227">
        <f>'B) D RI'!S140</f>
        <v>75</v>
      </c>
      <c r="F139" s="10">
        <f>'B) D RI'!R140</f>
        <v>558216.95000000007</v>
      </c>
      <c r="G139" s="10">
        <f>'B) D RI'!U140</f>
        <v>7442.8926666666675</v>
      </c>
      <c r="H139" s="42">
        <f>'B) D RI'!T140</f>
        <v>520579.30000000005</v>
      </c>
      <c r="I139" s="10">
        <f t="shared" si="19"/>
        <v>13882.114666666668</v>
      </c>
      <c r="J139" s="32">
        <f t="shared" si="15"/>
        <v>15874.52284298668</v>
      </c>
      <c r="K139" s="10">
        <f t="shared" si="16"/>
        <v>13882.114666666668</v>
      </c>
      <c r="L139" s="10">
        <f t="shared" si="20"/>
        <v>1992.408176320012</v>
      </c>
      <c r="M139" s="10">
        <f>'D) Ecrêtage'!C138</f>
        <v>7442.8926666666675</v>
      </c>
      <c r="N139" s="10">
        <f t="shared" si="17"/>
        <v>9658.5276453713868</v>
      </c>
      <c r="O139" s="58">
        <f t="shared" si="18"/>
        <v>23540.642312038057</v>
      </c>
      <c r="P139" s="228"/>
      <c r="Q139" s="229"/>
      <c r="R139" s="225"/>
      <c r="S139" s="225"/>
      <c r="T139" s="230"/>
    </row>
    <row r="140" spans="1:20" s="224" customFormat="1" x14ac:dyDescent="0.25">
      <c r="A140" s="327">
        <f>'A) Base RI'!A141</f>
        <v>5631</v>
      </c>
      <c r="B140" s="237" t="str">
        <f>'A) Base RI'!B141</f>
        <v>Denens</v>
      </c>
      <c r="C140" s="253">
        <v>0</v>
      </c>
      <c r="D140" s="226">
        <f>'B) D RI'!AA141</f>
        <v>774</v>
      </c>
      <c r="E140" s="227">
        <f>'B) D RI'!S141</f>
        <v>70</v>
      </c>
      <c r="F140" s="10">
        <f>'B) D RI'!R141</f>
        <v>3175706.46</v>
      </c>
      <c r="G140" s="10">
        <f>'B) D RI'!U141</f>
        <v>45367.235142857142</v>
      </c>
      <c r="H140" s="42">
        <f>'B) D RI'!T141</f>
        <v>2982565.91</v>
      </c>
      <c r="I140" s="10">
        <f t="shared" si="19"/>
        <v>85216.168857142868</v>
      </c>
      <c r="J140" s="32">
        <f t="shared" si="15"/>
        <v>65009.950690326405</v>
      </c>
      <c r="K140" s="10">
        <f t="shared" si="16"/>
        <v>65009.950690326405</v>
      </c>
      <c r="L140" s="10">
        <f t="shared" si="20"/>
        <v>0</v>
      </c>
      <c r="M140" s="10">
        <f>'D) Ecrêtage'!C139</f>
        <v>45367.235142857142</v>
      </c>
      <c r="N140" s="10">
        <f t="shared" si="17"/>
        <v>58872.36514692226</v>
      </c>
      <c r="O140" s="58">
        <f t="shared" si="18"/>
        <v>123882.31583724867</v>
      </c>
      <c r="P140" s="228"/>
      <c r="Q140" s="229"/>
      <c r="R140" s="225"/>
      <c r="S140" s="225"/>
      <c r="T140" s="230"/>
    </row>
    <row r="141" spans="1:20" s="224" customFormat="1" x14ac:dyDescent="0.25">
      <c r="A141" s="327">
        <f>'A) Base RI'!A142</f>
        <v>5632</v>
      </c>
      <c r="B141" s="237" t="str">
        <f>'A) Base RI'!B142</f>
        <v>Denges</v>
      </c>
      <c r="C141" s="253">
        <v>0</v>
      </c>
      <c r="D141" s="226">
        <f>'B) D RI'!AA142</f>
        <v>1614</v>
      </c>
      <c r="E141" s="227">
        <f>'B) D RI'!S142</f>
        <v>62</v>
      </c>
      <c r="F141" s="10">
        <f>'B) D RI'!R142</f>
        <v>4164201.2</v>
      </c>
      <c r="G141" s="10">
        <f>'B) D RI'!U142</f>
        <v>67164.535483870975</v>
      </c>
      <c r="H141" s="42">
        <f>'B) D RI'!T142</f>
        <v>3818182.0000000005</v>
      </c>
      <c r="I141" s="10">
        <f t="shared" si="19"/>
        <v>123167.16129032259</v>
      </c>
      <c r="J141" s="32">
        <f t="shared" si="15"/>
        <v>135563.38554804499</v>
      </c>
      <c r="K141" s="10">
        <f t="shared" si="16"/>
        <v>123167.16129032259</v>
      </c>
      <c r="L141" s="10">
        <f t="shared" si="20"/>
        <v>12396.224257722395</v>
      </c>
      <c r="M141" s="10">
        <f>'D) Ecrêtage'!C140</f>
        <v>67164.535483870975</v>
      </c>
      <c r="N141" s="10">
        <f t="shared" si="17"/>
        <v>87158.387445888453</v>
      </c>
      <c r="O141" s="58">
        <f t="shared" si="18"/>
        <v>210325.54873621103</v>
      </c>
      <c r="P141" s="228"/>
      <c r="Q141" s="229"/>
      <c r="R141" s="225"/>
      <c r="S141" s="225"/>
      <c r="T141" s="230"/>
    </row>
    <row r="142" spans="1:20" s="224" customFormat="1" x14ac:dyDescent="0.25">
      <c r="A142" s="327">
        <f>'A) Base RI'!A143</f>
        <v>5633</v>
      </c>
      <c r="B142" s="237" t="str">
        <f>'A) Base RI'!B143</f>
        <v>Echandens</v>
      </c>
      <c r="C142" s="253">
        <v>0</v>
      </c>
      <c r="D142" s="226">
        <f>'B) D RI'!AA143</f>
        <v>2757</v>
      </c>
      <c r="E142" s="227">
        <f>'B) D RI'!S143</f>
        <v>62</v>
      </c>
      <c r="F142" s="10">
        <f>'B) D RI'!R143</f>
        <v>8191118.9100000001</v>
      </c>
      <c r="G142" s="10">
        <f>'B) D RI'!U143</f>
        <v>132114.82112903227</v>
      </c>
      <c r="H142" s="42">
        <f>'B) D RI'!T143</f>
        <v>7572589.7600000007</v>
      </c>
      <c r="I142" s="10">
        <f t="shared" si="19"/>
        <v>244277.08903225808</v>
      </c>
      <c r="J142" s="32">
        <f t="shared" si="15"/>
        <v>231566.45226515492</v>
      </c>
      <c r="K142" s="10">
        <f t="shared" si="16"/>
        <v>231566.45226515492</v>
      </c>
      <c r="L142" s="10">
        <f t="shared" si="20"/>
        <v>0</v>
      </c>
      <c r="M142" s="10">
        <f>'D) Ecrêtage'!C141</f>
        <v>132114.82112903227</v>
      </c>
      <c r="N142" s="10">
        <f t="shared" si="17"/>
        <v>171443.37684094693</v>
      </c>
      <c r="O142" s="58">
        <f t="shared" si="18"/>
        <v>403009.82910610188</v>
      </c>
      <c r="P142" s="228"/>
      <c r="Q142" s="229"/>
      <c r="R142" s="225"/>
      <c r="S142" s="225"/>
      <c r="T142" s="230"/>
    </row>
    <row r="143" spans="1:20" s="224" customFormat="1" x14ac:dyDescent="0.25">
      <c r="A143" s="327">
        <f>'A) Base RI'!A144</f>
        <v>5634</v>
      </c>
      <c r="B143" s="237" t="str">
        <f>'A) Base RI'!B144</f>
        <v>Echichens</v>
      </c>
      <c r="C143" s="253">
        <v>0</v>
      </c>
      <c r="D143" s="226">
        <f>'B) D RI'!AA144</f>
        <v>2712</v>
      </c>
      <c r="E143" s="227">
        <f>'B) D RI'!S144</f>
        <v>68</v>
      </c>
      <c r="F143" s="10">
        <f>'B) D RI'!R144</f>
        <v>8615371.1999999993</v>
      </c>
      <c r="G143" s="10">
        <f>'B) D RI'!U144</f>
        <v>126696.63529411763</v>
      </c>
      <c r="H143" s="42">
        <f>'B) D RI'!T144</f>
        <v>8029957.3999999985</v>
      </c>
      <c r="I143" s="10">
        <f t="shared" si="19"/>
        <v>236175.21764705877</v>
      </c>
      <c r="J143" s="32">
        <f t="shared" si="15"/>
        <v>227786.80396920571</v>
      </c>
      <c r="K143" s="10">
        <f t="shared" si="16"/>
        <v>227786.80396920571</v>
      </c>
      <c r="L143" s="10">
        <f t="shared" si="20"/>
        <v>0</v>
      </c>
      <c r="M143" s="10">
        <f>'D) Ecrêtage'!C142</f>
        <v>126696.63529411763</v>
      </c>
      <c r="N143" s="10">
        <f t="shared" si="17"/>
        <v>164412.2801937183</v>
      </c>
      <c r="O143" s="58">
        <f t="shared" si="18"/>
        <v>392199.08416292397</v>
      </c>
      <c r="P143" s="228"/>
      <c r="Q143" s="229"/>
      <c r="R143" s="225"/>
      <c r="S143" s="225"/>
      <c r="T143" s="230"/>
    </row>
    <row r="144" spans="1:20" s="224" customFormat="1" x14ac:dyDescent="0.25">
      <c r="A144" s="327">
        <f>'A) Base RI'!A145</f>
        <v>5635</v>
      </c>
      <c r="B144" s="237" t="str">
        <f>'A) Base RI'!B145</f>
        <v>Ecublens</v>
      </c>
      <c r="C144" s="253">
        <v>1</v>
      </c>
      <c r="D144" s="226">
        <f>'B) D RI'!AA145</f>
        <v>12560</v>
      </c>
      <c r="E144" s="227">
        <f>'B) D RI'!S145</f>
        <v>62</v>
      </c>
      <c r="F144" s="10">
        <f>'B) D RI'!R145</f>
        <v>27810612.961578947</v>
      </c>
      <c r="G144" s="10">
        <f>'B) D RI'!U145</f>
        <v>448558.27357385395</v>
      </c>
      <c r="H144" s="42">
        <f>'B) D RI'!T145</f>
        <v>25230056.029999997</v>
      </c>
      <c r="I144" s="10">
        <f t="shared" si="19"/>
        <v>813872.77516129019</v>
      </c>
      <c r="J144" s="32">
        <f t="shared" si="15"/>
        <v>1054941.8354916016</v>
      </c>
      <c r="K144" s="10">
        <f t="shared" si="16"/>
        <v>0</v>
      </c>
      <c r="L144" s="10">
        <f t="shared" si="20"/>
        <v>1054941.8354916016</v>
      </c>
      <c r="M144" s="10">
        <f>'D) Ecrêtage'!C143</f>
        <v>448558.27357385395</v>
      </c>
      <c r="N144" s="10">
        <f t="shared" si="17"/>
        <v>582087.19108311692</v>
      </c>
      <c r="O144" s="58">
        <f t="shared" si="18"/>
        <v>582087.19108311692</v>
      </c>
      <c r="P144" s="228"/>
      <c r="Q144" s="229"/>
      <c r="R144" s="225"/>
      <c r="S144" s="225"/>
      <c r="T144" s="230"/>
    </row>
    <row r="145" spans="1:20" s="224" customFormat="1" x14ac:dyDescent="0.25">
      <c r="A145" s="327">
        <f>'A) Base RI'!A146</f>
        <v>5636</v>
      </c>
      <c r="B145" s="237" t="str">
        <f>'A) Base RI'!B146</f>
        <v>Etoy</v>
      </c>
      <c r="C145" s="253">
        <v>0</v>
      </c>
      <c r="D145" s="226">
        <f>'B) D RI'!AA146</f>
        <v>2908</v>
      </c>
      <c r="E145" s="227">
        <f>'B) D RI'!S146</f>
        <v>61</v>
      </c>
      <c r="F145" s="10">
        <f>'B) D RI'!R146</f>
        <v>9217443.2400000021</v>
      </c>
      <c r="G145" s="10">
        <f>'B) D RI'!U146</f>
        <v>151105.62688524593</v>
      </c>
      <c r="H145" s="42">
        <f>'B) D RI'!T146</f>
        <v>8148818.5900000017</v>
      </c>
      <c r="I145" s="10">
        <f t="shared" si="19"/>
        <v>267174.38000000006</v>
      </c>
      <c r="J145" s="32">
        <f t="shared" si="15"/>
        <v>244249.27210267336</v>
      </c>
      <c r="K145" s="10">
        <f t="shared" si="16"/>
        <v>244249.27210267336</v>
      </c>
      <c r="L145" s="10">
        <f t="shared" si="20"/>
        <v>0</v>
      </c>
      <c r="M145" s="10">
        <f>'D) Ecrêtage'!C144</f>
        <v>151105.62688524593</v>
      </c>
      <c r="N145" s="10">
        <f t="shared" si="17"/>
        <v>196087.45416665351</v>
      </c>
      <c r="O145" s="58">
        <f t="shared" si="18"/>
        <v>440336.72626932687</v>
      </c>
      <c r="P145" s="228"/>
      <c r="Q145" s="229"/>
      <c r="R145" s="225"/>
      <c r="S145" s="225"/>
      <c r="T145" s="230"/>
    </row>
    <row r="146" spans="1:20" s="224" customFormat="1" x14ac:dyDescent="0.25">
      <c r="A146" s="327">
        <f>'A) Base RI'!A147</f>
        <v>5637</v>
      </c>
      <c r="B146" s="237" t="str">
        <f>'A) Base RI'!B147</f>
        <v>Lavigny</v>
      </c>
      <c r="C146" s="253">
        <v>0</v>
      </c>
      <c r="D146" s="226">
        <f>'B) D RI'!AA147</f>
        <v>1007</v>
      </c>
      <c r="E146" s="227">
        <f>'B) D RI'!S147</f>
        <v>74.5</v>
      </c>
      <c r="F146" s="10">
        <f>'B) D RI'!R147</f>
        <v>2688562.3733333331</v>
      </c>
      <c r="G146" s="10">
        <f>'B) D RI'!U147</f>
        <v>36088.085548098432</v>
      </c>
      <c r="H146" s="42">
        <f>'B) D RI'!T147</f>
        <v>2497782.5399999996</v>
      </c>
      <c r="I146" s="10">
        <f t="shared" si="19"/>
        <v>67054.564832214761</v>
      </c>
      <c r="J146" s="32">
        <f t="shared" si="15"/>
        <v>84580.129644907865</v>
      </c>
      <c r="K146" s="10">
        <f t="shared" si="16"/>
        <v>67054.564832214761</v>
      </c>
      <c r="L146" s="10">
        <f t="shared" si="20"/>
        <v>17525.564812693105</v>
      </c>
      <c r="M146" s="10">
        <f>'D) Ecrêtage'!C145</f>
        <v>36088.085548098432</v>
      </c>
      <c r="N146" s="10">
        <f t="shared" si="17"/>
        <v>46830.955052713325</v>
      </c>
      <c r="O146" s="58">
        <f t="shared" si="18"/>
        <v>113885.51988492809</v>
      </c>
      <c r="P146" s="228"/>
      <c r="Q146" s="229"/>
      <c r="R146" s="225"/>
      <c r="S146" s="225"/>
      <c r="T146" s="230"/>
    </row>
    <row r="147" spans="1:20" s="224" customFormat="1" x14ac:dyDescent="0.25">
      <c r="A147" s="327">
        <f>'A) Base RI'!A148</f>
        <v>5638</v>
      </c>
      <c r="B147" s="237" t="str">
        <f>'A) Base RI'!B148</f>
        <v>Lonay</v>
      </c>
      <c r="C147" s="253">
        <v>0</v>
      </c>
      <c r="D147" s="226">
        <f>'B) D RI'!AA148</f>
        <v>2492</v>
      </c>
      <c r="E147" s="227">
        <f>'B) D RI'!S148</f>
        <v>55</v>
      </c>
      <c r="F147" s="10">
        <f>'B) D RI'!R148</f>
        <v>8101899.0599999996</v>
      </c>
      <c r="G147" s="10">
        <f>'B) D RI'!U148</f>
        <v>147307.25563636364</v>
      </c>
      <c r="H147" s="42">
        <f>'B) D RI'!T148</f>
        <v>7432128.2599999998</v>
      </c>
      <c r="I147" s="10">
        <f t="shared" si="19"/>
        <v>270259.20945454546</v>
      </c>
      <c r="J147" s="32">
        <f t="shared" si="15"/>
        <v>209308.52341123178</v>
      </c>
      <c r="K147" s="10">
        <f t="shared" si="16"/>
        <v>209308.52341123178</v>
      </c>
      <c r="L147" s="10">
        <f t="shared" si="20"/>
        <v>0</v>
      </c>
      <c r="M147" s="10">
        <f>'D) Ecrêtage'!C146</f>
        <v>147307.25563636364</v>
      </c>
      <c r="N147" s="10">
        <f t="shared" si="17"/>
        <v>191158.36606102806</v>
      </c>
      <c r="O147" s="58">
        <f t="shared" si="18"/>
        <v>400466.88947225985</v>
      </c>
      <c r="P147" s="228"/>
      <c r="Q147" s="229"/>
      <c r="R147" s="225"/>
      <c r="S147" s="225"/>
      <c r="T147" s="230"/>
    </row>
    <row r="148" spans="1:20" s="224" customFormat="1" x14ac:dyDescent="0.25">
      <c r="A148" s="327">
        <f>'A) Base RI'!A149</f>
        <v>5639</v>
      </c>
      <c r="B148" s="237" t="str">
        <f>'A) Base RI'!B149</f>
        <v>Lully</v>
      </c>
      <c r="C148" s="253">
        <v>0</v>
      </c>
      <c r="D148" s="226">
        <f>'B) D RI'!AA149</f>
        <v>795</v>
      </c>
      <c r="E148" s="227">
        <f>'B) D RI'!S149</f>
        <v>61</v>
      </c>
      <c r="F148" s="10">
        <f>'B) D RI'!R149</f>
        <v>3124400.2600000002</v>
      </c>
      <c r="G148" s="10">
        <f>'B) D RI'!U149</f>
        <v>51219.676393442627</v>
      </c>
      <c r="H148" s="42">
        <f>'B) D RI'!T149</f>
        <v>2935205.29</v>
      </c>
      <c r="I148" s="10">
        <f t="shared" si="19"/>
        <v>96236.239016393447</v>
      </c>
      <c r="J148" s="32">
        <f t="shared" si="15"/>
        <v>66773.786561769375</v>
      </c>
      <c r="K148" s="10">
        <f t="shared" si="16"/>
        <v>66773.786561769375</v>
      </c>
      <c r="L148" s="10">
        <f t="shared" si="20"/>
        <v>0</v>
      </c>
      <c r="M148" s="10">
        <f>'D) Ecrêtage'!C147</f>
        <v>51219.676393442627</v>
      </c>
      <c r="N148" s="10">
        <f t="shared" si="17"/>
        <v>66466.988385927965</v>
      </c>
      <c r="O148" s="58">
        <f t="shared" si="18"/>
        <v>133240.77494769735</v>
      </c>
      <c r="P148" s="228"/>
      <c r="Q148" s="229"/>
      <c r="R148" s="225"/>
      <c r="S148" s="225"/>
      <c r="T148" s="230"/>
    </row>
    <row r="149" spans="1:20" s="224" customFormat="1" x14ac:dyDescent="0.25">
      <c r="A149" s="327">
        <f>'A) Base RI'!A150</f>
        <v>5640</v>
      </c>
      <c r="B149" s="237" t="str">
        <f>'A) Base RI'!B150</f>
        <v>Lussy-sur-Morges</v>
      </c>
      <c r="C149" s="253">
        <v>1</v>
      </c>
      <c r="D149" s="226">
        <f>'B) D RI'!AA150</f>
        <v>667</v>
      </c>
      <c r="E149" s="227">
        <f>'B) D RI'!S150</f>
        <v>66</v>
      </c>
      <c r="F149" s="10">
        <f>'B) D RI'!R150</f>
        <v>3641445.3000000003</v>
      </c>
      <c r="G149" s="10">
        <f>'B) D RI'!U150</f>
        <v>55173.413636363643</v>
      </c>
      <c r="H149" s="42">
        <f>'B) D RI'!T150</f>
        <v>3461039.5000000005</v>
      </c>
      <c r="I149" s="10">
        <f t="shared" si="19"/>
        <v>104879.98484848486</v>
      </c>
      <c r="J149" s="32">
        <f t="shared" si="15"/>
        <v>56022.786964402731</v>
      </c>
      <c r="K149" s="10">
        <f t="shared" si="16"/>
        <v>0</v>
      </c>
      <c r="L149" s="10">
        <f t="shared" si="20"/>
        <v>56022.786964402731</v>
      </c>
      <c r="M149" s="10">
        <f>'D) Ecrêtage'!C148</f>
        <v>55173.413636363643</v>
      </c>
      <c r="N149" s="10">
        <f t="shared" si="17"/>
        <v>71597.692558824419</v>
      </c>
      <c r="O149" s="58">
        <f t="shared" si="18"/>
        <v>71597.692558824419</v>
      </c>
      <c r="P149" s="228"/>
      <c r="Q149" s="229"/>
      <c r="R149" s="225"/>
      <c r="S149" s="225"/>
      <c r="T149" s="230"/>
    </row>
    <row r="150" spans="1:20" s="224" customFormat="1" x14ac:dyDescent="0.25">
      <c r="A150" s="327">
        <f>'A) Base RI'!A151</f>
        <v>5642</v>
      </c>
      <c r="B150" s="237" t="str">
        <f>'A) Base RI'!B151</f>
        <v>Morges</v>
      </c>
      <c r="C150" s="253">
        <v>1</v>
      </c>
      <c r="D150" s="226">
        <f>'B) D RI'!AA151</f>
        <v>15839</v>
      </c>
      <c r="E150" s="227">
        <f>'B) D RI'!S151</f>
        <v>68.5</v>
      </c>
      <c r="F150" s="10">
        <f>'B) D RI'!R151</f>
        <v>50537027.839999981</v>
      </c>
      <c r="G150" s="10">
        <f>'B) D RI'!U151</f>
        <v>737766.82978102157</v>
      </c>
      <c r="H150" s="42">
        <f>'B) D RI'!T151</f>
        <v>47100536.789999984</v>
      </c>
      <c r="I150" s="10">
        <f t="shared" si="19"/>
        <v>1375198.1544525542</v>
      </c>
      <c r="J150" s="32">
        <f t="shared" si="15"/>
        <v>1330352.2079897674</v>
      </c>
      <c r="K150" s="10">
        <f t="shared" si="16"/>
        <v>0</v>
      </c>
      <c r="L150" s="10">
        <f t="shared" si="20"/>
        <v>1330352.2079897674</v>
      </c>
      <c r="M150" s="10">
        <f>'D) Ecrêtage'!C149</f>
        <v>737766.82978102157</v>
      </c>
      <c r="N150" s="10">
        <f t="shared" si="17"/>
        <v>957388.6982397259</v>
      </c>
      <c r="O150" s="58">
        <f t="shared" si="18"/>
        <v>957388.6982397259</v>
      </c>
      <c r="P150" s="228"/>
      <c r="Q150" s="229"/>
      <c r="R150" s="225"/>
      <c r="S150" s="225"/>
      <c r="T150" s="230"/>
    </row>
    <row r="151" spans="1:20" s="224" customFormat="1" x14ac:dyDescent="0.25">
      <c r="A151" s="327">
        <f>'A) Base RI'!A152</f>
        <v>5643</v>
      </c>
      <c r="B151" s="237" t="str">
        <f>'A) Base RI'!B152</f>
        <v>Préverenges</v>
      </c>
      <c r="C151" s="253">
        <v>1</v>
      </c>
      <c r="D151" s="226">
        <f>'B) D RI'!AA152</f>
        <v>5291</v>
      </c>
      <c r="E151" s="227">
        <f>'B) D RI'!S152</f>
        <v>64</v>
      </c>
      <c r="F151" s="10">
        <f>'B) D RI'!R152</f>
        <v>16743631.449999997</v>
      </c>
      <c r="G151" s="10">
        <f>'B) D RI'!U152</f>
        <v>261619.24140624996</v>
      </c>
      <c r="H151" s="42">
        <f>'B) D RI'!T152</f>
        <v>15565427.649999997</v>
      </c>
      <c r="I151" s="10">
        <f t="shared" si="19"/>
        <v>486419.6140624999</v>
      </c>
      <c r="J151" s="32">
        <f t="shared" si="15"/>
        <v>444402.64741927263</v>
      </c>
      <c r="K151" s="10">
        <f t="shared" si="16"/>
        <v>0</v>
      </c>
      <c r="L151" s="10">
        <f t="shared" si="20"/>
        <v>444402.64741927263</v>
      </c>
      <c r="M151" s="10">
        <f>'D) Ecrêtage'!C150</f>
        <v>261619.24140624996</v>
      </c>
      <c r="N151" s="10">
        <f t="shared" si="17"/>
        <v>339499.27653800492</v>
      </c>
      <c r="O151" s="58">
        <f t="shared" si="18"/>
        <v>339499.27653800492</v>
      </c>
      <c r="P151" s="228"/>
      <c r="Q151" s="229"/>
      <c r="R151" s="225"/>
      <c r="S151" s="225"/>
      <c r="T151" s="230"/>
    </row>
    <row r="152" spans="1:20" s="224" customFormat="1" x14ac:dyDescent="0.25">
      <c r="A152" s="327">
        <f>'A) Base RI'!A153</f>
        <v>5644</v>
      </c>
      <c r="B152" s="237" t="str">
        <f>'A) Base RI'!B153</f>
        <v>Reverolle</v>
      </c>
      <c r="C152" s="253">
        <v>0</v>
      </c>
      <c r="D152" s="226">
        <f>'B) D RI'!AA153</f>
        <v>382</v>
      </c>
      <c r="E152" s="227">
        <f>'B) D RI'!S153</f>
        <v>76</v>
      </c>
      <c r="F152" s="10">
        <f>'B) D RI'!R153</f>
        <v>1136706.0899999999</v>
      </c>
      <c r="G152" s="10">
        <f>'B) D RI'!U153</f>
        <v>14956.659078947367</v>
      </c>
      <c r="H152" s="42">
        <f>'B) D RI'!T153</f>
        <v>1064475.6399999999</v>
      </c>
      <c r="I152" s="10">
        <f t="shared" si="19"/>
        <v>28012.516842105262</v>
      </c>
      <c r="J152" s="32">
        <f t="shared" si="15"/>
        <v>32085.014423391069</v>
      </c>
      <c r="K152" s="10">
        <f t="shared" si="16"/>
        <v>28012.516842105262</v>
      </c>
      <c r="L152" s="10">
        <f t="shared" si="20"/>
        <v>4072.4975812858065</v>
      </c>
      <c r="M152" s="10">
        <f>'D) Ecrêtage'!C151</f>
        <v>14956.659078947367</v>
      </c>
      <c r="N152" s="10">
        <f t="shared" si="17"/>
        <v>19409.027063278183</v>
      </c>
      <c r="O152" s="58">
        <f t="shared" si="18"/>
        <v>47421.543905383442</v>
      </c>
      <c r="P152" s="228"/>
      <c r="Q152" s="229"/>
      <c r="R152" s="225"/>
      <c r="S152" s="225"/>
      <c r="T152" s="230"/>
    </row>
    <row r="153" spans="1:20" s="224" customFormat="1" x14ac:dyDescent="0.25">
      <c r="A153" s="327">
        <f>'A) Base RI'!A154</f>
        <v>5645</v>
      </c>
      <c r="B153" s="237" t="str">
        <f>'A) Base RI'!B154</f>
        <v>Romanel-sur-Morges</v>
      </c>
      <c r="C153" s="253">
        <v>0</v>
      </c>
      <c r="D153" s="226">
        <f>'B) D RI'!AA154</f>
        <v>470</v>
      </c>
      <c r="E153" s="227">
        <f>'B) D RI'!S154</f>
        <v>56</v>
      </c>
      <c r="F153" s="10">
        <f>'B) D RI'!R154</f>
        <v>1457119.0174999998</v>
      </c>
      <c r="G153" s="10">
        <f>'B) D RI'!U154</f>
        <v>26019.982455357142</v>
      </c>
      <c r="H153" s="42">
        <f>'B) D RI'!T154</f>
        <v>1306385.7299999997</v>
      </c>
      <c r="I153" s="10">
        <f t="shared" si="19"/>
        <v>46656.633214285706</v>
      </c>
      <c r="J153" s="32">
        <f t="shared" si="15"/>
        <v>39476.326646580637</v>
      </c>
      <c r="K153" s="10">
        <f t="shared" si="16"/>
        <v>39476.326646580637</v>
      </c>
      <c r="L153" s="10">
        <f t="shared" si="20"/>
        <v>0</v>
      </c>
      <c r="M153" s="10">
        <f>'D) Ecrêtage'!C152</f>
        <v>26019.982455357142</v>
      </c>
      <c r="N153" s="10">
        <f t="shared" si="17"/>
        <v>33765.732106103016</v>
      </c>
      <c r="O153" s="58">
        <f t="shared" si="18"/>
        <v>73242.058752683661</v>
      </c>
      <c r="P153" s="228"/>
      <c r="Q153" s="229"/>
      <c r="R153" s="225"/>
      <c r="S153" s="225"/>
      <c r="T153" s="230"/>
    </row>
    <row r="154" spans="1:20" s="224" customFormat="1" x14ac:dyDescent="0.25">
      <c r="A154" s="327">
        <f>'A) Base RI'!A155</f>
        <v>5646</v>
      </c>
      <c r="B154" s="237" t="str">
        <f>'A) Base RI'!B155</f>
        <v>Saint-Prex</v>
      </c>
      <c r="C154" s="253">
        <v>1</v>
      </c>
      <c r="D154" s="226">
        <f>'B) D RI'!AA155</f>
        <v>5695</v>
      </c>
      <c r="E154" s="227">
        <f>'B) D RI'!S155</f>
        <v>55</v>
      </c>
      <c r="F154" s="10">
        <f>'B) D RI'!R155</f>
        <v>31063094.039999992</v>
      </c>
      <c r="G154" s="10">
        <f>'B) D RI'!U155</f>
        <v>564783.52799999982</v>
      </c>
      <c r="H154" s="42">
        <f>'B) D RI'!T155</f>
        <v>29431351.189999994</v>
      </c>
      <c r="I154" s="10">
        <f t="shared" si="19"/>
        <v>1070230.9523636361</v>
      </c>
      <c r="J154" s="32">
        <f t="shared" si="15"/>
        <v>478335.48989846109</v>
      </c>
      <c r="K154" s="10">
        <f t="shared" si="16"/>
        <v>0</v>
      </c>
      <c r="L154" s="10">
        <f t="shared" si="20"/>
        <v>478335.48989846109</v>
      </c>
      <c r="M154" s="10">
        <f>'D) Ecrêtage'!C153</f>
        <v>564783.52799999982</v>
      </c>
      <c r="N154" s="10">
        <f t="shared" si="17"/>
        <v>732910.92094727443</v>
      </c>
      <c r="O154" s="58">
        <f t="shared" si="18"/>
        <v>732910.92094727443</v>
      </c>
      <c r="P154" s="228"/>
      <c r="Q154" s="229"/>
      <c r="R154" s="225"/>
      <c r="S154" s="225"/>
      <c r="T154" s="230"/>
    </row>
    <row r="155" spans="1:20" s="224" customFormat="1" x14ac:dyDescent="0.25">
      <c r="A155" s="327">
        <f>'A) Base RI'!A156</f>
        <v>5648</v>
      </c>
      <c r="B155" s="237" t="str">
        <f>'A) Base RI'!B156</f>
        <v>Saint-Sulpice</v>
      </c>
      <c r="C155" s="253">
        <v>1</v>
      </c>
      <c r="D155" s="226">
        <f>'B) D RI'!AA156</f>
        <v>4524</v>
      </c>
      <c r="E155" s="227">
        <f>'B) D RI'!S156</f>
        <v>55</v>
      </c>
      <c r="F155" s="10">
        <f>'B) D RI'!R156</f>
        <v>19851421.060000002</v>
      </c>
      <c r="G155" s="10">
        <f>'B) D RI'!U156</f>
        <v>360934.92836363643</v>
      </c>
      <c r="H155" s="42">
        <f>'B) D RI'!T156</f>
        <v>18450633.510000002</v>
      </c>
      <c r="I155" s="10">
        <f t="shared" si="19"/>
        <v>670932.12763636373</v>
      </c>
      <c r="J155" s="32">
        <f t="shared" si="15"/>
        <v>379980.64201942721</v>
      </c>
      <c r="K155" s="10">
        <f t="shared" si="16"/>
        <v>0</v>
      </c>
      <c r="L155" s="10">
        <f t="shared" si="20"/>
        <v>379980.64201942721</v>
      </c>
      <c r="M155" s="10">
        <f>'D) Ecrêtage'!C154</f>
        <v>360934.92836363643</v>
      </c>
      <c r="N155" s="10">
        <f t="shared" si="17"/>
        <v>468379.72007751506</v>
      </c>
      <c r="O155" s="58">
        <f t="shared" si="18"/>
        <v>468379.72007751506</v>
      </c>
      <c r="P155" s="228"/>
      <c r="Q155" s="229"/>
      <c r="R155" s="225"/>
      <c r="S155" s="225"/>
      <c r="T155" s="230"/>
    </row>
    <row r="156" spans="1:20" s="224" customFormat="1" x14ac:dyDescent="0.25">
      <c r="A156" s="327">
        <f>'A) Base RI'!A157</f>
        <v>5649</v>
      </c>
      <c r="B156" s="237" t="str">
        <f>'A) Base RI'!B157</f>
        <v>Tolochenaz</v>
      </c>
      <c r="C156" s="253">
        <v>1</v>
      </c>
      <c r="D156" s="226">
        <f>'B) D RI'!AA157</f>
        <v>1883</v>
      </c>
      <c r="E156" s="227">
        <f>'B) D RI'!S157</f>
        <v>65</v>
      </c>
      <c r="F156" s="10">
        <f>'B) D RI'!R157</f>
        <v>11446874.659999998</v>
      </c>
      <c r="G156" s="10">
        <f>'B) D RI'!U157</f>
        <v>176105.76399999997</v>
      </c>
      <c r="H156" s="42">
        <f>'B) D RI'!T157</f>
        <v>10843188.359999999</v>
      </c>
      <c r="I156" s="10">
        <f t="shared" si="19"/>
        <v>333636.56492307689</v>
      </c>
      <c r="J156" s="32">
        <f t="shared" si="15"/>
        <v>158157.28313938581</v>
      </c>
      <c r="K156" s="10">
        <f t="shared" si="16"/>
        <v>0</v>
      </c>
      <c r="L156" s="10">
        <f t="shared" si="20"/>
        <v>158157.28313938581</v>
      </c>
      <c r="M156" s="10">
        <f>'D) Ecrêtage'!C155</f>
        <v>176105.76399999997</v>
      </c>
      <c r="N156" s="10">
        <f t="shared" si="17"/>
        <v>228529.74861788709</v>
      </c>
      <c r="O156" s="58">
        <f t="shared" si="18"/>
        <v>228529.74861788709</v>
      </c>
      <c r="P156" s="228"/>
      <c r="Q156" s="229"/>
      <c r="R156" s="225"/>
      <c r="S156" s="225"/>
      <c r="T156" s="230"/>
    </row>
    <row r="157" spans="1:20" s="224" customFormat="1" x14ac:dyDescent="0.25">
      <c r="A157" s="327">
        <f>'A) Base RI'!A158</f>
        <v>5650</v>
      </c>
      <c r="B157" s="237" t="str">
        <f>'A) Base RI'!B158</f>
        <v>Vaux-sur-Morges</v>
      </c>
      <c r="C157" s="253">
        <v>0</v>
      </c>
      <c r="D157" s="226">
        <f>'B) D RI'!AA158</f>
        <v>199</v>
      </c>
      <c r="E157" s="227">
        <f>'B) D RI'!S158</f>
        <v>56</v>
      </c>
      <c r="F157" s="10">
        <f>'B) D RI'!R158</f>
        <v>9497346.7400000021</v>
      </c>
      <c r="G157" s="10">
        <f>'B) D RI'!U158</f>
        <v>169595.47750000004</v>
      </c>
      <c r="H157" s="42">
        <f>'B) D RI'!T158</f>
        <v>9453739.7800000012</v>
      </c>
      <c r="I157" s="10">
        <f t="shared" si="19"/>
        <v>337633.56357142859</v>
      </c>
      <c r="J157" s="32">
        <f t="shared" si="15"/>
        <v>16714.444686530951</v>
      </c>
      <c r="K157" s="10">
        <f t="shared" si="16"/>
        <v>16714.444686530951</v>
      </c>
      <c r="L157" s="10">
        <f t="shared" si="20"/>
        <v>0</v>
      </c>
      <c r="M157" s="10">
        <f>'D) Ecrêtage'!C156</f>
        <v>169595.47750000004</v>
      </c>
      <c r="N157" s="10">
        <f t="shared" si="17"/>
        <v>220081.44968954872</v>
      </c>
      <c r="O157" s="58">
        <f t="shared" si="18"/>
        <v>236795.89437607967</v>
      </c>
      <c r="P157" s="228"/>
      <c r="Q157" s="229"/>
      <c r="R157" s="225"/>
      <c r="S157" s="225"/>
      <c r="T157" s="230"/>
    </row>
    <row r="158" spans="1:20" s="224" customFormat="1" x14ac:dyDescent="0.25">
      <c r="A158" s="327">
        <f>'A) Base RI'!A159</f>
        <v>5651</v>
      </c>
      <c r="B158" s="237" t="str">
        <f>'A) Base RI'!B159</f>
        <v>Villars-Sainte-Croix</v>
      </c>
      <c r="C158" s="253">
        <v>1</v>
      </c>
      <c r="D158" s="226">
        <f>'B) D RI'!AA159</f>
        <v>935</v>
      </c>
      <c r="E158" s="227">
        <f>'B) D RI'!S159</f>
        <v>59</v>
      </c>
      <c r="F158" s="10">
        <f>'B) D RI'!R159</f>
        <v>2814906.3899999997</v>
      </c>
      <c r="G158" s="10">
        <f>'B) D RI'!U159</f>
        <v>47710.277796610164</v>
      </c>
      <c r="H158" s="42">
        <f>'B) D RI'!T159</f>
        <v>2531780.2899999996</v>
      </c>
      <c r="I158" s="10">
        <f t="shared" si="19"/>
        <v>85823.060677966088</v>
      </c>
      <c r="J158" s="32">
        <f t="shared" si="15"/>
        <v>78532.69237138913</v>
      </c>
      <c r="K158" s="10">
        <f t="shared" si="16"/>
        <v>0</v>
      </c>
      <c r="L158" s="10">
        <f t="shared" si="20"/>
        <v>78532.69237138913</v>
      </c>
      <c r="M158" s="10">
        <f>'D) Ecrêtage'!C157</f>
        <v>47710.277796610164</v>
      </c>
      <c r="N158" s="10">
        <f t="shared" si="17"/>
        <v>61912.895658252746</v>
      </c>
      <c r="O158" s="58">
        <f t="shared" si="18"/>
        <v>61912.895658252746</v>
      </c>
      <c r="P158" s="228"/>
      <c r="Q158" s="229"/>
      <c r="R158" s="225"/>
      <c r="S158" s="225"/>
      <c r="T158" s="230"/>
    </row>
    <row r="159" spans="1:20" s="224" customFormat="1" x14ac:dyDescent="0.25">
      <c r="A159" s="327">
        <f>'A) Base RI'!A160</f>
        <v>5652</v>
      </c>
      <c r="B159" s="237" t="str">
        <f>'A) Base RI'!B160</f>
        <v>Villars-sous-Yens</v>
      </c>
      <c r="C159" s="253">
        <v>0</v>
      </c>
      <c r="D159" s="226">
        <f>'B) D RI'!AA160</f>
        <v>614</v>
      </c>
      <c r="E159" s="227">
        <f>'B) D RI'!S160</f>
        <v>76</v>
      </c>
      <c r="F159" s="10">
        <f>'B) D RI'!R160</f>
        <v>1960350.468333333</v>
      </c>
      <c r="G159" s="10">
        <f>'B) D RI'!U160</f>
        <v>25794.085109649121</v>
      </c>
      <c r="H159" s="42">
        <f>'B) D RI'!T160</f>
        <v>1853617.1099999999</v>
      </c>
      <c r="I159" s="10">
        <f t="shared" si="19"/>
        <v>48779.39763157894</v>
      </c>
      <c r="J159" s="32">
        <f t="shared" si="15"/>
        <v>51571.201193618108</v>
      </c>
      <c r="K159" s="10">
        <f t="shared" si="16"/>
        <v>48779.39763157894</v>
      </c>
      <c r="L159" s="10">
        <f t="shared" si="20"/>
        <v>2791.8035620391674</v>
      </c>
      <c r="M159" s="10">
        <f>'D) Ecrêtage'!C158</f>
        <v>25794.085109649121</v>
      </c>
      <c r="N159" s="10">
        <f t="shared" si="17"/>
        <v>33472.588585666614</v>
      </c>
      <c r="O159" s="58">
        <f t="shared" si="18"/>
        <v>82251.986217245547</v>
      </c>
      <c r="P159" s="228"/>
      <c r="Q159" s="229"/>
      <c r="R159" s="225"/>
      <c r="S159" s="225"/>
      <c r="T159" s="230"/>
    </row>
    <row r="160" spans="1:20" s="224" customFormat="1" x14ac:dyDescent="0.25">
      <c r="A160" s="327">
        <f>'A) Base RI'!A161</f>
        <v>5653</v>
      </c>
      <c r="B160" s="237" t="str">
        <f>'A) Base RI'!B161</f>
        <v>Vufflens-le-Château</v>
      </c>
      <c r="C160" s="253">
        <v>0</v>
      </c>
      <c r="D160" s="226">
        <f>'B) D RI'!AA161</f>
        <v>884</v>
      </c>
      <c r="E160" s="227">
        <f>'B) D RI'!S161</f>
        <v>55</v>
      </c>
      <c r="F160" s="10">
        <f>'B) D RI'!R161</f>
        <v>3195759.0899999994</v>
      </c>
      <c r="G160" s="10">
        <f>'B) D RI'!U161</f>
        <v>58104.710727272715</v>
      </c>
      <c r="H160" s="42">
        <f>'B) D RI'!T161</f>
        <v>2962615.0899999994</v>
      </c>
      <c r="I160" s="10">
        <f t="shared" si="19"/>
        <v>107731.45781818179</v>
      </c>
      <c r="J160" s="32">
        <f t="shared" si="15"/>
        <v>74249.090969313358</v>
      </c>
      <c r="K160" s="10">
        <f t="shared" si="16"/>
        <v>74249.090969313358</v>
      </c>
      <c r="L160" s="10">
        <f t="shared" si="20"/>
        <v>0</v>
      </c>
      <c r="M160" s="10">
        <f>'D) Ecrêtage'!C159</f>
        <v>58104.710727272715</v>
      </c>
      <c r="N160" s="10">
        <f t="shared" si="17"/>
        <v>75401.591829888566</v>
      </c>
      <c r="O160" s="58">
        <f t="shared" si="18"/>
        <v>149650.68279920192</v>
      </c>
      <c r="P160" s="228"/>
      <c r="Q160" s="229"/>
      <c r="R160" s="225"/>
      <c r="S160" s="225"/>
      <c r="T160" s="230"/>
    </row>
    <row r="161" spans="1:20" s="224" customFormat="1" x14ac:dyDescent="0.25">
      <c r="A161" s="327">
        <f>'A) Base RI'!A162</f>
        <v>5654</v>
      </c>
      <c r="B161" s="237" t="str">
        <f>'A) Base RI'!B162</f>
        <v>Vullierens</v>
      </c>
      <c r="C161" s="253">
        <v>0</v>
      </c>
      <c r="D161" s="226">
        <f>'B) D RI'!AA162</f>
        <v>499</v>
      </c>
      <c r="E161" s="227">
        <f>'B) D RI'!S162</f>
        <v>76</v>
      </c>
      <c r="F161" s="10">
        <f>'B) D RI'!R162</f>
        <v>1409676.82</v>
      </c>
      <c r="G161" s="10">
        <f>'B) D RI'!U162</f>
        <v>18548.379210526316</v>
      </c>
      <c r="H161" s="42">
        <f>'B) D RI'!T162</f>
        <v>1319089.52</v>
      </c>
      <c r="I161" s="10">
        <f t="shared" si="19"/>
        <v>34712.882105263161</v>
      </c>
      <c r="J161" s="32">
        <f t="shared" si="15"/>
        <v>41912.099992859017</v>
      </c>
      <c r="K161" s="10">
        <f t="shared" si="16"/>
        <v>34712.882105263161</v>
      </c>
      <c r="L161" s="10">
        <f t="shared" si="20"/>
        <v>7199.2178875958562</v>
      </c>
      <c r="M161" s="10">
        <f>'D) Ecrêtage'!C160</f>
        <v>18548.379210526316</v>
      </c>
      <c r="N161" s="10">
        <f t="shared" si="17"/>
        <v>24069.947183845856</v>
      </c>
      <c r="O161" s="58">
        <f t="shared" si="18"/>
        <v>58782.829289109017</v>
      </c>
      <c r="P161" s="228"/>
      <c r="Q161" s="229"/>
      <c r="R161" s="225"/>
      <c r="S161" s="225"/>
      <c r="T161" s="230"/>
    </row>
    <row r="162" spans="1:20" s="224" customFormat="1" x14ac:dyDescent="0.25">
      <c r="A162" s="327">
        <f>'A) Base RI'!A163</f>
        <v>5655</v>
      </c>
      <c r="B162" s="237" t="str">
        <f>'A) Base RI'!B163</f>
        <v>Yens</v>
      </c>
      <c r="C162" s="253">
        <v>0</v>
      </c>
      <c r="D162" s="226">
        <f>'B) D RI'!AA163</f>
        <v>1395</v>
      </c>
      <c r="E162" s="227">
        <f>'B) D RI'!S163</f>
        <v>73</v>
      </c>
      <c r="F162" s="10">
        <f>'B) D RI'!R163</f>
        <v>5224449.51</v>
      </c>
      <c r="G162" s="10">
        <f>'B) D RI'!U163</f>
        <v>71567.801506849311</v>
      </c>
      <c r="H162" s="42">
        <f>'B) D RI'!T163</f>
        <v>4844494.66</v>
      </c>
      <c r="I162" s="10">
        <f t="shared" si="19"/>
        <v>132725.88109589042</v>
      </c>
      <c r="J162" s="32">
        <f t="shared" si="15"/>
        <v>117169.09717442551</v>
      </c>
      <c r="K162" s="10">
        <f t="shared" si="16"/>
        <v>117169.09717442551</v>
      </c>
      <c r="L162" s="10">
        <f t="shared" si="20"/>
        <v>0</v>
      </c>
      <c r="M162" s="10">
        <f>'D) Ecrêtage'!C161</f>
        <v>71567.801506849311</v>
      </c>
      <c r="N162" s="10">
        <f t="shared" si="17"/>
        <v>92872.438221244796</v>
      </c>
      <c r="O162" s="58">
        <f t="shared" si="18"/>
        <v>210041.5353956703</v>
      </c>
      <c r="P162" s="228"/>
      <c r="Q162" s="229"/>
      <c r="R162" s="225"/>
      <c r="S162" s="225"/>
      <c r="T162" s="230"/>
    </row>
    <row r="163" spans="1:20" s="224" customFormat="1" x14ac:dyDescent="0.25">
      <c r="A163" s="327">
        <f>'A) Base RI'!A164</f>
        <v>5661</v>
      </c>
      <c r="B163" s="237" t="str">
        <f>'A) Base RI'!B164</f>
        <v>Boulens</v>
      </c>
      <c r="C163" s="253">
        <v>0</v>
      </c>
      <c r="D163" s="226">
        <f>'B) D RI'!AA164</f>
        <v>377</v>
      </c>
      <c r="E163" s="227">
        <f>'B) D RI'!S164</f>
        <v>79</v>
      </c>
      <c r="F163" s="10">
        <f>'B) D RI'!R164</f>
        <v>715491.76</v>
      </c>
      <c r="G163" s="10">
        <f>'B) D RI'!U164</f>
        <v>9056.8577215189871</v>
      </c>
      <c r="H163" s="42">
        <f>'B) D RI'!T164</f>
        <v>669149.66</v>
      </c>
      <c r="I163" s="10">
        <f t="shared" si="19"/>
        <v>16940.497721518987</v>
      </c>
      <c r="J163" s="32">
        <f t="shared" si="15"/>
        <v>31665.053501618935</v>
      </c>
      <c r="K163" s="10">
        <f t="shared" si="16"/>
        <v>16940.497721518987</v>
      </c>
      <c r="L163" s="10">
        <f t="shared" si="20"/>
        <v>14724.555780099949</v>
      </c>
      <c r="M163" s="10">
        <f>'D) Ecrêtage'!C162</f>
        <v>9056.8577215189871</v>
      </c>
      <c r="N163" s="10">
        <f t="shared" si="17"/>
        <v>11752.945340089516</v>
      </c>
      <c r="O163" s="58">
        <f t="shared" si="18"/>
        <v>28693.443061608501</v>
      </c>
      <c r="P163" s="228"/>
      <c r="Q163" s="229"/>
      <c r="R163" s="225"/>
      <c r="S163" s="225"/>
      <c r="T163" s="230"/>
    </row>
    <row r="164" spans="1:20" s="224" customFormat="1" x14ac:dyDescent="0.25">
      <c r="A164" s="327">
        <f>'A) Base RI'!A165</f>
        <v>5663</v>
      </c>
      <c r="B164" s="237" t="str">
        <f>'A) Base RI'!B165</f>
        <v>Bussy-sur-Moudon</v>
      </c>
      <c r="C164" s="253">
        <v>0</v>
      </c>
      <c r="D164" s="226">
        <f>'B) D RI'!AA165</f>
        <v>209</v>
      </c>
      <c r="E164" s="227">
        <f>'B) D RI'!S165</f>
        <v>80</v>
      </c>
      <c r="F164" s="10">
        <f>'B) D RI'!R165</f>
        <v>452409.32999999996</v>
      </c>
      <c r="G164" s="10">
        <f>'B) D RI'!U165</f>
        <v>5655.1166249999997</v>
      </c>
      <c r="H164" s="42">
        <f>'B) D RI'!T165</f>
        <v>420360.87999999995</v>
      </c>
      <c r="I164" s="10">
        <f t="shared" si="19"/>
        <v>10509.021999999999</v>
      </c>
      <c r="J164" s="32">
        <f t="shared" si="15"/>
        <v>17554.366530075218</v>
      </c>
      <c r="K164" s="10">
        <f t="shared" si="16"/>
        <v>10509.021999999999</v>
      </c>
      <c r="L164" s="10">
        <f t="shared" si="20"/>
        <v>7045.3445300752192</v>
      </c>
      <c r="M164" s="10">
        <f>'D) Ecrêtage'!C163</f>
        <v>5655.1166249999997</v>
      </c>
      <c r="N164" s="10">
        <f t="shared" si="17"/>
        <v>7338.5580991890993</v>
      </c>
      <c r="O164" s="58">
        <f t="shared" si="18"/>
        <v>17847.580099189097</v>
      </c>
      <c r="P164" s="228"/>
      <c r="Q164" s="229"/>
      <c r="R164" s="225"/>
      <c r="S164" s="225"/>
      <c r="T164" s="230"/>
    </row>
    <row r="165" spans="1:20" s="224" customFormat="1" x14ac:dyDescent="0.25">
      <c r="A165" s="327">
        <f>'A) Base RI'!A166</f>
        <v>5665</v>
      </c>
      <c r="B165" s="237" t="str">
        <f>'A) Base RI'!B166</f>
        <v>Chavannes-sur-Moudon</v>
      </c>
      <c r="C165" s="253">
        <v>0</v>
      </c>
      <c r="D165" s="226">
        <f>'B) D RI'!AA166</f>
        <v>220</v>
      </c>
      <c r="E165" s="227">
        <f>'B) D RI'!S166</f>
        <v>73</v>
      </c>
      <c r="F165" s="10">
        <f>'B) D RI'!R166</f>
        <v>367083.02</v>
      </c>
      <c r="G165" s="10">
        <f>'B) D RI'!U166</f>
        <v>5028.5345205479452</v>
      </c>
      <c r="H165" s="42">
        <f>'B) D RI'!T166</f>
        <v>343187.72000000003</v>
      </c>
      <c r="I165" s="10">
        <f t="shared" si="19"/>
        <v>9402.4032876712336</v>
      </c>
      <c r="J165" s="32">
        <f t="shared" si="15"/>
        <v>18478.280557973914</v>
      </c>
      <c r="K165" s="10">
        <f t="shared" si="16"/>
        <v>9402.4032876712336</v>
      </c>
      <c r="L165" s="10">
        <f t="shared" si="20"/>
        <v>9075.8772703026807</v>
      </c>
      <c r="M165" s="10">
        <f>'D) Ecrêtage'!C164</f>
        <v>5028.5345205479452</v>
      </c>
      <c r="N165" s="10">
        <f t="shared" si="17"/>
        <v>6525.4521135219029</v>
      </c>
      <c r="O165" s="58">
        <f t="shared" si="18"/>
        <v>15927.855401193137</v>
      </c>
      <c r="P165" s="228"/>
      <c r="Q165" s="229"/>
      <c r="R165" s="225"/>
      <c r="S165" s="225"/>
      <c r="T165" s="230"/>
    </row>
    <row r="166" spans="1:20" s="224" customFormat="1" x14ac:dyDescent="0.25">
      <c r="A166" s="327">
        <f>'A) Base RI'!A167</f>
        <v>5669</v>
      </c>
      <c r="B166" s="237" t="str">
        <f>'A) Base RI'!B167</f>
        <v>Curtilles</v>
      </c>
      <c r="C166" s="253">
        <v>0</v>
      </c>
      <c r="D166" s="226">
        <f>'B) D RI'!AA167</f>
        <v>318</v>
      </c>
      <c r="E166" s="227">
        <f>'B) D RI'!S167</f>
        <v>75</v>
      </c>
      <c r="F166" s="10">
        <f>'B) D RI'!R167</f>
        <v>677197.7</v>
      </c>
      <c r="G166" s="10">
        <f>'B) D RI'!U167</f>
        <v>9029.3026666666665</v>
      </c>
      <c r="H166" s="42">
        <f>'B) D RI'!T167</f>
        <v>631994.19999999995</v>
      </c>
      <c r="I166" s="10">
        <f t="shared" si="19"/>
        <v>16853.178666666667</v>
      </c>
      <c r="J166" s="32">
        <f t="shared" si="15"/>
        <v>26709.51462470775</v>
      </c>
      <c r="K166" s="10">
        <f t="shared" si="16"/>
        <v>16853.178666666667</v>
      </c>
      <c r="L166" s="10">
        <f t="shared" si="20"/>
        <v>9856.3359580410834</v>
      </c>
      <c r="M166" s="10">
        <f>'D) Ecrêtage'!C165</f>
        <v>9029.3026666666665</v>
      </c>
      <c r="N166" s="10">
        <f t="shared" si="17"/>
        <v>11717.187568080686</v>
      </c>
      <c r="O166" s="58">
        <f t="shared" si="18"/>
        <v>28570.366234747351</v>
      </c>
      <c r="P166" s="228"/>
      <c r="Q166" s="229"/>
      <c r="R166" s="225"/>
      <c r="S166" s="225"/>
      <c r="T166" s="230"/>
    </row>
    <row r="167" spans="1:20" s="224" customFormat="1" x14ac:dyDescent="0.25">
      <c r="A167" s="327">
        <f>'A) Base RI'!A168</f>
        <v>5671</v>
      </c>
      <c r="B167" s="237" t="str">
        <f>'A) Base RI'!B168</f>
        <v>Dompierre</v>
      </c>
      <c r="C167" s="253">
        <v>0</v>
      </c>
      <c r="D167" s="226">
        <f>'B) D RI'!AA168</f>
        <v>259</v>
      </c>
      <c r="E167" s="227">
        <f>'B) D RI'!S168</f>
        <v>80</v>
      </c>
      <c r="F167" s="10">
        <f>'B) D RI'!R168</f>
        <v>506694.28</v>
      </c>
      <c r="G167" s="10">
        <f>'B) D RI'!U168</f>
        <v>6333.6785</v>
      </c>
      <c r="H167" s="42">
        <f>'B) D RI'!T168</f>
        <v>472146.58</v>
      </c>
      <c r="I167" s="10">
        <f t="shared" si="19"/>
        <v>11803.664500000001</v>
      </c>
      <c r="J167" s="32">
        <f t="shared" si="15"/>
        <v>21753.975747796561</v>
      </c>
      <c r="K167" s="10">
        <f t="shared" si="16"/>
        <v>11803.664500000001</v>
      </c>
      <c r="L167" s="10">
        <f t="shared" si="20"/>
        <v>9950.3112477965606</v>
      </c>
      <c r="M167" s="10">
        <f>'D) Ecrêtage'!C166</f>
        <v>6333.6785</v>
      </c>
      <c r="N167" s="10">
        <f t="shared" si="17"/>
        <v>8219.1174357672717</v>
      </c>
      <c r="O167" s="58">
        <f t="shared" si="18"/>
        <v>20022.781935767271</v>
      </c>
      <c r="P167" s="228"/>
      <c r="Q167" s="229"/>
      <c r="R167" s="225"/>
      <c r="S167" s="225"/>
      <c r="T167" s="230"/>
    </row>
    <row r="168" spans="1:20" s="224" customFormat="1" x14ac:dyDescent="0.25">
      <c r="A168" s="327">
        <f>'A) Base RI'!A169</f>
        <v>5673</v>
      </c>
      <c r="B168" s="237" t="str">
        <f>'A) Base RI'!B169</f>
        <v>Hermenches</v>
      </c>
      <c r="C168" s="253">
        <v>0</v>
      </c>
      <c r="D168" s="226">
        <f>'B) D RI'!AA169</f>
        <v>379</v>
      </c>
      <c r="E168" s="227">
        <f>'B) D RI'!S169</f>
        <v>75</v>
      </c>
      <c r="F168" s="10">
        <f>'B) D RI'!R169</f>
        <v>668449.18333333335</v>
      </c>
      <c r="G168" s="10">
        <f>'B) D RI'!U169</f>
        <v>8912.655777777778</v>
      </c>
      <c r="H168" s="42">
        <f>'B) D RI'!T169</f>
        <v>622452.1</v>
      </c>
      <c r="I168" s="10">
        <f t="shared" si="19"/>
        <v>16598.722666666665</v>
      </c>
      <c r="J168" s="32">
        <f t="shared" si="15"/>
        <v>31833.037870327789</v>
      </c>
      <c r="K168" s="10">
        <f t="shared" si="16"/>
        <v>16598.722666666665</v>
      </c>
      <c r="L168" s="10">
        <f t="shared" si="20"/>
        <v>15234.315203661125</v>
      </c>
      <c r="M168" s="10">
        <f>'D) Ecrêtage'!C167</f>
        <v>8912.655777777778</v>
      </c>
      <c r="N168" s="10">
        <f t="shared" si="17"/>
        <v>11565.81668964177</v>
      </c>
      <c r="O168" s="58">
        <f t="shared" si="18"/>
        <v>28164.539356308436</v>
      </c>
      <c r="P168" s="228"/>
      <c r="Q168" s="229"/>
      <c r="R168" s="225"/>
      <c r="S168" s="225"/>
      <c r="T168" s="230"/>
    </row>
    <row r="169" spans="1:20" s="224" customFormat="1" x14ac:dyDescent="0.25">
      <c r="A169" s="327">
        <f>'A) Base RI'!A170</f>
        <v>5674</v>
      </c>
      <c r="B169" s="237" t="str">
        <f>'A) Base RI'!B170</f>
        <v>Lovatens</v>
      </c>
      <c r="C169" s="253">
        <v>0</v>
      </c>
      <c r="D169" s="226">
        <f>'B) D RI'!AA170</f>
        <v>141</v>
      </c>
      <c r="E169" s="227">
        <f>'B) D RI'!S170</f>
        <v>75</v>
      </c>
      <c r="F169" s="10">
        <f>'B) D RI'!R170</f>
        <v>271117.94</v>
      </c>
      <c r="G169" s="10">
        <f>'B) D RI'!U170</f>
        <v>3614.9058666666665</v>
      </c>
      <c r="H169" s="42">
        <f>'B) D RI'!T170</f>
        <v>251501.94</v>
      </c>
      <c r="I169" s="10">
        <f t="shared" si="19"/>
        <v>6706.7183999999997</v>
      </c>
      <c r="J169" s="32">
        <f t="shared" si="15"/>
        <v>11842.897993974191</v>
      </c>
      <c r="K169" s="10">
        <f t="shared" si="16"/>
        <v>6706.7183999999997</v>
      </c>
      <c r="L169" s="10">
        <f t="shared" si="20"/>
        <v>5136.1795939741914</v>
      </c>
      <c r="M169" s="10">
        <f>'D) Ecrêtage'!C168</f>
        <v>3614.9058666666665</v>
      </c>
      <c r="N169" s="10">
        <f t="shared" si="17"/>
        <v>4691.0078933399291</v>
      </c>
      <c r="O169" s="58">
        <f t="shared" si="18"/>
        <v>11397.726293339929</v>
      </c>
      <c r="P169" s="228"/>
      <c r="Q169" s="229"/>
      <c r="R169" s="225"/>
      <c r="S169" s="225"/>
      <c r="T169" s="230"/>
    </row>
    <row r="170" spans="1:20" s="224" customFormat="1" x14ac:dyDescent="0.25">
      <c r="A170" s="327">
        <f>'A) Base RI'!A171</f>
        <v>5675</v>
      </c>
      <c r="B170" s="237" t="str">
        <f>'A) Base RI'!B171</f>
        <v>Lucens</v>
      </c>
      <c r="C170" s="253">
        <v>0</v>
      </c>
      <c r="D170" s="226">
        <f>'B) D RI'!AA171</f>
        <v>4157</v>
      </c>
      <c r="E170" s="227">
        <f>'B) D RI'!S171</f>
        <v>66</v>
      </c>
      <c r="F170" s="10">
        <f>'B) D RI'!R171</f>
        <v>5562812.6163636353</v>
      </c>
      <c r="G170" s="10">
        <f>'B) D RI'!U171</f>
        <v>84285.039641873256</v>
      </c>
      <c r="H170" s="42">
        <f>'B) D RI'!T171</f>
        <v>4948882.6799999988</v>
      </c>
      <c r="I170" s="10">
        <f t="shared" ref="I170" si="21">+H170/E170*$I$5</f>
        <v>149966.14181818179</v>
      </c>
      <c r="J170" s="32">
        <f t="shared" ref="J170" si="22">+$I$315/$D$315*D170</f>
        <v>349155.51036135253</v>
      </c>
      <c r="K170" s="10">
        <f t="shared" ref="K170" si="23">IF(C170=1,0,IF(J170&gt;I170,I170,J170))</f>
        <v>149966.14181818179</v>
      </c>
      <c r="L170" s="10">
        <f t="shared" ref="L170" si="24">+J170-K170</f>
        <v>199189.36854317074</v>
      </c>
      <c r="M170" s="10">
        <f>'D) Ecrêtage'!C169</f>
        <v>84285.039641873256</v>
      </c>
      <c r="N170" s="10">
        <f t="shared" ref="N170" si="25">+$N$5*M170</f>
        <v>109375.40307656226</v>
      </c>
      <c r="O170" s="58">
        <f t="shared" ref="O170" si="26">+N170+K170</f>
        <v>259341.54489474406</v>
      </c>
      <c r="P170" s="228"/>
      <c r="Q170" s="229"/>
      <c r="R170" s="225"/>
      <c r="S170" s="225"/>
      <c r="T170" s="230"/>
    </row>
    <row r="171" spans="1:20" s="224" customFormat="1" x14ac:dyDescent="0.25">
      <c r="A171" s="327">
        <f>'A) Base RI'!A172</f>
        <v>5678</v>
      </c>
      <c r="B171" s="237" t="str">
        <f>'A) Base RI'!B172</f>
        <v>Moudon</v>
      </c>
      <c r="C171" s="253">
        <v>0</v>
      </c>
      <c r="D171" s="226">
        <f>'B) D RI'!AA172</f>
        <v>6185</v>
      </c>
      <c r="E171" s="227">
        <f>'B) D RI'!S172</f>
        <v>75</v>
      </c>
      <c r="F171" s="10">
        <f>'B) D RI'!R172</f>
        <v>8685180.3500000015</v>
      </c>
      <c r="G171" s="10">
        <f>'B) D RI'!U172</f>
        <v>115802.40466666668</v>
      </c>
      <c r="H171" s="42">
        <f>'B) D RI'!T172</f>
        <v>7872531.5300000003</v>
      </c>
      <c r="I171" s="10">
        <f t="shared" si="19"/>
        <v>209934.17413333335</v>
      </c>
      <c r="J171" s="32">
        <f t="shared" ref="J171:J218" si="27">+$I$315/$D$315*D171</f>
        <v>519491.66023213026</v>
      </c>
      <c r="K171" s="10">
        <f t="shared" si="16"/>
        <v>209934.17413333335</v>
      </c>
      <c r="L171" s="10">
        <f t="shared" si="20"/>
        <v>309557.48609879694</v>
      </c>
      <c r="M171" s="10">
        <f>'D) Ecrêtage'!C170</f>
        <v>115802.40466666668</v>
      </c>
      <c r="N171" s="10">
        <f t="shared" si="17"/>
        <v>150275.0042174666</v>
      </c>
      <c r="O171" s="58">
        <f t="shared" si="18"/>
        <v>360209.17835079995</v>
      </c>
      <c r="P171" s="228"/>
      <c r="Q171" s="229"/>
      <c r="R171" s="225"/>
      <c r="S171" s="225"/>
      <c r="T171" s="230"/>
    </row>
    <row r="172" spans="1:20" s="224" customFormat="1" x14ac:dyDescent="0.25">
      <c r="A172" s="327">
        <f>'A) Base RI'!A173</f>
        <v>5680</v>
      </c>
      <c r="B172" s="237" t="str">
        <f>'A) Base RI'!B173</f>
        <v>Ogens</v>
      </c>
      <c r="C172" s="253">
        <v>0</v>
      </c>
      <c r="D172" s="226">
        <f>'B) D RI'!AA173</f>
        <v>304</v>
      </c>
      <c r="E172" s="227">
        <f>'B) D RI'!S173</f>
        <v>78</v>
      </c>
      <c r="F172" s="10">
        <f>'B) D RI'!R173</f>
        <v>577550.58333333337</v>
      </c>
      <c r="G172" s="10">
        <f>'B) D RI'!U173</f>
        <v>7404.4946581196582</v>
      </c>
      <c r="H172" s="42">
        <f>'B) D RI'!T173</f>
        <v>534781.05000000005</v>
      </c>
      <c r="I172" s="10">
        <f t="shared" si="19"/>
        <v>13712.334615384616</v>
      </c>
      <c r="J172" s="32">
        <f t="shared" si="27"/>
        <v>25533.624043745771</v>
      </c>
      <c r="K172" s="10">
        <f t="shared" si="16"/>
        <v>13712.334615384616</v>
      </c>
      <c r="L172" s="10">
        <f t="shared" si="20"/>
        <v>11821.289428361155</v>
      </c>
      <c r="M172" s="10">
        <f>'D) Ecrêtage'!C171</f>
        <v>7404.4946581196582</v>
      </c>
      <c r="N172" s="10">
        <f t="shared" si="17"/>
        <v>9608.6991386754016</v>
      </c>
      <c r="O172" s="58">
        <f t="shared" si="18"/>
        <v>23321.033754060016</v>
      </c>
      <c r="P172" s="228"/>
      <c r="Q172" s="229"/>
      <c r="R172" s="225"/>
      <c r="S172" s="225"/>
      <c r="T172" s="230"/>
    </row>
    <row r="173" spans="1:20" s="224" customFormat="1" x14ac:dyDescent="0.25">
      <c r="A173" s="327">
        <f>'A) Base RI'!A174</f>
        <v>5683</v>
      </c>
      <c r="B173" s="237" t="str">
        <f>'A) Base RI'!B174</f>
        <v>Prévonloup</v>
      </c>
      <c r="C173" s="253">
        <v>0</v>
      </c>
      <c r="D173" s="226">
        <f>'B) D RI'!AA174</f>
        <v>160</v>
      </c>
      <c r="E173" s="227">
        <f>'B) D RI'!S174</f>
        <v>74</v>
      </c>
      <c r="F173" s="10">
        <f>'B) D RI'!R174</f>
        <v>286836.55</v>
      </c>
      <c r="G173" s="10">
        <f>'B) D RI'!U174</f>
        <v>3876.1695945945944</v>
      </c>
      <c r="H173" s="42">
        <f>'B) D RI'!T174</f>
        <v>264185.55</v>
      </c>
      <c r="I173" s="10">
        <f t="shared" si="19"/>
        <v>7140.15</v>
      </c>
      <c r="J173" s="32">
        <f t="shared" si="27"/>
        <v>13438.7494967083</v>
      </c>
      <c r="K173" s="10">
        <f t="shared" si="16"/>
        <v>7140.15</v>
      </c>
      <c r="L173" s="10">
        <f t="shared" si="20"/>
        <v>6298.5994967083006</v>
      </c>
      <c r="M173" s="10">
        <f>'D) Ecrêtage'!C172</f>
        <v>3876.1695945945944</v>
      </c>
      <c r="N173" s="10">
        <f t="shared" si="17"/>
        <v>5030.0458254904142</v>
      </c>
      <c r="O173" s="58">
        <f t="shared" si="18"/>
        <v>12170.195825490413</v>
      </c>
      <c r="P173" s="228"/>
      <c r="Q173" s="229"/>
      <c r="R173" s="225"/>
      <c r="S173" s="225"/>
      <c r="T173" s="230"/>
    </row>
    <row r="174" spans="1:20" s="224" customFormat="1" x14ac:dyDescent="0.25">
      <c r="A174" s="327">
        <f>'A) Base RI'!A175</f>
        <v>5684</v>
      </c>
      <c r="B174" s="237" t="str">
        <f>'A) Base RI'!B175</f>
        <v>Rossenges</v>
      </c>
      <c r="C174" s="253">
        <v>0</v>
      </c>
      <c r="D174" s="226">
        <f>'B) D RI'!AA175</f>
        <v>63</v>
      </c>
      <c r="E174" s="227">
        <f>'B) D RI'!S175</f>
        <v>60</v>
      </c>
      <c r="F174" s="10">
        <f>'B) D RI'!R175</f>
        <v>176086.69</v>
      </c>
      <c r="G174" s="10">
        <f>'B) D RI'!U175</f>
        <v>2934.7781666666665</v>
      </c>
      <c r="H174" s="42">
        <f>'B) D RI'!T175</f>
        <v>167681.69</v>
      </c>
      <c r="I174" s="10">
        <f t="shared" si="19"/>
        <v>5589.3896666666669</v>
      </c>
      <c r="J174" s="32">
        <f t="shared" si="27"/>
        <v>5291.5076143288934</v>
      </c>
      <c r="K174" s="10">
        <f t="shared" si="16"/>
        <v>5291.5076143288934</v>
      </c>
      <c r="L174" s="10">
        <f t="shared" si="20"/>
        <v>0</v>
      </c>
      <c r="M174" s="10">
        <f>'D) Ecrêtage'!C173</f>
        <v>2934.7781666666665</v>
      </c>
      <c r="N174" s="10">
        <f t="shared" si="17"/>
        <v>3808.4166096777894</v>
      </c>
      <c r="O174" s="58">
        <f t="shared" si="18"/>
        <v>9099.9242240066833</v>
      </c>
      <c r="P174" s="228"/>
      <c r="Q174" s="229"/>
      <c r="R174" s="225"/>
      <c r="S174" s="225"/>
      <c r="T174" s="230"/>
    </row>
    <row r="175" spans="1:20" s="224" customFormat="1" x14ac:dyDescent="0.25">
      <c r="A175" s="327">
        <f>'A) Base RI'!A176</f>
        <v>5688</v>
      </c>
      <c r="B175" s="237" t="str">
        <f>'A) Base RI'!B176</f>
        <v>Syens</v>
      </c>
      <c r="C175" s="253">
        <v>0</v>
      </c>
      <c r="D175" s="226">
        <f>'B) D RI'!AA176</f>
        <v>150</v>
      </c>
      <c r="E175" s="227">
        <f>'B) D RI'!S176</f>
        <v>75.599999999999994</v>
      </c>
      <c r="F175" s="10">
        <f>'B) D RI'!R176</f>
        <v>459624.4800000001</v>
      </c>
      <c r="G175" s="10">
        <f>'B) D RI'!U176</f>
        <v>6079.6888888888907</v>
      </c>
      <c r="H175" s="42">
        <f>'B) D RI'!T176</f>
        <v>436894.58000000007</v>
      </c>
      <c r="I175" s="10">
        <f t="shared" si="19"/>
        <v>11558.057671957675</v>
      </c>
      <c r="J175" s="32">
        <f t="shared" si="27"/>
        <v>12598.827653164033</v>
      </c>
      <c r="K175" s="10">
        <f t="shared" si="16"/>
        <v>11558.057671957675</v>
      </c>
      <c r="L175" s="10">
        <f t="shared" si="20"/>
        <v>1040.7699812063584</v>
      </c>
      <c r="M175" s="10">
        <f>'D) Ecrêtage'!C174</f>
        <v>6079.6888888888907</v>
      </c>
      <c r="N175" s="10">
        <f t="shared" si="17"/>
        <v>7889.5190134307004</v>
      </c>
      <c r="O175" s="58">
        <f t="shared" si="18"/>
        <v>19447.576685388376</v>
      </c>
      <c r="P175" s="228"/>
      <c r="Q175" s="229"/>
      <c r="R175" s="225"/>
      <c r="S175" s="225"/>
      <c r="T175" s="230"/>
    </row>
    <row r="176" spans="1:20" s="224" customFormat="1" x14ac:dyDescent="0.25">
      <c r="A176" s="327">
        <f>'A) Base RI'!A177</f>
        <v>5690</v>
      </c>
      <c r="B176" s="237" t="str">
        <f>'A) Base RI'!B177</f>
        <v>Villars-le-Comte</v>
      </c>
      <c r="C176" s="253">
        <v>0</v>
      </c>
      <c r="D176" s="226">
        <f>'B) D RI'!AA177</f>
        <v>142</v>
      </c>
      <c r="E176" s="227">
        <f>'B) D RI'!S177</f>
        <v>70</v>
      </c>
      <c r="F176" s="10">
        <f>'B) D RI'!R177</f>
        <v>250984.70166666669</v>
      </c>
      <c r="G176" s="10">
        <f>'B) D RI'!U177</f>
        <v>3585.4957380952383</v>
      </c>
      <c r="H176" s="42">
        <f>'B) D RI'!T177</f>
        <v>230193.31000000003</v>
      </c>
      <c r="I176" s="10">
        <f t="shared" si="19"/>
        <v>6576.9517142857148</v>
      </c>
      <c r="J176" s="32">
        <f t="shared" si="27"/>
        <v>11926.890178328616</v>
      </c>
      <c r="K176" s="10">
        <f t="shared" si="16"/>
        <v>6576.9517142857148</v>
      </c>
      <c r="L176" s="10">
        <f t="shared" si="20"/>
        <v>5349.9384640429016</v>
      </c>
      <c r="M176" s="10">
        <f>'D) Ecrêtage'!C175</f>
        <v>3585.4957380952383</v>
      </c>
      <c r="N176" s="10">
        <f t="shared" si="17"/>
        <v>4652.8428206211947</v>
      </c>
      <c r="O176" s="58">
        <f t="shared" si="18"/>
        <v>11229.794534906909</v>
      </c>
      <c r="P176" s="228"/>
      <c r="Q176" s="229"/>
      <c r="R176" s="225"/>
      <c r="S176" s="225"/>
      <c r="T176" s="230"/>
    </row>
    <row r="177" spans="1:20" s="224" customFormat="1" x14ac:dyDescent="0.25">
      <c r="A177" s="327">
        <f>'A) Base RI'!A178</f>
        <v>5692</v>
      </c>
      <c r="B177" s="237" t="str">
        <f>'A) Base RI'!B178</f>
        <v>Vucherens</v>
      </c>
      <c r="C177" s="253">
        <v>0</v>
      </c>
      <c r="D177" s="226">
        <f>'B) D RI'!AA178</f>
        <v>583</v>
      </c>
      <c r="E177" s="227">
        <f>'B) D RI'!S178</f>
        <v>79</v>
      </c>
      <c r="F177" s="10">
        <f>'B) D RI'!R178</f>
        <v>1363694.4399999997</v>
      </c>
      <c r="G177" s="10">
        <f>'B) D RI'!U178</f>
        <v>17261.954936708858</v>
      </c>
      <c r="H177" s="42">
        <f>'B) D RI'!T178</f>
        <v>1277399.7899999998</v>
      </c>
      <c r="I177" s="10">
        <f t="shared" si="19"/>
        <v>32339.235189873412</v>
      </c>
      <c r="J177" s="32">
        <f t="shared" si="27"/>
        <v>48967.44347863087</v>
      </c>
      <c r="K177" s="10">
        <f t="shared" si="16"/>
        <v>32339.235189873412</v>
      </c>
      <c r="L177" s="10">
        <f t="shared" si="20"/>
        <v>16628.208288757458</v>
      </c>
      <c r="M177" s="10">
        <f>'D) Ecrêtage'!C176</f>
        <v>17261.954936708858</v>
      </c>
      <c r="N177" s="10">
        <f t="shared" si="17"/>
        <v>22400.574136456835</v>
      </c>
      <c r="O177" s="58">
        <f t="shared" si="18"/>
        <v>54739.809326330243</v>
      </c>
      <c r="P177" s="228"/>
      <c r="Q177" s="229"/>
      <c r="R177" s="225"/>
      <c r="S177" s="225"/>
      <c r="T177" s="230"/>
    </row>
    <row r="178" spans="1:20" s="224" customFormat="1" x14ac:dyDescent="0.25">
      <c r="A178" s="327">
        <f>'A) Base RI'!A179</f>
        <v>5693</v>
      </c>
      <c r="B178" s="237" t="str">
        <f>'A) Base RI'!B179</f>
        <v>Montanaire</v>
      </c>
      <c r="C178" s="253">
        <v>0</v>
      </c>
      <c r="D178" s="226">
        <f>'B) D RI'!AA179</f>
        <v>2606</v>
      </c>
      <c r="E178" s="227">
        <f>'B) D RI'!S179</f>
        <v>72</v>
      </c>
      <c r="F178" s="10">
        <f>'B) D RI'!R179</f>
        <v>5051786.33</v>
      </c>
      <c r="G178" s="10">
        <f>'B) D RI'!U179</f>
        <v>70163.69902777778</v>
      </c>
      <c r="H178" s="42">
        <f>'B) D RI'!T179</f>
        <v>4708122.13</v>
      </c>
      <c r="I178" s="10">
        <f t="shared" si="19"/>
        <v>130781.17027777777</v>
      </c>
      <c r="J178" s="32">
        <f t="shared" si="27"/>
        <v>218883.63242763645</v>
      </c>
      <c r="K178" s="10">
        <f t="shared" si="16"/>
        <v>130781.17027777777</v>
      </c>
      <c r="L178" s="10">
        <f t="shared" si="20"/>
        <v>88102.462149858678</v>
      </c>
      <c r="M178" s="10">
        <f>'D) Ecrêtage'!C177</f>
        <v>70163.69902777778</v>
      </c>
      <c r="N178" s="10">
        <f t="shared" si="17"/>
        <v>91050.355971989353</v>
      </c>
      <c r="O178" s="58">
        <f t="shared" si="18"/>
        <v>221831.52624976711</v>
      </c>
      <c r="P178" s="228"/>
      <c r="Q178" s="229"/>
      <c r="R178" s="225"/>
      <c r="S178" s="225"/>
      <c r="T178" s="230"/>
    </row>
    <row r="179" spans="1:20" s="224" customFormat="1" x14ac:dyDescent="0.25">
      <c r="A179" s="327">
        <f>'A) Base RI'!A180</f>
        <v>5701</v>
      </c>
      <c r="B179" s="237" t="str">
        <f>'A) Base RI'!B180</f>
        <v>Arnex-sur-Nyon</v>
      </c>
      <c r="C179" s="253">
        <v>0</v>
      </c>
      <c r="D179" s="226">
        <f>'B) D RI'!AA180</f>
        <v>224</v>
      </c>
      <c r="E179" s="227">
        <f>'B) D RI'!S180</f>
        <v>70</v>
      </c>
      <c r="F179" s="10">
        <f>'B) D RI'!R180</f>
        <v>1014014.1300000001</v>
      </c>
      <c r="G179" s="10">
        <f>'B) D RI'!U180</f>
        <v>14485.916142857144</v>
      </c>
      <c r="H179" s="42">
        <f>'B) D RI'!T180</f>
        <v>951423.7300000001</v>
      </c>
      <c r="I179" s="10">
        <f t="shared" si="19"/>
        <v>27183.535142857145</v>
      </c>
      <c r="J179" s="32">
        <f t="shared" si="27"/>
        <v>18814.249295391623</v>
      </c>
      <c r="K179" s="10">
        <f t="shared" si="16"/>
        <v>18814.249295391623</v>
      </c>
      <c r="L179" s="10">
        <f t="shared" si="20"/>
        <v>0</v>
      </c>
      <c r="M179" s="10">
        <f>'D) Ecrêtage'!C178</f>
        <v>14485.916142857144</v>
      </c>
      <c r="N179" s="10">
        <f t="shared" si="17"/>
        <v>18798.151175942978</v>
      </c>
      <c r="O179" s="58">
        <f t="shared" si="18"/>
        <v>37612.4004713346</v>
      </c>
      <c r="P179" s="228"/>
      <c r="Q179" s="229"/>
      <c r="R179" s="225"/>
      <c r="S179" s="225"/>
      <c r="T179" s="230"/>
    </row>
    <row r="180" spans="1:20" s="224" customFormat="1" x14ac:dyDescent="0.25">
      <c r="A180" s="327">
        <f>'A) Base RI'!A181</f>
        <v>5702</v>
      </c>
      <c r="B180" s="237" t="str">
        <f>'A) Base RI'!B181</f>
        <v>Arzier-Le Muids</v>
      </c>
      <c r="C180" s="253">
        <v>0</v>
      </c>
      <c r="D180" s="226">
        <f>'B) D RI'!AA181</f>
        <v>2653</v>
      </c>
      <c r="E180" s="227">
        <f>'B) D RI'!S181</f>
        <v>64</v>
      </c>
      <c r="F180" s="10">
        <f>'B) D RI'!R181</f>
        <v>9955494.9000000022</v>
      </c>
      <c r="G180" s="10">
        <f>'B) D RI'!U181</f>
        <v>155554.60781250003</v>
      </c>
      <c r="H180" s="42">
        <f>'B) D RI'!T181</f>
        <v>9230852.5000000019</v>
      </c>
      <c r="I180" s="10">
        <f t="shared" si="19"/>
        <v>288464.14062500006</v>
      </c>
      <c r="J180" s="32">
        <f t="shared" si="27"/>
        <v>222831.26509229452</v>
      </c>
      <c r="K180" s="10">
        <f t="shared" si="16"/>
        <v>222831.26509229452</v>
      </c>
      <c r="L180" s="10">
        <f t="shared" si="20"/>
        <v>0</v>
      </c>
      <c r="M180" s="10">
        <f>'D) Ecrêtage'!C179</f>
        <v>155554.60781250003</v>
      </c>
      <c r="N180" s="10">
        <f t="shared" si="17"/>
        <v>201860.82847205759</v>
      </c>
      <c r="O180" s="58">
        <f t="shared" si="18"/>
        <v>424692.09356435214</v>
      </c>
      <c r="P180" s="228"/>
      <c r="Q180" s="229"/>
      <c r="R180" s="225"/>
      <c r="S180" s="225"/>
      <c r="T180" s="230"/>
    </row>
    <row r="181" spans="1:20" s="224" customFormat="1" x14ac:dyDescent="0.25">
      <c r="A181" s="327">
        <f>'A) Base RI'!A182</f>
        <v>5703</v>
      </c>
      <c r="B181" s="237" t="str">
        <f>'A) Base RI'!B182</f>
        <v>Bassins</v>
      </c>
      <c r="C181" s="253">
        <v>0</v>
      </c>
      <c r="D181" s="226">
        <f>'B) D RI'!AA182</f>
        <v>1356</v>
      </c>
      <c r="E181" s="227">
        <f>'B) D RI'!S182</f>
        <v>74</v>
      </c>
      <c r="F181" s="10">
        <f>'B) D RI'!R182</f>
        <v>4189864.0485714283</v>
      </c>
      <c r="G181" s="10">
        <f>'B) D RI'!U182</f>
        <v>56619.784440154435</v>
      </c>
      <c r="H181" s="42">
        <f>'B) D RI'!T182</f>
        <v>3899081.82</v>
      </c>
      <c r="I181" s="10">
        <f t="shared" si="19"/>
        <v>105380.58972972972</v>
      </c>
      <c r="J181" s="32">
        <f t="shared" si="27"/>
        <v>113893.40198460285</v>
      </c>
      <c r="K181" s="10">
        <f t="shared" si="16"/>
        <v>105380.58972972972</v>
      </c>
      <c r="L181" s="10">
        <f t="shared" si="20"/>
        <v>8512.8122548731335</v>
      </c>
      <c r="M181" s="10">
        <f>'D) Ecrêtage'!C180</f>
        <v>56619.784440154435</v>
      </c>
      <c r="N181" s="10">
        <f t="shared" si="17"/>
        <v>73474.62576470495</v>
      </c>
      <c r="O181" s="58">
        <f t="shared" si="18"/>
        <v>178855.21549443467</v>
      </c>
      <c r="P181" s="228"/>
      <c r="Q181" s="229"/>
      <c r="R181" s="225"/>
      <c r="S181" s="225"/>
      <c r="T181" s="230"/>
    </row>
    <row r="182" spans="1:20" s="224" customFormat="1" x14ac:dyDescent="0.25">
      <c r="A182" s="327">
        <f>'A) Base RI'!A183</f>
        <v>5704</v>
      </c>
      <c r="B182" s="237" t="str">
        <f>'A) Base RI'!B183</f>
        <v>Begnins</v>
      </c>
      <c r="C182" s="253">
        <v>0</v>
      </c>
      <c r="D182" s="226">
        <f>'B) D RI'!AA183</f>
        <v>1910</v>
      </c>
      <c r="E182" s="227">
        <f>'B) D RI'!S183</f>
        <v>67</v>
      </c>
      <c r="F182" s="10">
        <f>'B) D RI'!R183</f>
        <v>8521178.6099999994</v>
      </c>
      <c r="G182" s="10">
        <f>'B) D RI'!U183</f>
        <v>127181.77029850746</v>
      </c>
      <c r="H182" s="42">
        <f>'B) D RI'!T183</f>
        <v>8056143.9100000001</v>
      </c>
      <c r="I182" s="10">
        <f t="shared" si="19"/>
        <v>240481.90776119404</v>
      </c>
      <c r="J182" s="32">
        <f t="shared" si="27"/>
        <v>160425.07211695536</v>
      </c>
      <c r="K182" s="10">
        <f t="shared" si="16"/>
        <v>160425.07211695536</v>
      </c>
      <c r="L182" s="10">
        <f t="shared" si="20"/>
        <v>0</v>
      </c>
      <c r="M182" s="10">
        <f>'D) Ecrêtage'!C181</f>
        <v>127181.77029850746</v>
      </c>
      <c r="N182" s="10">
        <f t="shared" si="17"/>
        <v>165041.83244732281</v>
      </c>
      <c r="O182" s="58">
        <f t="shared" si="18"/>
        <v>325466.9045642782</v>
      </c>
      <c r="P182" s="228"/>
      <c r="Q182" s="229"/>
      <c r="R182" s="225"/>
      <c r="S182" s="225"/>
      <c r="T182" s="230"/>
    </row>
    <row r="183" spans="1:20" s="224" customFormat="1" x14ac:dyDescent="0.25">
      <c r="A183" s="327">
        <f>'A) Base RI'!A184</f>
        <v>5705</v>
      </c>
      <c r="B183" s="237" t="str">
        <f>'A) Base RI'!B184</f>
        <v>Bogis-Bossey</v>
      </c>
      <c r="C183" s="253">
        <v>0</v>
      </c>
      <c r="D183" s="226">
        <f>'B) D RI'!AA184</f>
        <v>893</v>
      </c>
      <c r="E183" s="227">
        <f>'B) D RI'!S184</f>
        <v>70</v>
      </c>
      <c r="F183" s="10">
        <f>'B) D RI'!R184</f>
        <v>3847616.7100000004</v>
      </c>
      <c r="G183" s="10">
        <f>'B) D RI'!U184</f>
        <v>54965.953000000009</v>
      </c>
      <c r="H183" s="42">
        <f>'B) D RI'!T184</f>
        <v>3630002.3100000005</v>
      </c>
      <c r="I183" s="10">
        <f t="shared" si="19"/>
        <v>103714.35171428573</v>
      </c>
      <c r="J183" s="32">
        <f t="shared" si="27"/>
        <v>75005.020628503204</v>
      </c>
      <c r="K183" s="10">
        <f t="shared" si="16"/>
        <v>75005.020628503204</v>
      </c>
      <c r="L183" s="10">
        <f t="shared" si="20"/>
        <v>0</v>
      </c>
      <c r="M183" s="10">
        <f>'D) Ecrêtage'!C182</f>
        <v>54965.953000000009</v>
      </c>
      <c r="N183" s="10">
        <f t="shared" si="17"/>
        <v>71328.474073299498</v>
      </c>
      <c r="O183" s="58">
        <f t="shared" si="18"/>
        <v>146333.4947018027</v>
      </c>
      <c r="P183" s="228"/>
      <c r="Q183" s="229"/>
      <c r="R183" s="225"/>
      <c r="S183" s="225"/>
      <c r="T183" s="230"/>
    </row>
    <row r="184" spans="1:20" s="224" customFormat="1" x14ac:dyDescent="0.25">
      <c r="A184" s="327">
        <f>'A) Base RI'!A185</f>
        <v>5706</v>
      </c>
      <c r="B184" s="237" t="str">
        <f>'A) Base RI'!B185</f>
        <v>Borex</v>
      </c>
      <c r="C184" s="253">
        <v>0</v>
      </c>
      <c r="D184" s="226">
        <f>'B) D RI'!AA185</f>
        <v>1126</v>
      </c>
      <c r="E184" s="227">
        <f>'B) D RI'!S185</f>
        <v>58</v>
      </c>
      <c r="F184" s="10">
        <f>'B) D RI'!R185</f>
        <v>4167709.6966666668</v>
      </c>
      <c r="G184" s="10">
        <f>'B) D RI'!U185</f>
        <v>71857.063735632182</v>
      </c>
      <c r="H184" s="42">
        <f>'B) D RI'!T185</f>
        <v>3918018.83</v>
      </c>
      <c r="I184" s="10">
        <f t="shared" si="19"/>
        <v>135104.09758620689</v>
      </c>
      <c r="J184" s="32">
        <f t="shared" si="27"/>
        <v>94575.199583084672</v>
      </c>
      <c r="K184" s="10">
        <f t="shared" si="16"/>
        <v>94575.199583084672</v>
      </c>
      <c r="L184" s="10">
        <f t="shared" si="20"/>
        <v>0</v>
      </c>
      <c r="M184" s="10">
        <f>'D) Ecrêtage'!C183</f>
        <v>71857.063735632182</v>
      </c>
      <c r="N184" s="10">
        <f t="shared" si="17"/>
        <v>93247.809378479607</v>
      </c>
      <c r="O184" s="58">
        <f t="shared" si="18"/>
        <v>187823.00896156428</v>
      </c>
      <c r="P184" s="228"/>
      <c r="Q184" s="229"/>
      <c r="R184" s="225"/>
      <c r="S184" s="225"/>
      <c r="T184" s="230"/>
    </row>
    <row r="185" spans="1:20" s="224" customFormat="1" x14ac:dyDescent="0.25">
      <c r="A185" s="327">
        <f>'A) Base RI'!A186</f>
        <v>5707</v>
      </c>
      <c r="B185" s="237" t="str">
        <f>'A) Base RI'!B186</f>
        <v>Chavannes-de-Bogis</v>
      </c>
      <c r="C185" s="253">
        <v>0</v>
      </c>
      <c r="D185" s="226">
        <f>'B) D RI'!AA186</f>
        <v>1290</v>
      </c>
      <c r="E185" s="227">
        <f>'B) D RI'!S186</f>
        <v>59</v>
      </c>
      <c r="F185" s="10">
        <f>'B) D RI'!R186</f>
        <v>4961173.7366666673</v>
      </c>
      <c r="G185" s="10">
        <f>'B) D RI'!U186</f>
        <v>84087.690451977411</v>
      </c>
      <c r="H185" s="42">
        <f>'B) D RI'!T186</f>
        <v>4451385.67</v>
      </c>
      <c r="I185" s="10">
        <f t="shared" si="19"/>
        <v>150894.42949152543</v>
      </c>
      <c r="J185" s="32">
        <f t="shared" si="27"/>
        <v>108349.91781721068</v>
      </c>
      <c r="K185" s="10">
        <f t="shared" si="16"/>
        <v>108349.91781721068</v>
      </c>
      <c r="L185" s="10">
        <f t="shared" si="20"/>
        <v>0</v>
      </c>
      <c r="M185" s="10">
        <f>'D) Ecrêtage'!C184</f>
        <v>84087.690451977411</v>
      </c>
      <c r="N185" s="10">
        <f t="shared" si="17"/>
        <v>109119.3060600169</v>
      </c>
      <c r="O185" s="58">
        <f t="shared" si="18"/>
        <v>217469.22387722757</v>
      </c>
      <c r="P185" s="228"/>
      <c r="Q185" s="229"/>
      <c r="R185" s="225"/>
      <c r="S185" s="225"/>
      <c r="T185" s="230"/>
    </row>
    <row r="186" spans="1:20" s="224" customFormat="1" x14ac:dyDescent="0.25">
      <c r="A186" s="327">
        <f>'A) Base RI'!A187</f>
        <v>5708</v>
      </c>
      <c r="B186" s="237" t="str">
        <f>'A) Base RI'!B187</f>
        <v>Chavannes-des-Bois</v>
      </c>
      <c r="C186" s="253">
        <v>0</v>
      </c>
      <c r="D186" s="226">
        <f>'B) D RI'!AA187</f>
        <v>942</v>
      </c>
      <c r="E186" s="227">
        <f>'B) D RI'!S187</f>
        <v>59</v>
      </c>
      <c r="F186" s="10">
        <f>'B) D RI'!R187</f>
        <v>3395770.6999999997</v>
      </c>
      <c r="G186" s="10">
        <f>'B) D RI'!U187</f>
        <v>57555.435593220333</v>
      </c>
      <c r="H186" s="42">
        <f>'B) D RI'!T187</f>
        <v>3130660.05</v>
      </c>
      <c r="I186" s="10">
        <f t="shared" si="19"/>
        <v>106124.06949152541</v>
      </c>
      <c r="J186" s="32">
        <f t="shared" si="27"/>
        <v>79120.637661870118</v>
      </c>
      <c r="K186" s="10">
        <f t="shared" si="16"/>
        <v>79120.637661870118</v>
      </c>
      <c r="L186" s="10">
        <f t="shared" si="20"/>
        <v>0</v>
      </c>
      <c r="M186" s="10">
        <f>'D) Ecrêtage'!C185</f>
        <v>57555.435593220333</v>
      </c>
      <c r="N186" s="10">
        <f t="shared" si="17"/>
        <v>74688.805913880453</v>
      </c>
      <c r="O186" s="58">
        <f t="shared" si="18"/>
        <v>153809.44357575057</v>
      </c>
      <c r="P186" s="228"/>
      <c r="Q186" s="229"/>
      <c r="R186" s="225"/>
      <c r="S186" s="225"/>
      <c r="T186" s="230"/>
    </row>
    <row r="187" spans="1:20" s="224" customFormat="1" x14ac:dyDescent="0.25">
      <c r="A187" s="327">
        <f>'A) Base RI'!A188</f>
        <v>5709</v>
      </c>
      <c r="B187" s="237" t="str">
        <f>'A) Base RI'!B188</f>
        <v>Chéserex</v>
      </c>
      <c r="C187" s="253">
        <v>0</v>
      </c>
      <c r="D187" s="226">
        <f>'B) D RI'!AA188</f>
        <v>1219</v>
      </c>
      <c r="E187" s="227">
        <f>'B) D RI'!S188</f>
        <v>57</v>
      </c>
      <c r="F187" s="10">
        <f>'B) D RI'!R188</f>
        <v>4367750.1000000006</v>
      </c>
      <c r="G187" s="10">
        <f>'B) D RI'!U188</f>
        <v>76627.19473684211</v>
      </c>
      <c r="H187" s="42">
        <f>'B) D RI'!T188</f>
        <v>4039693.6</v>
      </c>
      <c r="I187" s="10">
        <f t="shared" si="19"/>
        <v>141743.6350877193</v>
      </c>
      <c r="J187" s="32">
        <f t="shared" si="27"/>
        <v>102386.47272804637</v>
      </c>
      <c r="K187" s="10">
        <f t="shared" si="16"/>
        <v>102386.47272804637</v>
      </c>
      <c r="L187" s="10">
        <f t="shared" si="20"/>
        <v>0</v>
      </c>
      <c r="M187" s="10">
        <f>'D) Ecrêtage'!C186</f>
        <v>76627.19473684211</v>
      </c>
      <c r="N187" s="10">
        <f t="shared" si="17"/>
        <v>99437.935208664785</v>
      </c>
      <c r="O187" s="58">
        <f t="shared" si="18"/>
        <v>201824.40793671116</v>
      </c>
      <c r="P187" s="228"/>
      <c r="Q187" s="229"/>
      <c r="R187" s="225"/>
      <c r="S187" s="225"/>
      <c r="T187" s="230"/>
    </row>
    <row r="188" spans="1:20" s="224" customFormat="1" x14ac:dyDescent="0.25">
      <c r="A188" s="327">
        <f>'A) Base RI'!A189</f>
        <v>5710</v>
      </c>
      <c r="B188" s="237" t="str">
        <f>'A) Base RI'!B189</f>
        <v>Coinsins</v>
      </c>
      <c r="C188" s="253">
        <v>0</v>
      </c>
      <c r="D188" s="226">
        <f>'B) D RI'!AA189</f>
        <v>484</v>
      </c>
      <c r="E188" s="227">
        <f>'B) D RI'!S189</f>
        <v>51</v>
      </c>
      <c r="F188" s="10">
        <f>'B) D RI'!R189</f>
        <v>4756019.6100000013</v>
      </c>
      <c r="G188" s="10">
        <f>'B) D RI'!U189</f>
        <v>93255.286470588253</v>
      </c>
      <c r="H188" s="42">
        <f>'B) D RI'!T189</f>
        <v>4630600.8600000013</v>
      </c>
      <c r="I188" s="10">
        <f t="shared" si="19"/>
        <v>181592.19058823533</v>
      </c>
      <c r="J188" s="32">
        <f t="shared" si="27"/>
        <v>40652.217227542613</v>
      </c>
      <c r="K188" s="10">
        <f t="shared" si="16"/>
        <v>40652.217227542613</v>
      </c>
      <c r="L188" s="10">
        <f t="shared" si="20"/>
        <v>0</v>
      </c>
      <c r="M188" s="10">
        <f>'D) Ecrêtage'!C187</f>
        <v>93255.286470588253</v>
      </c>
      <c r="N188" s="10">
        <f t="shared" si="17"/>
        <v>121015.95478960351</v>
      </c>
      <c r="O188" s="58">
        <f t="shared" si="18"/>
        <v>161668.17201714613</v>
      </c>
      <c r="P188" s="228"/>
      <c r="Q188" s="229"/>
      <c r="R188" s="225"/>
      <c r="S188" s="225"/>
      <c r="T188" s="230"/>
    </row>
    <row r="189" spans="1:20" s="224" customFormat="1" x14ac:dyDescent="0.25">
      <c r="A189" s="327">
        <f>'A) Base RI'!A190</f>
        <v>5711</v>
      </c>
      <c r="B189" s="237" t="str">
        <f>'A) Base RI'!B190</f>
        <v>Commugny</v>
      </c>
      <c r="C189" s="253">
        <v>0</v>
      </c>
      <c r="D189" s="226">
        <f>'B) D RI'!AA190</f>
        <v>2858</v>
      </c>
      <c r="E189" s="227">
        <f>'B) D RI'!S190</f>
        <v>57</v>
      </c>
      <c r="F189" s="10">
        <f>'B) D RI'!R190</f>
        <v>14405330.353846151</v>
      </c>
      <c r="G189" s="10">
        <f>'B) D RI'!U190</f>
        <v>252725.09392712548</v>
      </c>
      <c r="H189" s="42">
        <f>'B) D RI'!T190</f>
        <v>13565122.049999997</v>
      </c>
      <c r="I189" s="10">
        <f t="shared" si="19"/>
        <v>475969.19473684201</v>
      </c>
      <c r="J189" s="32">
        <f t="shared" si="27"/>
        <v>240049.66288495203</v>
      </c>
      <c r="K189" s="10">
        <f t="shared" si="16"/>
        <v>240049.66288495203</v>
      </c>
      <c r="L189" s="10">
        <f t="shared" si="20"/>
        <v>0</v>
      </c>
      <c r="M189" s="10">
        <f>'D) Ecrêtage'!C188</f>
        <v>252725.09392712548</v>
      </c>
      <c r="N189" s="10">
        <f t="shared" si="17"/>
        <v>327957.47778362269</v>
      </c>
      <c r="O189" s="58">
        <f t="shared" si="18"/>
        <v>568007.14066857472</v>
      </c>
      <c r="P189" s="228"/>
      <c r="Q189" s="229"/>
      <c r="R189" s="225"/>
      <c r="S189" s="225"/>
      <c r="T189" s="230"/>
    </row>
    <row r="190" spans="1:20" s="224" customFormat="1" x14ac:dyDescent="0.25">
      <c r="A190" s="327">
        <f>'A) Base RI'!A191</f>
        <v>5712</v>
      </c>
      <c r="B190" s="237" t="str">
        <f>'A) Base RI'!B191</f>
        <v>Coppet</v>
      </c>
      <c r="C190" s="253">
        <v>0</v>
      </c>
      <c r="D190" s="226">
        <f>'B) D RI'!AA191</f>
        <v>3123</v>
      </c>
      <c r="E190" s="227">
        <f>'B) D RI'!S191</f>
        <v>53</v>
      </c>
      <c r="F190" s="10">
        <f>'B) D RI'!R191</f>
        <v>17228108.233333334</v>
      </c>
      <c r="G190" s="10">
        <f>'B) D RI'!U191</f>
        <v>325058.64591194969</v>
      </c>
      <c r="H190" s="42">
        <f>'B) D RI'!T191</f>
        <v>16178949.949999999</v>
      </c>
      <c r="I190" s="10">
        <f t="shared" si="19"/>
        <v>610526.41320754716</v>
      </c>
      <c r="J190" s="32">
        <f t="shared" si="27"/>
        <v>262307.59173887514</v>
      </c>
      <c r="K190" s="10">
        <f t="shared" si="16"/>
        <v>262307.59173887514</v>
      </c>
      <c r="L190" s="10">
        <f t="shared" si="20"/>
        <v>0</v>
      </c>
      <c r="M190" s="10">
        <f>'D) Ecrêtage'!C189</f>
        <v>325058.64591194969</v>
      </c>
      <c r="N190" s="10">
        <f t="shared" si="17"/>
        <v>421823.61865412106</v>
      </c>
      <c r="O190" s="58">
        <f t="shared" si="18"/>
        <v>684131.2103929962</v>
      </c>
      <c r="P190" s="228"/>
      <c r="Q190" s="229"/>
      <c r="R190" s="225"/>
      <c r="S190" s="225"/>
      <c r="T190" s="230"/>
    </row>
    <row r="191" spans="1:20" s="224" customFormat="1" x14ac:dyDescent="0.25">
      <c r="A191" s="327">
        <f>'A) Base RI'!A192</f>
        <v>5713</v>
      </c>
      <c r="B191" s="237" t="str">
        <f>'A) Base RI'!B192</f>
        <v>Crans-près-Céligny</v>
      </c>
      <c r="C191" s="253">
        <v>1</v>
      </c>
      <c r="D191" s="226">
        <f>'B) D RI'!AA192</f>
        <v>2177</v>
      </c>
      <c r="E191" s="227">
        <f>'B) D RI'!S192</f>
        <v>53</v>
      </c>
      <c r="F191" s="10">
        <f>'B) D RI'!R192</f>
        <v>12666068.310000001</v>
      </c>
      <c r="G191" s="10">
        <f>'B) D RI'!U192</f>
        <v>238982.42094339622</v>
      </c>
      <c r="H191" s="42">
        <f>'B) D RI'!T192</f>
        <v>11900604.16</v>
      </c>
      <c r="I191" s="10">
        <f t="shared" si="19"/>
        <v>449079.40226415097</v>
      </c>
      <c r="J191" s="32">
        <f t="shared" si="27"/>
        <v>182850.98533958732</v>
      </c>
      <c r="K191" s="10">
        <f t="shared" si="16"/>
        <v>0</v>
      </c>
      <c r="L191" s="10">
        <f t="shared" si="20"/>
        <v>182850.98533958732</v>
      </c>
      <c r="M191" s="10">
        <f>'D) Ecrêtage'!C190</f>
        <v>238982.42094339622</v>
      </c>
      <c r="N191" s="10">
        <f t="shared" si="17"/>
        <v>310123.82185451023</v>
      </c>
      <c r="O191" s="58">
        <f t="shared" si="18"/>
        <v>310123.82185451023</v>
      </c>
      <c r="P191" s="228"/>
      <c r="Q191" s="229"/>
      <c r="R191" s="225"/>
      <c r="S191" s="225"/>
      <c r="T191" s="230"/>
    </row>
    <row r="192" spans="1:20" s="224" customFormat="1" x14ac:dyDescent="0.25">
      <c r="A192" s="327">
        <f>'A) Base RI'!A193</f>
        <v>5714</v>
      </c>
      <c r="B192" s="237" t="str">
        <f>'A) Base RI'!B193</f>
        <v>Crassier</v>
      </c>
      <c r="C192" s="253">
        <v>0</v>
      </c>
      <c r="D192" s="226">
        <f>'B) D RI'!AA193</f>
        <v>1161</v>
      </c>
      <c r="E192" s="227">
        <f>'B) D RI'!S193</f>
        <v>64</v>
      </c>
      <c r="F192" s="10">
        <f>'B) D RI'!R193</f>
        <v>5208275.4799999995</v>
      </c>
      <c r="G192" s="10">
        <f>'B) D RI'!U193</f>
        <v>81379.304374999992</v>
      </c>
      <c r="H192" s="42">
        <f>'B) D RI'!T193</f>
        <v>4934883.18</v>
      </c>
      <c r="I192" s="10">
        <f t="shared" si="19"/>
        <v>154215.09937499999</v>
      </c>
      <c r="J192" s="32">
        <f t="shared" si="27"/>
        <v>97514.926035489611</v>
      </c>
      <c r="K192" s="10">
        <f t="shared" si="16"/>
        <v>97514.926035489611</v>
      </c>
      <c r="L192" s="10">
        <f t="shared" si="20"/>
        <v>0</v>
      </c>
      <c r="M192" s="10">
        <f>'D) Ecrêtage'!C191</f>
        <v>81379.304374999992</v>
      </c>
      <c r="N192" s="10">
        <f t="shared" si="17"/>
        <v>105604.67499245096</v>
      </c>
      <c r="O192" s="58">
        <f t="shared" si="18"/>
        <v>203119.60102794057</v>
      </c>
      <c r="P192" s="228"/>
      <c r="Q192" s="229"/>
      <c r="R192" s="225"/>
      <c r="S192" s="225"/>
      <c r="T192" s="230"/>
    </row>
    <row r="193" spans="1:20" s="224" customFormat="1" x14ac:dyDescent="0.25">
      <c r="A193" s="327">
        <f>'A) Base RI'!A194</f>
        <v>5715</v>
      </c>
      <c r="B193" s="237" t="str">
        <f>'A) Base RI'!B194</f>
        <v>Duillier</v>
      </c>
      <c r="C193" s="253">
        <v>0</v>
      </c>
      <c r="D193" s="226">
        <f>'B) D RI'!AA194</f>
        <v>1078</v>
      </c>
      <c r="E193" s="227">
        <f>'B) D RI'!S194</f>
        <v>66</v>
      </c>
      <c r="F193" s="10">
        <f>'B) D RI'!R194</f>
        <v>3908576.12</v>
      </c>
      <c r="G193" s="10">
        <f>'B) D RI'!U194</f>
        <v>59220.850303030304</v>
      </c>
      <c r="H193" s="42">
        <f>'B) D RI'!T194</f>
        <v>3652894.27</v>
      </c>
      <c r="I193" s="10">
        <f t="shared" si="19"/>
        <v>110693.76575757576</v>
      </c>
      <c r="J193" s="32">
        <f t="shared" si="27"/>
        <v>90543.574734072186</v>
      </c>
      <c r="K193" s="10">
        <f t="shared" ref="K193:K253" si="28">IF(C193=1,0,IF(J193&gt;I193,I193,J193))</f>
        <v>90543.574734072186</v>
      </c>
      <c r="L193" s="10">
        <f t="shared" si="20"/>
        <v>0</v>
      </c>
      <c r="M193" s="10">
        <f>'D) Ecrêtage'!C192</f>
        <v>59220.850303030304</v>
      </c>
      <c r="N193" s="10">
        <f t="shared" ref="N193:N253" si="29">+$N$5*M193</f>
        <v>76849.989036639599</v>
      </c>
      <c r="O193" s="58">
        <f t="shared" ref="O193:O253" si="30">+N193+K193</f>
        <v>167393.56377071177</v>
      </c>
      <c r="P193" s="228"/>
      <c r="Q193" s="229"/>
      <c r="R193" s="225"/>
      <c r="S193" s="225"/>
      <c r="T193" s="230"/>
    </row>
    <row r="194" spans="1:20" s="224" customFormat="1" x14ac:dyDescent="0.25">
      <c r="A194" s="327">
        <f>'A) Base RI'!A195</f>
        <v>5716</v>
      </c>
      <c r="B194" s="237" t="str">
        <f>'A) Base RI'!B195</f>
        <v>Eysins</v>
      </c>
      <c r="C194" s="253">
        <v>0</v>
      </c>
      <c r="D194" s="226">
        <f>'B) D RI'!AA195</f>
        <v>1603</v>
      </c>
      <c r="E194" s="227">
        <f>'B) D RI'!S195</f>
        <v>61</v>
      </c>
      <c r="F194" s="10">
        <f>'B) D RI'!R195</f>
        <v>7573267.0199999996</v>
      </c>
      <c r="G194" s="10">
        <f>'B) D RI'!U195</f>
        <v>124151.91836065573</v>
      </c>
      <c r="H194" s="42">
        <f>'B) D RI'!T195</f>
        <v>6964932.2199999997</v>
      </c>
      <c r="I194" s="10">
        <f t="shared" ref="I194:I254" si="31">+H194/E194*$I$5</f>
        <v>228358.43344262295</v>
      </c>
      <c r="J194" s="32">
        <f t="shared" si="27"/>
        <v>134639.4715201463</v>
      </c>
      <c r="K194" s="10">
        <f t="shared" si="28"/>
        <v>134639.4715201463</v>
      </c>
      <c r="L194" s="10">
        <f t="shared" ref="L194:L254" si="32">+J194-K194</f>
        <v>0</v>
      </c>
      <c r="M194" s="10">
        <f>'D) Ecrêtage'!C193</f>
        <v>124151.91836065573</v>
      </c>
      <c r="N194" s="10">
        <f t="shared" si="29"/>
        <v>161110.04006313559</v>
      </c>
      <c r="O194" s="58">
        <f t="shared" si="30"/>
        <v>295749.51158328191</v>
      </c>
      <c r="P194" s="228"/>
      <c r="Q194" s="229"/>
      <c r="R194" s="225"/>
      <c r="S194" s="225"/>
      <c r="T194" s="230"/>
    </row>
    <row r="195" spans="1:20" s="224" customFormat="1" x14ac:dyDescent="0.25">
      <c r="A195" s="327">
        <f>'A) Base RI'!A196</f>
        <v>5717</v>
      </c>
      <c r="B195" s="237" t="str">
        <f>'A) Base RI'!B196</f>
        <v>Founex</v>
      </c>
      <c r="C195" s="253">
        <v>0</v>
      </c>
      <c r="D195" s="226">
        <f>'B) D RI'!AA196</f>
        <v>3788</v>
      </c>
      <c r="E195" s="227">
        <f>'B) D RI'!S196</f>
        <v>57</v>
      </c>
      <c r="F195" s="10">
        <f>'B) D RI'!R196</f>
        <v>19342540.5</v>
      </c>
      <c r="G195" s="10">
        <f>'B) D RI'!U196</f>
        <v>339342.81578947371</v>
      </c>
      <c r="H195" s="42">
        <f>'B) D RI'!T196</f>
        <v>18094425.449999999</v>
      </c>
      <c r="I195" s="10">
        <f t="shared" si="31"/>
        <v>634892.12105263153</v>
      </c>
      <c r="J195" s="32">
        <f t="shared" si="27"/>
        <v>318162.39433456905</v>
      </c>
      <c r="K195" s="10">
        <f t="shared" si="28"/>
        <v>318162.39433456905</v>
      </c>
      <c r="L195" s="10">
        <f t="shared" si="32"/>
        <v>0</v>
      </c>
      <c r="M195" s="10">
        <f>'D) Ecrêtage'!C194</f>
        <v>339342.81578947371</v>
      </c>
      <c r="N195" s="10">
        <f t="shared" si="29"/>
        <v>440359.96679617144</v>
      </c>
      <c r="O195" s="58">
        <f t="shared" si="30"/>
        <v>758522.36113074049</v>
      </c>
      <c r="P195" s="228"/>
      <c r="Q195" s="229"/>
      <c r="R195" s="225"/>
      <c r="S195" s="225"/>
      <c r="T195" s="230"/>
    </row>
    <row r="196" spans="1:20" s="224" customFormat="1" x14ac:dyDescent="0.25">
      <c r="A196" s="327">
        <f>'A) Base RI'!A197</f>
        <v>5718</v>
      </c>
      <c r="B196" s="237" t="str">
        <f>'A) Base RI'!B197</f>
        <v>Genolier</v>
      </c>
      <c r="C196" s="253">
        <v>0</v>
      </c>
      <c r="D196" s="226">
        <f>'B) D RI'!AA197</f>
        <v>1945</v>
      </c>
      <c r="E196" s="227">
        <f>'B) D RI'!S197</f>
        <v>55</v>
      </c>
      <c r="F196" s="10">
        <f>'B) D RI'!R197</f>
        <v>9716984.8700000029</v>
      </c>
      <c r="G196" s="10">
        <f>'B) D RI'!U197</f>
        <v>176672.45218181823</v>
      </c>
      <c r="H196" s="42">
        <f>'B) D RI'!T197</f>
        <v>9104071.7700000014</v>
      </c>
      <c r="I196" s="10">
        <f t="shared" si="31"/>
        <v>331057.15527272731</v>
      </c>
      <c r="J196" s="32">
        <f t="shared" si="27"/>
        <v>163364.79856936028</v>
      </c>
      <c r="K196" s="10">
        <f t="shared" si="28"/>
        <v>163364.79856936028</v>
      </c>
      <c r="L196" s="10">
        <f t="shared" si="32"/>
        <v>0</v>
      </c>
      <c r="M196" s="10">
        <f>'D) Ecrêtage'!C195</f>
        <v>176672.45218181823</v>
      </c>
      <c r="N196" s="10">
        <f t="shared" si="29"/>
        <v>229265.13117887842</v>
      </c>
      <c r="O196" s="58">
        <f t="shared" si="30"/>
        <v>392629.9297482387</v>
      </c>
      <c r="P196" s="228"/>
      <c r="Q196" s="229"/>
      <c r="R196" s="225"/>
      <c r="S196" s="225"/>
      <c r="T196" s="230"/>
    </row>
    <row r="197" spans="1:20" s="224" customFormat="1" x14ac:dyDescent="0.25">
      <c r="A197" s="327">
        <f>'A) Base RI'!A198</f>
        <v>5719</v>
      </c>
      <c r="B197" s="237" t="str">
        <f>'A) Base RI'!B198</f>
        <v>Gingins</v>
      </c>
      <c r="C197" s="253">
        <v>0</v>
      </c>
      <c r="D197" s="226">
        <f>'B) D RI'!AA198</f>
        <v>1212</v>
      </c>
      <c r="E197" s="227">
        <f>'B) D RI'!S198</f>
        <v>57</v>
      </c>
      <c r="F197" s="10">
        <f>'B) D RI'!R198</f>
        <v>7457046.126666666</v>
      </c>
      <c r="G197" s="10">
        <f>'B) D RI'!U198</f>
        <v>130825.37064327484</v>
      </c>
      <c r="H197" s="42">
        <f>'B) D RI'!T198</f>
        <v>7090488.3599999994</v>
      </c>
      <c r="I197" s="10">
        <f t="shared" si="31"/>
        <v>248789.06526315789</v>
      </c>
      <c r="J197" s="32">
        <f t="shared" si="27"/>
        <v>101798.52743756538</v>
      </c>
      <c r="K197" s="10">
        <f t="shared" si="28"/>
        <v>101798.52743756538</v>
      </c>
      <c r="L197" s="10">
        <f t="shared" si="32"/>
        <v>0</v>
      </c>
      <c r="M197" s="10">
        <f>'D) Ecrêtage'!C196</f>
        <v>130825.37064327484</v>
      </c>
      <c r="N197" s="10">
        <f t="shared" si="29"/>
        <v>169770.07672474315</v>
      </c>
      <c r="O197" s="58">
        <f t="shared" si="30"/>
        <v>271568.6041623085</v>
      </c>
      <c r="P197" s="228"/>
      <c r="Q197" s="229"/>
      <c r="R197" s="225"/>
      <c r="S197" s="225"/>
      <c r="T197" s="230"/>
    </row>
    <row r="198" spans="1:20" s="224" customFormat="1" x14ac:dyDescent="0.25">
      <c r="A198" s="327">
        <f>'A) Base RI'!A199</f>
        <v>5720</v>
      </c>
      <c r="B198" s="237" t="str">
        <f>'A) Base RI'!B199</f>
        <v>Givrins</v>
      </c>
      <c r="C198" s="253">
        <v>0</v>
      </c>
      <c r="D198" s="226">
        <f>'B) D RI'!AA199</f>
        <v>995</v>
      </c>
      <c r="E198" s="227">
        <f>'B) D RI'!S199</f>
        <v>61</v>
      </c>
      <c r="F198" s="10">
        <f>'B) D RI'!R199</f>
        <v>4431221.5722222216</v>
      </c>
      <c r="G198" s="10">
        <f>'B) D RI'!U199</f>
        <v>72642.976593806918</v>
      </c>
      <c r="H198" s="42">
        <f>'B) D RI'!T199</f>
        <v>4147951.3499999996</v>
      </c>
      <c r="I198" s="10">
        <f t="shared" si="31"/>
        <v>135998.40491803279</v>
      </c>
      <c r="J198" s="32">
        <f t="shared" si="27"/>
        <v>83572.223432654748</v>
      </c>
      <c r="K198" s="10">
        <f t="shared" si="28"/>
        <v>83572.223432654748</v>
      </c>
      <c r="L198" s="10">
        <f t="shared" si="32"/>
        <v>0</v>
      </c>
      <c r="M198" s="10">
        <f>'D) Ecrêtage'!C197</f>
        <v>72642.976593806918</v>
      </c>
      <c r="N198" s="10">
        <f t="shared" si="29"/>
        <v>94267.676439243369</v>
      </c>
      <c r="O198" s="58">
        <f t="shared" si="30"/>
        <v>177839.89987189812</v>
      </c>
      <c r="P198" s="228"/>
      <c r="Q198" s="229"/>
      <c r="R198" s="225"/>
      <c r="S198" s="225"/>
      <c r="T198" s="230"/>
    </row>
    <row r="199" spans="1:20" s="224" customFormat="1" x14ac:dyDescent="0.25">
      <c r="A199" s="327">
        <f>'A) Base RI'!A200</f>
        <v>5721</v>
      </c>
      <c r="B199" s="237" t="str">
        <f>'A) Base RI'!B200</f>
        <v>Gland</v>
      </c>
      <c r="C199" s="253">
        <v>0</v>
      </c>
      <c r="D199" s="226">
        <f>'B) D RI'!AA200</f>
        <v>13081</v>
      </c>
      <c r="E199" s="227">
        <f>'B) D RI'!S200</f>
        <v>62.5</v>
      </c>
      <c r="F199" s="10">
        <f>'B) D RI'!R200</f>
        <v>37451097.030000001</v>
      </c>
      <c r="G199" s="10">
        <f>'B) D RI'!U200</f>
        <v>599217.55248000007</v>
      </c>
      <c r="H199" s="42">
        <f>'B) D RI'!T200</f>
        <v>34496043.780000001</v>
      </c>
      <c r="I199" s="10">
        <f t="shared" si="31"/>
        <v>1103873.40096</v>
      </c>
      <c r="J199" s="32">
        <f t="shared" si="27"/>
        <v>1098701.7635402582</v>
      </c>
      <c r="K199" s="10">
        <f t="shared" si="28"/>
        <v>1098701.7635402582</v>
      </c>
      <c r="L199" s="10">
        <f t="shared" si="32"/>
        <v>0</v>
      </c>
      <c r="M199" s="10">
        <f>'D) Ecrêtage'!C198</f>
        <v>599217.55248000007</v>
      </c>
      <c r="N199" s="10">
        <f t="shared" si="29"/>
        <v>777595.426323922</v>
      </c>
      <c r="O199" s="58">
        <f t="shared" si="30"/>
        <v>1876297.1898641801</v>
      </c>
      <c r="P199" s="228"/>
      <c r="Q199" s="229"/>
      <c r="R199" s="225"/>
      <c r="S199" s="225"/>
      <c r="T199" s="230"/>
    </row>
    <row r="200" spans="1:20" s="224" customFormat="1" x14ac:dyDescent="0.25">
      <c r="A200" s="327">
        <f>'A) Base RI'!A201</f>
        <v>5722</v>
      </c>
      <c r="B200" s="237" t="str">
        <f>'A) Base RI'!B201</f>
        <v>Grens</v>
      </c>
      <c r="C200" s="253">
        <v>0</v>
      </c>
      <c r="D200" s="226">
        <f>'B) D RI'!AA201</f>
        <v>382</v>
      </c>
      <c r="E200" s="227">
        <f>'B) D RI'!S201</f>
        <v>62</v>
      </c>
      <c r="F200" s="10">
        <f>'B) D RI'!R201</f>
        <v>1567498.1300000004</v>
      </c>
      <c r="G200" s="10">
        <f>'B) D RI'!U201</f>
        <v>25282.227903225812</v>
      </c>
      <c r="H200" s="42">
        <f>'B) D RI'!T201</f>
        <v>1480257.0300000003</v>
      </c>
      <c r="I200" s="10">
        <f t="shared" si="31"/>
        <v>47750.226774193558</v>
      </c>
      <c r="J200" s="32">
        <f t="shared" si="27"/>
        <v>32085.014423391069</v>
      </c>
      <c r="K200" s="10">
        <f t="shared" si="28"/>
        <v>32085.014423391069</v>
      </c>
      <c r="L200" s="10">
        <f t="shared" si="32"/>
        <v>0</v>
      </c>
      <c r="M200" s="10">
        <f>'D) Ecrêtage'!C199</f>
        <v>25282.227903225812</v>
      </c>
      <c r="N200" s="10">
        <f t="shared" si="29"/>
        <v>32808.359340380965</v>
      </c>
      <c r="O200" s="58">
        <f t="shared" si="30"/>
        <v>64893.373763772033</v>
      </c>
      <c r="P200" s="228"/>
      <c r="Q200" s="229"/>
      <c r="R200" s="225"/>
      <c r="S200" s="225"/>
      <c r="T200" s="230"/>
    </row>
    <row r="201" spans="1:20" s="224" customFormat="1" x14ac:dyDescent="0.25">
      <c r="A201" s="327">
        <f>'A) Base RI'!A202</f>
        <v>5723</v>
      </c>
      <c r="B201" s="237" t="str">
        <f>'A) Base RI'!B202</f>
        <v>Mies</v>
      </c>
      <c r="C201" s="253">
        <v>0</v>
      </c>
      <c r="D201" s="226">
        <f>'B) D RI'!AA202</f>
        <v>2037</v>
      </c>
      <c r="E201" s="227">
        <f>'B) D RI'!S202</f>
        <v>49</v>
      </c>
      <c r="F201" s="10">
        <f>'B) D RI'!R202</f>
        <v>21675519.709999997</v>
      </c>
      <c r="G201" s="10">
        <f>'B) D RI'!U202</f>
        <v>442357.54510204075</v>
      </c>
      <c r="H201" s="42">
        <f>'B) D RI'!T202</f>
        <v>20899959.509999998</v>
      </c>
      <c r="I201" s="10">
        <f t="shared" si="31"/>
        <v>853059.57183673466</v>
      </c>
      <c r="J201" s="32">
        <f t="shared" si="27"/>
        <v>171092.07952996757</v>
      </c>
      <c r="K201" s="10">
        <f t="shared" si="28"/>
        <v>171092.07952996757</v>
      </c>
      <c r="L201" s="10">
        <f t="shared" si="32"/>
        <v>0</v>
      </c>
      <c r="M201" s="10">
        <f>'D) Ecrêtage'!C200</f>
        <v>442357.54510204075</v>
      </c>
      <c r="N201" s="10">
        <f t="shared" si="29"/>
        <v>574040.600859578</v>
      </c>
      <c r="O201" s="58">
        <f t="shared" si="30"/>
        <v>745132.68038954563</v>
      </c>
      <c r="P201" s="228"/>
      <c r="Q201" s="229"/>
      <c r="R201" s="225"/>
      <c r="S201" s="225"/>
      <c r="T201" s="230"/>
    </row>
    <row r="202" spans="1:20" s="224" customFormat="1" x14ac:dyDescent="0.25">
      <c r="A202" s="327">
        <f>'A) Base RI'!A203</f>
        <v>5724</v>
      </c>
      <c r="B202" s="237" t="str">
        <f>'A) Base RI'!B203</f>
        <v>Nyon</v>
      </c>
      <c r="C202" s="253">
        <v>1</v>
      </c>
      <c r="D202" s="226">
        <f>'B) D RI'!AA203</f>
        <v>20551</v>
      </c>
      <c r="E202" s="227">
        <f>'B) D RI'!S203</f>
        <v>61</v>
      </c>
      <c r="F202" s="10">
        <f>'B) D RI'!R203</f>
        <v>79046635.056923077</v>
      </c>
      <c r="G202" s="10">
        <f>'B) D RI'!U203</f>
        <v>1295846.4763430012</v>
      </c>
      <c r="H202" s="42">
        <f>'B) D RI'!T203</f>
        <v>73737686.430000007</v>
      </c>
      <c r="I202" s="10">
        <f t="shared" si="31"/>
        <v>2417629.0632786886</v>
      </c>
      <c r="J202" s="32">
        <f t="shared" si="27"/>
        <v>1726123.3806678269</v>
      </c>
      <c r="K202" s="10">
        <f t="shared" si="28"/>
        <v>0</v>
      </c>
      <c r="L202" s="10">
        <f t="shared" si="32"/>
        <v>1726123.3806678269</v>
      </c>
      <c r="M202" s="10">
        <f>'D) Ecrêtage'!C201</f>
        <v>1295846.4763430012</v>
      </c>
      <c r="N202" s="10">
        <f t="shared" si="29"/>
        <v>1681600.0950771882</v>
      </c>
      <c r="O202" s="58">
        <f t="shared" si="30"/>
        <v>1681600.0950771882</v>
      </c>
      <c r="P202" s="228"/>
      <c r="Q202" s="229"/>
      <c r="R202" s="225"/>
      <c r="S202" s="225"/>
      <c r="T202" s="230"/>
    </row>
    <row r="203" spans="1:20" s="224" customFormat="1" x14ac:dyDescent="0.25">
      <c r="A203" s="327">
        <f>'A) Base RI'!A204</f>
        <v>5725</v>
      </c>
      <c r="B203" s="237" t="str">
        <f>'A) Base RI'!B204</f>
        <v>Prangins</v>
      </c>
      <c r="C203" s="253">
        <v>1</v>
      </c>
      <c r="D203" s="226">
        <f>'B) D RI'!AA204</f>
        <v>4069</v>
      </c>
      <c r="E203" s="227">
        <f>'B) D RI'!S204</f>
        <v>56</v>
      </c>
      <c r="F203" s="10">
        <f>'B) D RI'!R204</f>
        <v>16674371.671428571</v>
      </c>
      <c r="G203" s="10">
        <f>'B) D RI'!U204</f>
        <v>297756.63698979589</v>
      </c>
      <c r="H203" s="42">
        <f>'B) D RI'!T204</f>
        <v>15535407.9</v>
      </c>
      <c r="I203" s="10">
        <f t="shared" si="31"/>
        <v>554835.99642857141</v>
      </c>
      <c r="J203" s="32">
        <f t="shared" si="27"/>
        <v>341764.19813816296</v>
      </c>
      <c r="K203" s="10">
        <f t="shared" si="28"/>
        <v>0</v>
      </c>
      <c r="L203" s="10">
        <f t="shared" si="32"/>
        <v>341764.19813816296</v>
      </c>
      <c r="M203" s="10">
        <f>'D) Ecrêtage'!C202</f>
        <v>297756.63698979589</v>
      </c>
      <c r="N203" s="10">
        <f t="shared" si="29"/>
        <v>386394.22046734102</v>
      </c>
      <c r="O203" s="58">
        <f t="shared" si="30"/>
        <v>386394.22046734102</v>
      </c>
      <c r="P203" s="228"/>
      <c r="Q203" s="229"/>
      <c r="R203" s="225"/>
      <c r="S203" s="225"/>
      <c r="T203" s="230"/>
    </row>
    <row r="204" spans="1:20" s="224" customFormat="1" x14ac:dyDescent="0.25">
      <c r="A204" s="327">
        <f>'A) Base RI'!A205</f>
        <v>5726</v>
      </c>
      <c r="B204" s="237" t="str">
        <f>'A) Base RI'!B205</f>
        <v>La Rippe</v>
      </c>
      <c r="C204" s="253">
        <v>0</v>
      </c>
      <c r="D204" s="226">
        <f>'B) D RI'!AA205</f>
        <v>1164</v>
      </c>
      <c r="E204" s="227">
        <f>'B) D RI'!S205</f>
        <v>65</v>
      </c>
      <c r="F204" s="10">
        <f>'B) D RI'!R205</f>
        <v>3693416.6100000003</v>
      </c>
      <c r="G204" s="10">
        <f>'B) D RI'!U205</f>
        <v>56821.794000000002</v>
      </c>
      <c r="H204" s="42">
        <f>'B) D RI'!T205</f>
        <v>3447330.3100000005</v>
      </c>
      <c r="I204" s="10">
        <f t="shared" si="31"/>
        <v>106071.70184615387</v>
      </c>
      <c r="J204" s="32">
        <f t="shared" si="27"/>
        <v>97766.902588552897</v>
      </c>
      <c r="K204" s="10">
        <f t="shared" si="28"/>
        <v>97766.902588552897</v>
      </c>
      <c r="L204" s="10">
        <f t="shared" si="32"/>
        <v>0</v>
      </c>
      <c r="M204" s="10">
        <f>'D) Ecrêtage'!C203</f>
        <v>56821.794000000002</v>
      </c>
      <c r="N204" s="10">
        <f t="shared" si="29"/>
        <v>73736.770471847631</v>
      </c>
      <c r="O204" s="58">
        <f t="shared" si="30"/>
        <v>171503.67306040053</v>
      </c>
      <c r="P204" s="228"/>
      <c r="Q204" s="229"/>
      <c r="R204" s="225"/>
      <c r="S204" s="225"/>
      <c r="T204" s="230"/>
    </row>
    <row r="205" spans="1:20" s="224" customFormat="1" x14ac:dyDescent="0.25">
      <c r="A205" s="327">
        <f>'A) Base RI'!A206</f>
        <v>5727</v>
      </c>
      <c r="B205" s="237" t="str">
        <f>'A) Base RI'!B206</f>
        <v>Saint-Cergue</v>
      </c>
      <c r="C205" s="253">
        <v>0</v>
      </c>
      <c r="D205" s="226">
        <f>'B) D RI'!AA206</f>
        <v>2559</v>
      </c>
      <c r="E205" s="227">
        <f>'B) D RI'!S206</f>
        <v>66</v>
      </c>
      <c r="F205" s="10">
        <f>'B) D RI'!R206</f>
        <v>6624252.2133333338</v>
      </c>
      <c r="G205" s="10">
        <f>'B) D RI'!U206</f>
        <v>100367.45777777779</v>
      </c>
      <c r="H205" s="42">
        <f>'B) D RI'!T206</f>
        <v>6144326.0800000001</v>
      </c>
      <c r="I205" s="10">
        <f t="shared" si="31"/>
        <v>186191.6993939394</v>
      </c>
      <c r="J205" s="32">
        <f t="shared" si="27"/>
        <v>214935.9997629784</v>
      </c>
      <c r="K205" s="10">
        <f t="shared" si="28"/>
        <v>186191.6993939394</v>
      </c>
      <c r="L205" s="10">
        <f t="shared" si="32"/>
        <v>28744.300369039003</v>
      </c>
      <c r="M205" s="10">
        <f>'D) Ecrêtage'!C204</f>
        <v>100367.45777777779</v>
      </c>
      <c r="N205" s="10">
        <f t="shared" si="29"/>
        <v>130245.31039978884</v>
      </c>
      <c r="O205" s="58">
        <f t="shared" si="30"/>
        <v>316437.00979372824</v>
      </c>
      <c r="P205" s="228"/>
      <c r="Q205" s="229"/>
      <c r="R205" s="225"/>
      <c r="S205" s="225"/>
      <c r="T205" s="230"/>
    </row>
    <row r="206" spans="1:20" s="224" customFormat="1" x14ac:dyDescent="0.25">
      <c r="A206" s="327">
        <f>'A) Base RI'!A207</f>
        <v>5728</v>
      </c>
      <c r="B206" s="237" t="str">
        <f>'A) Base RI'!B207</f>
        <v>Signy-Avenex</v>
      </c>
      <c r="C206" s="253">
        <v>0</v>
      </c>
      <c r="D206" s="226">
        <f>'B) D RI'!AA207</f>
        <v>567</v>
      </c>
      <c r="E206" s="227">
        <f>'B) D RI'!S207</f>
        <v>58</v>
      </c>
      <c r="F206" s="10">
        <f>'B) D RI'!R207</f>
        <v>2119932.25</v>
      </c>
      <c r="G206" s="10">
        <f>'B) D RI'!U207</f>
        <v>36550.556034482761</v>
      </c>
      <c r="H206" s="42">
        <f>'B) D RI'!T207</f>
        <v>1866515.95</v>
      </c>
      <c r="I206" s="10">
        <f t="shared" si="31"/>
        <v>64362.618965517242</v>
      </c>
      <c r="J206" s="32">
        <f t="shared" si="27"/>
        <v>47623.568528960044</v>
      </c>
      <c r="K206" s="10">
        <f t="shared" si="28"/>
        <v>47623.568528960044</v>
      </c>
      <c r="L206" s="10">
        <f t="shared" si="32"/>
        <v>0</v>
      </c>
      <c r="M206" s="10">
        <f>'D) Ecrêtage'!C205</f>
        <v>36550.556034482761</v>
      </c>
      <c r="N206" s="10">
        <f t="shared" si="29"/>
        <v>47431.095908958108</v>
      </c>
      <c r="O206" s="58">
        <f t="shared" si="30"/>
        <v>95054.664437918153</v>
      </c>
      <c r="P206" s="228"/>
      <c r="Q206" s="229"/>
      <c r="R206" s="225"/>
      <c r="S206" s="225"/>
      <c r="T206" s="230"/>
    </row>
    <row r="207" spans="1:20" s="224" customFormat="1" x14ac:dyDescent="0.25">
      <c r="A207" s="327">
        <f>'A) Base RI'!A208</f>
        <v>5729</v>
      </c>
      <c r="B207" s="237" t="str">
        <f>'A) Base RI'!B208</f>
        <v>Tannay</v>
      </c>
      <c r="C207" s="253">
        <v>0</v>
      </c>
      <c r="D207" s="226">
        <f>'B) D RI'!AA208</f>
        <v>1585</v>
      </c>
      <c r="E207" s="227">
        <f>'B) D RI'!S208</f>
        <v>61</v>
      </c>
      <c r="F207" s="10">
        <f>'B) D RI'!R208</f>
        <v>10542217.666666666</v>
      </c>
      <c r="G207" s="10">
        <f>'B) D RI'!U208</f>
        <v>172823.24043715847</v>
      </c>
      <c r="H207" s="42">
        <f>'B) D RI'!T208</f>
        <v>10011554.449999999</v>
      </c>
      <c r="I207" s="10">
        <f t="shared" si="31"/>
        <v>328247.6868852459</v>
      </c>
      <c r="J207" s="32">
        <f t="shared" si="27"/>
        <v>133127.61220176661</v>
      </c>
      <c r="K207" s="10">
        <f t="shared" si="28"/>
        <v>133127.61220176661</v>
      </c>
      <c r="L207" s="10">
        <f t="shared" si="32"/>
        <v>0</v>
      </c>
      <c r="M207" s="10">
        <f>'D) Ecrêtage'!C206</f>
        <v>172823.24043715847</v>
      </c>
      <c r="N207" s="10">
        <f t="shared" si="29"/>
        <v>224270.06814173606</v>
      </c>
      <c r="O207" s="58">
        <f t="shared" si="30"/>
        <v>357397.68034350267</v>
      </c>
      <c r="P207" s="228"/>
      <c r="Q207" s="229"/>
      <c r="R207" s="225"/>
      <c r="S207" s="225"/>
      <c r="T207" s="230"/>
    </row>
    <row r="208" spans="1:20" s="224" customFormat="1" x14ac:dyDescent="0.25">
      <c r="A208" s="327">
        <f>'A) Base RI'!A209</f>
        <v>5730</v>
      </c>
      <c r="B208" s="237" t="str">
        <f>'A) Base RI'!B209</f>
        <v>Trélex</v>
      </c>
      <c r="C208" s="253">
        <v>0</v>
      </c>
      <c r="D208" s="226">
        <f>'B) D RI'!AA209</f>
        <v>1405</v>
      </c>
      <c r="E208" s="227">
        <f>'B) D RI'!S209</f>
        <v>57</v>
      </c>
      <c r="F208" s="10">
        <f>'B) D RI'!R209</f>
        <v>5881573.6622222215</v>
      </c>
      <c r="G208" s="10">
        <f>'B) D RI'!U209</f>
        <v>103185.50284600389</v>
      </c>
      <c r="H208" s="42">
        <f>'B) D RI'!T209</f>
        <v>5481184.2399999993</v>
      </c>
      <c r="I208" s="10">
        <f t="shared" si="31"/>
        <v>192322.25403508768</v>
      </c>
      <c r="J208" s="32">
        <f t="shared" si="27"/>
        <v>118009.01901796977</v>
      </c>
      <c r="K208" s="10">
        <f t="shared" si="28"/>
        <v>118009.01901796977</v>
      </c>
      <c r="L208" s="10">
        <f t="shared" si="32"/>
        <v>0</v>
      </c>
      <c r="M208" s="10">
        <f>'D) Ecrêtage'!C207</f>
        <v>103185.50284600389</v>
      </c>
      <c r="N208" s="10">
        <f t="shared" si="29"/>
        <v>133902.24425821489</v>
      </c>
      <c r="O208" s="58">
        <f t="shared" si="30"/>
        <v>251911.26327618468</v>
      </c>
      <c r="P208" s="228"/>
      <c r="Q208" s="229"/>
      <c r="R208" s="225"/>
      <c r="S208" s="225"/>
      <c r="T208" s="230"/>
    </row>
    <row r="209" spans="1:20" s="224" customFormat="1" x14ac:dyDescent="0.25">
      <c r="A209" s="327">
        <f>'A) Base RI'!A210</f>
        <v>5731</v>
      </c>
      <c r="B209" s="237" t="str">
        <f>'A) Base RI'!B210</f>
        <v>Le Vaud</v>
      </c>
      <c r="C209" s="253">
        <v>0</v>
      </c>
      <c r="D209" s="226">
        <f>'B) D RI'!AA210</f>
        <v>1283</v>
      </c>
      <c r="E209" s="227">
        <f>'B) D RI'!S210</f>
        <v>75</v>
      </c>
      <c r="F209" s="10">
        <f>'B) D RI'!R210</f>
        <v>3812202.1</v>
      </c>
      <c r="G209" s="10">
        <f>'B) D RI'!U210</f>
        <v>50829.361333333334</v>
      </c>
      <c r="H209" s="42">
        <f>'B) D RI'!T210</f>
        <v>3565823</v>
      </c>
      <c r="I209" s="10">
        <f t="shared" si="31"/>
        <v>95088.613333333327</v>
      </c>
      <c r="J209" s="32">
        <f t="shared" si="27"/>
        <v>107761.97252672969</v>
      </c>
      <c r="K209" s="10">
        <f t="shared" si="28"/>
        <v>95088.613333333327</v>
      </c>
      <c r="L209" s="10">
        <f t="shared" si="32"/>
        <v>12673.359193396362</v>
      </c>
      <c r="M209" s="10">
        <f>'D) Ecrêtage'!C208</f>
        <v>50829.361333333334</v>
      </c>
      <c r="N209" s="10">
        <f t="shared" si="29"/>
        <v>65960.482519552388</v>
      </c>
      <c r="O209" s="58">
        <f t="shared" si="30"/>
        <v>161049.09585288572</v>
      </c>
      <c r="P209" s="228"/>
      <c r="Q209" s="229"/>
      <c r="R209" s="225"/>
      <c r="S209" s="225"/>
      <c r="T209" s="230"/>
    </row>
    <row r="210" spans="1:20" s="224" customFormat="1" x14ac:dyDescent="0.25">
      <c r="A210" s="327">
        <f>'A) Base RI'!A211</f>
        <v>5732</v>
      </c>
      <c r="B210" s="237" t="str">
        <f>'A) Base RI'!B211</f>
        <v>Vich</v>
      </c>
      <c r="C210" s="253">
        <v>0</v>
      </c>
      <c r="D210" s="226">
        <f>'B) D RI'!AA211</f>
        <v>1026</v>
      </c>
      <c r="E210" s="227">
        <f>'B) D RI'!S211</f>
        <v>68</v>
      </c>
      <c r="F210" s="10">
        <f>'B) D RI'!R211</f>
        <v>4150548.03</v>
      </c>
      <c r="G210" s="10">
        <f>'B) D RI'!U211</f>
        <v>61037.471029411761</v>
      </c>
      <c r="H210" s="42">
        <f>'B) D RI'!T211</f>
        <v>3827201.03</v>
      </c>
      <c r="I210" s="10">
        <f t="shared" si="31"/>
        <v>112564.73617647059</v>
      </c>
      <c r="J210" s="32">
        <f t="shared" si="27"/>
        <v>86175.981147641985</v>
      </c>
      <c r="K210" s="10">
        <f t="shared" si="28"/>
        <v>86175.981147641985</v>
      </c>
      <c r="L210" s="10">
        <f t="shared" si="32"/>
        <v>0</v>
      </c>
      <c r="M210" s="10">
        <f>'D) Ecrêtage'!C209</f>
        <v>61037.471029411761</v>
      </c>
      <c r="N210" s="10">
        <f t="shared" si="29"/>
        <v>79207.389887721321</v>
      </c>
      <c r="O210" s="58">
        <f t="shared" si="30"/>
        <v>165383.37103536329</v>
      </c>
      <c r="P210" s="228"/>
      <c r="Q210" s="229"/>
      <c r="R210" s="225"/>
      <c r="S210" s="225"/>
      <c r="T210" s="230"/>
    </row>
    <row r="211" spans="1:20" s="224" customFormat="1" x14ac:dyDescent="0.25">
      <c r="A211" s="327">
        <f>'A) Base RI'!A212</f>
        <v>5741</v>
      </c>
      <c r="B211" s="237" t="str">
        <f>'A) Base RI'!B212</f>
        <v>L'Abergement</v>
      </c>
      <c r="C211" s="253">
        <v>0</v>
      </c>
      <c r="D211" s="226">
        <f>'B) D RI'!AA212</f>
        <v>237</v>
      </c>
      <c r="E211" s="227">
        <f>'B) D RI'!S212</f>
        <v>81</v>
      </c>
      <c r="F211" s="10">
        <f>'B) D RI'!R212</f>
        <v>536183.64333333331</v>
      </c>
      <c r="G211" s="10">
        <f>'B) D RI'!U212</f>
        <v>6619.5511522633742</v>
      </c>
      <c r="H211" s="42">
        <f>'B) D RI'!T212</f>
        <v>499548.30999999994</v>
      </c>
      <c r="I211" s="10">
        <f t="shared" si="31"/>
        <v>12334.526172839505</v>
      </c>
      <c r="J211" s="32">
        <f t="shared" si="27"/>
        <v>19906.147691999173</v>
      </c>
      <c r="K211" s="10">
        <f t="shared" si="28"/>
        <v>12334.526172839505</v>
      </c>
      <c r="L211" s="10">
        <f t="shared" si="32"/>
        <v>7571.6215191596675</v>
      </c>
      <c r="M211" s="10">
        <f>'D) Ecrêtage'!C210</f>
        <v>6619.5511522633742</v>
      </c>
      <c r="N211" s="10">
        <f t="shared" si="29"/>
        <v>8590.0899915461814</v>
      </c>
      <c r="O211" s="58">
        <f t="shared" si="30"/>
        <v>20924.616164385687</v>
      </c>
      <c r="P211" s="228"/>
      <c r="Q211" s="229"/>
      <c r="R211" s="225"/>
      <c r="S211" s="225"/>
      <c r="T211" s="230"/>
    </row>
    <row r="212" spans="1:20" s="224" customFormat="1" x14ac:dyDescent="0.25">
      <c r="A212" s="327">
        <f>'A) Base RI'!A213</f>
        <v>5742</v>
      </c>
      <c r="B212" s="237" t="str">
        <f>'A) Base RI'!B213</f>
        <v>Agiez</v>
      </c>
      <c r="C212" s="253">
        <v>0</v>
      </c>
      <c r="D212" s="226">
        <f>'B) D RI'!AA213</f>
        <v>314</v>
      </c>
      <c r="E212" s="227">
        <f>'B) D RI'!S213</f>
        <v>76</v>
      </c>
      <c r="F212" s="10">
        <f>'B) D RI'!R213</f>
        <v>710925.43</v>
      </c>
      <c r="G212" s="10">
        <f>'B) D RI'!U213</f>
        <v>9354.2819736842121</v>
      </c>
      <c r="H212" s="42">
        <f>'B) D RI'!T213</f>
        <v>663498.43000000005</v>
      </c>
      <c r="I212" s="10">
        <f t="shared" si="31"/>
        <v>17460.485000000001</v>
      </c>
      <c r="J212" s="32">
        <f t="shared" si="27"/>
        <v>26373.545887290042</v>
      </c>
      <c r="K212" s="10">
        <f t="shared" si="28"/>
        <v>17460.485000000001</v>
      </c>
      <c r="L212" s="10">
        <f t="shared" si="32"/>
        <v>8913.0608872900411</v>
      </c>
      <c r="M212" s="10">
        <f>'D) Ecrêtage'!C211</f>
        <v>9354.2819736842121</v>
      </c>
      <c r="N212" s="10">
        <f t="shared" si="29"/>
        <v>12138.908229868535</v>
      </c>
      <c r="O212" s="58">
        <f t="shared" si="30"/>
        <v>29599.393229868536</v>
      </c>
      <c r="P212" s="228"/>
      <c r="Q212" s="229"/>
      <c r="R212" s="225"/>
      <c r="S212" s="225"/>
      <c r="T212" s="230"/>
    </row>
    <row r="213" spans="1:20" s="224" customFormat="1" x14ac:dyDescent="0.25">
      <c r="A213" s="327">
        <f>'A) Base RI'!A214</f>
        <v>5743</v>
      </c>
      <c r="B213" s="237" t="str">
        <f>'A) Base RI'!B214</f>
        <v>Arnex-sur-Orbe</v>
      </c>
      <c r="C213" s="253">
        <v>0</v>
      </c>
      <c r="D213" s="226">
        <f>'B) D RI'!AA214</f>
        <v>642</v>
      </c>
      <c r="E213" s="227">
        <f>'B) D RI'!S214</f>
        <v>73</v>
      </c>
      <c r="F213" s="10">
        <f>'B) D RI'!R214</f>
        <v>1284362.2850000001</v>
      </c>
      <c r="G213" s="10">
        <f>'B) D RI'!U214</f>
        <v>17594.003904109592</v>
      </c>
      <c r="H213" s="42">
        <f>'B) D RI'!T214</f>
        <v>1206183.4100000001</v>
      </c>
      <c r="I213" s="10">
        <f t="shared" si="31"/>
        <v>33046.120821917815</v>
      </c>
      <c r="J213" s="32">
        <f t="shared" si="27"/>
        <v>53922.982355542059</v>
      </c>
      <c r="K213" s="10">
        <f t="shared" si="28"/>
        <v>33046.120821917815</v>
      </c>
      <c r="L213" s="10">
        <f t="shared" si="32"/>
        <v>20876.861533624244</v>
      </c>
      <c r="M213" s="10">
        <f>'D) Ecrêtage'!C212</f>
        <v>17594.003904109592</v>
      </c>
      <c r="N213" s="10">
        <f t="shared" si="29"/>
        <v>22831.468988080876</v>
      </c>
      <c r="O213" s="58">
        <f t="shared" si="30"/>
        <v>55877.589809998695</v>
      </c>
      <c r="P213" s="228"/>
      <c r="Q213" s="229"/>
      <c r="R213" s="225"/>
      <c r="S213" s="225"/>
      <c r="T213" s="230"/>
    </row>
    <row r="214" spans="1:20" s="224" customFormat="1" x14ac:dyDescent="0.25">
      <c r="A214" s="327">
        <f>'A) Base RI'!A215</f>
        <v>5744</v>
      </c>
      <c r="B214" s="237" t="str">
        <f>'A) Base RI'!B215</f>
        <v>Ballaigues</v>
      </c>
      <c r="C214" s="253">
        <v>0</v>
      </c>
      <c r="D214" s="226">
        <f>'B) D RI'!AA215</f>
        <v>1095</v>
      </c>
      <c r="E214" s="227">
        <f>'B) D RI'!S215</f>
        <v>66</v>
      </c>
      <c r="F214" s="10">
        <f>'B) D RI'!R215</f>
        <v>3286234.93</v>
      </c>
      <c r="G214" s="10">
        <f>'B) D RI'!U215</f>
        <v>49791.438333333339</v>
      </c>
      <c r="H214" s="42">
        <f>'B) D RI'!T215</f>
        <v>3119959.0300000003</v>
      </c>
      <c r="I214" s="10">
        <f t="shared" si="31"/>
        <v>94544.213030303043</v>
      </c>
      <c r="J214" s="32">
        <f t="shared" si="27"/>
        <v>91971.441868097434</v>
      </c>
      <c r="K214" s="10">
        <f t="shared" si="28"/>
        <v>91971.441868097434</v>
      </c>
      <c r="L214" s="10">
        <f t="shared" si="32"/>
        <v>0</v>
      </c>
      <c r="M214" s="10">
        <f>'D) Ecrêtage'!C213</f>
        <v>49791.438333333339</v>
      </c>
      <c r="N214" s="10">
        <f t="shared" si="29"/>
        <v>64613.58576338079</v>
      </c>
      <c r="O214" s="58">
        <f t="shared" si="30"/>
        <v>156585.02763147821</v>
      </c>
      <c r="P214" s="228"/>
      <c r="Q214" s="229"/>
      <c r="R214" s="225"/>
      <c r="S214" s="225"/>
      <c r="T214" s="230"/>
    </row>
    <row r="215" spans="1:20" s="224" customFormat="1" x14ac:dyDescent="0.25">
      <c r="A215" s="327">
        <f>'A) Base RI'!A216</f>
        <v>5745</v>
      </c>
      <c r="B215" s="237" t="str">
        <f>'A) Base RI'!B216</f>
        <v>Baulmes</v>
      </c>
      <c r="C215" s="253">
        <v>0</v>
      </c>
      <c r="D215" s="226">
        <f>'B) D RI'!AA216</f>
        <v>1053</v>
      </c>
      <c r="E215" s="227">
        <f>'B) D RI'!S216</f>
        <v>78</v>
      </c>
      <c r="F215" s="10">
        <f>'B) D RI'!R216</f>
        <v>1979310.5</v>
      </c>
      <c r="G215" s="10">
        <f>'B) D RI'!U216</f>
        <v>25375.775641025641</v>
      </c>
      <c r="H215" s="42">
        <f>'B) D RI'!T216</f>
        <v>1855134.7</v>
      </c>
      <c r="I215" s="10">
        <f t="shared" si="31"/>
        <v>47567.556410256409</v>
      </c>
      <c r="J215" s="32">
        <f t="shared" si="27"/>
        <v>88443.770125211508</v>
      </c>
      <c r="K215" s="10">
        <f t="shared" si="28"/>
        <v>47567.556410256409</v>
      </c>
      <c r="L215" s="10">
        <f t="shared" si="32"/>
        <v>40876.213714955098</v>
      </c>
      <c r="M215" s="10">
        <f>'D) Ecrêtage'!C214</f>
        <v>25375.775641025641</v>
      </c>
      <c r="N215" s="10">
        <f t="shared" si="29"/>
        <v>32929.754804774551</v>
      </c>
      <c r="O215" s="58">
        <f t="shared" si="30"/>
        <v>80497.311215030961</v>
      </c>
      <c r="P215" s="228"/>
      <c r="Q215" s="229"/>
      <c r="R215" s="225"/>
      <c r="S215" s="225"/>
      <c r="T215" s="230"/>
    </row>
    <row r="216" spans="1:20" s="224" customFormat="1" x14ac:dyDescent="0.25">
      <c r="A216" s="327">
        <f>'A) Base RI'!A217</f>
        <v>5746</v>
      </c>
      <c r="B216" s="237" t="str">
        <f>'A) Base RI'!B217</f>
        <v>Bavois</v>
      </c>
      <c r="C216" s="253">
        <v>0</v>
      </c>
      <c r="D216" s="226">
        <f>'B) D RI'!AA217</f>
        <v>928</v>
      </c>
      <c r="E216" s="227">
        <f>'B) D RI'!S217</f>
        <v>73</v>
      </c>
      <c r="F216" s="10">
        <f>'B) D RI'!R217</f>
        <v>1862084.6600000001</v>
      </c>
      <c r="G216" s="10">
        <f>'B) D RI'!U217</f>
        <v>25508.009041095891</v>
      </c>
      <c r="H216" s="42">
        <f>'B) D RI'!T217</f>
        <v>1696053.1600000001</v>
      </c>
      <c r="I216" s="10">
        <f t="shared" si="31"/>
        <v>46467.209863013704</v>
      </c>
      <c r="J216" s="32">
        <f t="shared" si="27"/>
        <v>77944.747080908142</v>
      </c>
      <c r="K216" s="10">
        <f t="shared" si="28"/>
        <v>46467.209863013704</v>
      </c>
      <c r="L216" s="10">
        <f t="shared" si="32"/>
        <v>31477.537217894438</v>
      </c>
      <c r="M216" s="10">
        <f>'D) Ecrêtage'!C215</f>
        <v>25508.009041095891</v>
      </c>
      <c r="N216" s="10">
        <f t="shared" si="29"/>
        <v>33101.352059688608</v>
      </c>
      <c r="O216" s="58">
        <f t="shared" si="30"/>
        <v>79568.561922702313</v>
      </c>
      <c r="P216" s="228"/>
      <c r="Q216" s="229"/>
      <c r="R216" s="225"/>
      <c r="S216" s="225"/>
      <c r="T216" s="230"/>
    </row>
    <row r="217" spans="1:20" s="224" customFormat="1" x14ac:dyDescent="0.25">
      <c r="A217" s="327">
        <f>'A) Base RI'!A218</f>
        <v>5747</v>
      </c>
      <c r="B217" s="237" t="str">
        <f>'A) Base RI'!B218</f>
        <v>Bofflens</v>
      </c>
      <c r="C217" s="253">
        <v>0</v>
      </c>
      <c r="D217" s="226">
        <f>'B) D RI'!AA218</f>
        <v>191</v>
      </c>
      <c r="E217" s="227">
        <f>'B) D RI'!S218</f>
        <v>69</v>
      </c>
      <c r="F217" s="10">
        <f>'B) D RI'!R218</f>
        <v>372753.23999999993</v>
      </c>
      <c r="G217" s="10">
        <f>'B) D RI'!U218</f>
        <v>5402.2208695652162</v>
      </c>
      <c r="H217" s="42">
        <f>'B) D RI'!T218</f>
        <v>345675.03999999992</v>
      </c>
      <c r="I217" s="10">
        <f t="shared" si="31"/>
        <v>10019.566376811592</v>
      </c>
      <c r="J217" s="32">
        <f t="shared" si="27"/>
        <v>16042.507211695534</v>
      </c>
      <c r="K217" s="10">
        <f t="shared" si="28"/>
        <v>10019.566376811592</v>
      </c>
      <c r="L217" s="10">
        <f t="shared" si="32"/>
        <v>6022.9408348839424</v>
      </c>
      <c r="M217" s="10">
        <f>'D) Ecrêtage'!C216</f>
        <v>5402.2208695652162</v>
      </c>
      <c r="N217" s="10">
        <f t="shared" si="29"/>
        <v>7010.3791565848032</v>
      </c>
      <c r="O217" s="58">
        <f t="shared" si="30"/>
        <v>17029.945533396396</v>
      </c>
      <c r="P217" s="228"/>
      <c r="Q217" s="229"/>
      <c r="R217" s="225"/>
      <c r="S217" s="225"/>
      <c r="T217" s="230"/>
    </row>
    <row r="218" spans="1:20" s="224" customFormat="1" x14ac:dyDescent="0.25">
      <c r="A218" s="327">
        <f>'A) Base RI'!A219</f>
        <v>5748</v>
      </c>
      <c r="B218" s="237" t="str">
        <f>'A) Base RI'!B219</f>
        <v>Bretonnières</v>
      </c>
      <c r="C218" s="253">
        <v>0</v>
      </c>
      <c r="D218" s="226">
        <f>'B) D RI'!AA219</f>
        <v>262</v>
      </c>
      <c r="E218" s="227">
        <f>'B) D RI'!S219</f>
        <v>72</v>
      </c>
      <c r="F218" s="10">
        <f>'B) D RI'!R219</f>
        <v>551595.45333333337</v>
      </c>
      <c r="G218" s="10">
        <f>'B) D RI'!U219</f>
        <v>7661.0479629629635</v>
      </c>
      <c r="H218" s="42">
        <f>'B) D RI'!T219</f>
        <v>514047.12</v>
      </c>
      <c r="I218" s="10">
        <f t="shared" si="31"/>
        <v>14279.086666666666</v>
      </c>
      <c r="J218" s="32">
        <f t="shared" si="27"/>
        <v>22005.952300859844</v>
      </c>
      <c r="K218" s="10">
        <f t="shared" si="28"/>
        <v>14279.086666666666</v>
      </c>
      <c r="L218" s="10">
        <f t="shared" si="32"/>
        <v>7726.8656341931783</v>
      </c>
      <c r="M218" s="10">
        <f>'D) Ecrêtage'!C217</f>
        <v>7661.0479629629635</v>
      </c>
      <c r="N218" s="10">
        <f t="shared" si="29"/>
        <v>9941.6244270431853</v>
      </c>
      <c r="O218" s="58">
        <f t="shared" si="30"/>
        <v>24220.711093709851</v>
      </c>
      <c r="P218" s="228"/>
      <c r="Q218" s="229"/>
      <c r="R218" s="225"/>
      <c r="S218" s="225"/>
      <c r="T218" s="230"/>
    </row>
    <row r="219" spans="1:20" s="224" customFormat="1" x14ac:dyDescent="0.25">
      <c r="A219" s="327">
        <f>'A) Base RI'!A220</f>
        <v>5749</v>
      </c>
      <c r="B219" s="237" t="str">
        <f>'A) Base RI'!B220</f>
        <v>Chavornay</v>
      </c>
      <c r="C219" s="253">
        <v>0</v>
      </c>
      <c r="D219" s="226">
        <f>'B) D RI'!AA220</f>
        <v>4908</v>
      </c>
      <c r="E219" s="227">
        <f>'B) D RI'!S220</f>
        <v>72</v>
      </c>
      <c r="F219" s="10">
        <f>'B) D RI'!R220</f>
        <v>9701325.4072727282</v>
      </c>
      <c r="G219" s="10">
        <f>'B) D RI'!U220</f>
        <v>134740.63065656566</v>
      </c>
      <c r="H219" s="42">
        <f>'B) D RI'!T220</f>
        <v>8916260.957272727</v>
      </c>
      <c r="I219" s="10">
        <f t="shared" ref="I219" si="33">+H219/E219*$I$5</f>
        <v>247673.91547979799</v>
      </c>
      <c r="J219" s="32">
        <f t="shared" ref="J219" si="34">+$I$315/$D$315*D219</f>
        <v>412233.64081152715</v>
      </c>
      <c r="K219" s="10">
        <f t="shared" ref="K219" si="35">IF(C219=1,0,IF(J219&gt;I219,I219,J219))</f>
        <v>247673.91547979799</v>
      </c>
      <c r="L219" s="10">
        <f t="shared" ref="L219" si="36">+J219-K219</f>
        <v>164559.72533172916</v>
      </c>
      <c r="M219" s="10">
        <f>'D) Ecrêtage'!C218</f>
        <v>134740.63065656566</v>
      </c>
      <c r="N219" s="10">
        <f t="shared" ref="N219" si="37">+$N$5*M219</f>
        <v>174850.84958695914</v>
      </c>
      <c r="O219" s="58">
        <f t="shared" ref="O219" si="38">+N219+K219</f>
        <v>422524.7650667571</v>
      </c>
      <c r="P219" s="228"/>
      <c r="Q219" s="229"/>
      <c r="R219" s="225"/>
      <c r="S219" s="225"/>
      <c r="T219" s="230"/>
    </row>
    <row r="220" spans="1:20" s="224" customFormat="1" x14ac:dyDescent="0.25">
      <c r="A220" s="327">
        <f>'A) Base RI'!A221</f>
        <v>5750</v>
      </c>
      <c r="B220" s="237" t="str">
        <f>'A) Base RI'!B221</f>
        <v>Les Clées</v>
      </c>
      <c r="C220" s="253">
        <v>0</v>
      </c>
      <c r="D220" s="226">
        <f>'B) D RI'!AA221</f>
        <v>181</v>
      </c>
      <c r="E220" s="227">
        <f>'B) D RI'!S221</f>
        <v>80</v>
      </c>
      <c r="F220" s="10">
        <f>'B) D RI'!R221</f>
        <v>401666.79666666669</v>
      </c>
      <c r="G220" s="10">
        <f>'B) D RI'!U221</f>
        <v>5020.8349583333338</v>
      </c>
      <c r="H220" s="42">
        <f>'B) D RI'!T221</f>
        <v>381132.98</v>
      </c>
      <c r="I220" s="10">
        <f t="shared" si="31"/>
        <v>9528.3244999999988</v>
      </c>
      <c r="J220" s="32">
        <f t="shared" ref="J220:J243" si="39">+$I$315/$D$315*D220</f>
        <v>15202.585368151265</v>
      </c>
      <c r="K220" s="10">
        <f t="shared" si="28"/>
        <v>9528.3244999999988</v>
      </c>
      <c r="L220" s="10">
        <f t="shared" si="32"/>
        <v>5674.2608681512665</v>
      </c>
      <c r="M220" s="10">
        <f>'D) Ecrêtage'!C219</f>
        <v>5020.8349583333338</v>
      </c>
      <c r="N220" s="10">
        <f t="shared" si="29"/>
        <v>6515.4605097412741</v>
      </c>
      <c r="O220" s="58">
        <f t="shared" si="30"/>
        <v>16043.785009741274</v>
      </c>
      <c r="P220" s="228"/>
      <c r="Q220" s="229"/>
      <c r="R220" s="225"/>
      <c r="S220" s="225"/>
      <c r="T220" s="230"/>
    </row>
    <row r="221" spans="1:20" s="224" customFormat="1" x14ac:dyDescent="0.25">
      <c r="A221" s="327">
        <f>'A) Base RI'!A222</f>
        <v>5752</v>
      </c>
      <c r="B221" s="237" t="str">
        <f>'A) Base RI'!B222</f>
        <v>Croy</v>
      </c>
      <c r="C221" s="253">
        <v>0</v>
      </c>
      <c r="D221" s="226">
        <f>'B) D RI'!AA222</f>
        <v>379</v>
      </c>
      <c r="E221" s="227">
        <f>'B) D RI'!S222</f>
        <v>74</v>
      </c>
      <c r="F221" s="10">
        <f>'B) D RI'!R222</f>
        <v>824426.34</v>
      </c>
      <c r="G221" s="10">
        <f>'B) D RI'!U222</f>
        <v>11140.896486486487</v>
      </c>
      <c r="H221" s="42">
        <f>'B) D RI'!T222</f>
        <v>776779.53999999992</v>
      </c>
      <c r="I221" s="10">
        <f t="shared" si="31"/>
        <v>20994.041621621618</v>
      </c>
      <c r="J221" s="32">
        <f t="shared" si="39"/>
        <v>31833.037870327789</v>
      </c>
      <c r="K221" s="10">
        <f t="shared" si="28"/>
        <v>20994.041621621618</v>
      </c>
      <c r="L221" s="10">
        <f t="shared" si="32"/>
        <v>10838.996248706171</v>
      </c>
      <c r="M221" s="10">
        <f>'D) Ecrêtage'!C220</f>
        <v>11140.896486486487</v>
      </c>
      <c r="N221" s="10">
        <f t="shared" si="29"/>
        <v>14457.370477860444</v>
      </c>
      <c r="O221" s="58">
        <f t="shared" si="30"/>
        <v>35451.412099482062</v>
      </c>
      <c r="P221" s="228"/>
      <c r="Q221" s="229"/>
      <c r="R221" s="225"/>
      <c r="S221" s="225"/>
      <c r="T221" s="230"/>
    </row>
    <row r="222" spans="1:20" s="224" customFormat="1" x14ac:dyDescent="0.25">
      <c r="A222" s="327">
        <f>'A) Base RI'!A223</f>
        <v>5754</v>
      </c>
      <c r="B222" s="237" t="str">
        <f>'A) Base RI'!B223</f>
        <v>Juriens</v>
      </c>
      <c r="C222" s="253">
        <v>0</v>
      </c>
      <c r="D222" s="226">
        <f>'B) D RI'!AA223</f>
        <v>309</v>
      </c>
      <c r="E222" s="227">
        <f>'B) D RI'!S223</f>
        <v>79</v>
      </c>
      <c r="F222" s="10">
        <f>'B) D RI'!R223</f>
        <v>642940.5819058161</v>
      </c>
      <c r="G222" s="10">
        <f>'B) D RI'!U223</f>
        <v>8138.4883785546344</v>
      </c>
      <c r="H222" s="42">
        <f>'B) D RI'!T223</f>
        <v>606127.5819058161</v>
      </c>
      <c r="I222" s="10">
        <f t="shared" si="31"/>
        <v>15345.002073564965</v>
      </c>
      <c r="J222" s="32">
        <f t="shared" si="39"/>
        <v>25953.584965517908</v>
      </c>
      <c r="K222" s="10">
        <f t="shared" si="28"/>
        <v>15345.002073564965</v>
      </c>
      <c r="L222" s="10">
        <f t="shared" si="32"/>
        <v>10608.582891952943</v>
      </c>
      <c r="M222" s="10">
        <f>'D) Ecrêtage'!C221</f>
        <v>8138.4883785546344</v>
      </c>
      <c r="N222" s="10">
        <f t="shared" si="29"/>
        <v>10561.191530793316</v>
      </c>
      <c r="O222" s="58">
        <f t="shared" si="30"/>
        <v>25906.193604358283</v>
      </c>
      <c r="P222" s="228"/>
      <c r="Q222" s="229"/>
      <c r="R222" s="225"/>
      <c r="S222" s="225"/>
      <c r="T222" s="230"/>
    </row>
    <row r="223" spans="1:20" s="224" customFormat="1" x14ac:dyDescent="0.25">
      <c r="A223" s="327">
        <f>'A) Base RI'!A224</f>
        <v>5755</v>
      </c>
      <c r="B223" s="237" t="str">
        <f>'A) Base RI'!B224</f>
        <v>Lignerolle</v>
      </c>
      <c r="C223" s="253">
        <v>0</v>
      </c>
      <c r="D223" s="226">
        <f>'B) D RI'!AA224</f>
        <v>417</v>
      </c>
      <c r="E223" s="227">
        <f>'B) D RI'!S224</f>
        <v>80</v>
      </c>
      <c r="F223" s="10">
        <f>'B) D RI'!R224</f>
        <v>745627.05120870378</v>
      </c>
      <c r="G223" s="10">
        <f>'B) D RI'!U224</f>
        <v>9320.3381401087972</v>
      </c>
      <c r="H223" s="42">
        <f>'B) D RI'!T224</f>
        <v>686236.80835156096</v>
      </c>
      <c r="I223" s="10">
        <f t="shared" si="31"/>
        <v>17155.920208789023</v>
      </c>
      <c r="J223" s="32">
        <f t="shared" si="39"/>
        <v>35024.740875796007</v>
      </c>
      <c r="K223" s="10">
        <f t="shared" si="28"/>
        <v>17155.920208789023</v>
      </c>
      <c r="L223" s="10">
        <f t="shared" si="32"/>
        <v>17868.820667006985</v>
      </c>
      <c r="M223" s="10">
        <f>'D) Ecrêtage'!C222</f>
        <v>9320.3381401087972</v>
      </c>
      <c r="N223" s="10">
        <f t="shared" si="29"/>
        <v>12094.859837709622</v>
      </c>
      <c r="O223" s="58">
        <f t="shared" si="30"/>
        <v>29250.780046498643</v>
      </c>
      <c r="P223" s="228"/>
      <c r="Q223" s="229"/>
      <c r="R223" s="225"/>
      <c r="S223" s="225"/>
      <c r="T223" s="230"/>
    </row>
    <row r="224" spans="1:20" s="224" customFormat="1" x14ac:dyDescent="0.25">
      <c r="A224" s="327">
        <f>'A) Base RI'!A225</f>
        <v>5756</v>
      </c>
      <c r="B224" s="237" t="str">
        <f>'A) Base RI'!B225</f>
        <v>Montcherand</v>
      </c>
      <c r="C224" s="253">
        <v>1</v>
      </c>
      <c r="D224" s="226">
        <f>'B) D RI'!AA225</f>
        <v>482</v>
      </c>
      <c r="E224" s="227">
        <f>'B) D RI'!S225</f>
        <v>72</v>
      </c>
      <c r="F224" s="10">
        <f>'B) D RI'!R225</f>
        <v>1327437.5060694658</v>
      </c>
      <c r="G224" s="10">
        <f>'B) D RI'!U225</f>
        <v>18436.632028742581</v>
      </c>
      <c r="H224" s="42">
        <f>'B) D RI'!T225</f>
        <v>1246339.3060694658</v>
      </c>
      <c r="I224" s="10">
        <f t="shared" si="31"/>
        <v>34620.536279707383</v>
      </c>
      <c r="J224" s="32">
        <f t="shared" si="39"/>
        <v>40484.232858833755</v>
      </c>
      <c r="K224" s="10">
        <f t="shared" si="28"/>
        <v>0</v>
      </c>
      <c r="L224" s="10">
        <f t="shared" si="32"/>
        <v>40484.232858833755</v>
      </c>
      <c r="M224" s="10">
        <f>'D) Ecrêtage'!C223</f>
        <v>18436.632028742581</v>
      </c>
      <c r="N224" s="10">
        <f t="shared" si="29"/>
        <v>23924.934580159614</v>
      </c>
      <c r="O224" s="58">
        <f t="shared" si="30"/>
        <v>23924.934580159614</v>
      </c>
      <c r="P224" s="228"/>
      <c r="Q224" s="229"/>
      <c r="R224" s="225"/>
      <c r="S224" s="225"/>
      <c r="T224" s="230"/>
    </row>
    <row r="225" spans="1:20" s="224" customFormat="1" x14ac:dyDescent="0.25">
      <c r="A225" s="327">
        <f>'A) Base RI'!A226</f>
        <v>5757</v>
      </c>
      <c r="B225" s="237" t="str">
        <f>'A) Base RI'!B226</f>
        <v>Orbe</v>
      </c>
      <c r="C225" s="253">
        <v>1</v>
      </c>
      <c r="D225" s="226">
        <f>'B) D RI'!AA226</f>
        <v>6985</v>
      </c>
      <c r="E225" s="227">
        <f>'B) D RI'!S226</f>
        <v>77</v>
      </c>
      <c r="F225" s="10">
        <f>'B) D RI'!R226</f>
        <v>15041997.626359746</v>
      </c>
      <c r="G225" s="10">
        <f>'B) D RI'!U226</f>
        <v>195350.61852415255</v>
      </c>
      <c r="H225" s="42">
        <f>'B) D RI'!T226</f>
        <v>13758287.626359746</v>
      </c>
      <c r="I225" s="10">
        <f t="shared" si="31"/>
        <v>357358.12016518821</v>
      </c>
      <c r="J225" s="32">
        <f t="shared" si="39"/>
        <v>586685.40771567181</v>
      </c>
      <c r="K225" s="10">
        <f t="shared" si="28"/>
        <v>0</v>
      </c>
      <c r="L225" s="10">
        <f t="shared" si="32"/>
        <v>586685.40771567181</v>
      </c>
      <c r="M225" s="10">
        <f>'D) Ecrêtage'!C224</f>
        <v>195350.61852415255</v>
      </c>
      <c r="N225" s="10">
        <f t="shared" si="29"/>
        <v>253503.50113283825</v>
      </c>
      <c r="O225" s="58">
        <f t="shared" si="30"/>
        <v>253503.50113283825</v>
      </c>
      <c r="P225" s="228"/>
      <c r="Q225" s="229"/>
      <c r="R225" s="225"/>
      <c r="S225" s="225"/>
      <c r="T225" s="230"/>
    </row>
    <row r="226" spans="1:20" s="224" customFormat="1" x14ac:dyDescent="0.25">
      <c r="A226" s="327">
        <f>'A) Base RI'!A227</f>
        <v>5758</v>
      </c>
      <c r="B226" s="237" t="str">
        <f>'A) Base RI'!B227</f>
        <v>La Praz</v>
      </c>
      <c r="C226" s="253">
        <v>0</v>
      </c>
      <c r="D226" s="226">
        <f>'B) D RI'!AA227</f>
        <v>160</v>
      </c>
      <c r="E226" s="227">
        <f>'B) D RI'!S227</f>
        <v>83</v>
      </c>
      <c r="F226" s="10">
        <f>'B) D RI'!R227</f>
        <v>267017.93386328727</v>
      </c>
      <c r="G226" s="10">
        <f>'B) D RI'!U227</f>
        <v>3217.0835405215335</v>
      </c>
      <c r="H226" s="42">
        <f>'B) D RI'!T227</f>
        <v>243645.10052995392</v>
      </c>
      <c r="I226" s="10">
        <f t="shared" si="31"/>
        <v>5870.9662778302154</v>
      </c>
      <c r="J226" s="32">
        <f t="shared" si="39"/>
        <v>13438.7494967083</v>
      </c>
      <c r="K226" s="10">
        <f t="shared" si="28"/>
        <v>5870.9662778302154</v>
      </c>
      <c r="L226" s="10">
        <f t="shared" si="32"/>
        <v>7567.7832188780849</v>
      </c>
      <c r="M226" s="10">
        <f>'D) Ecrêtage'!C225</f>
        <v>3217.0835405215335</v>
      </c>
      <c r="N226" s="10">
        <f t="shared" si="29"/>
        <v>4174.7599629852448</v>
      </c>
      <c r="O226" s="58">
        <f t="shared" si="30"/>
        <v>10045.72624081546</v>
      </c>
      <c r="P226" s="228"/>
      <c r="Q226" s="229"/>
      <c r="R226" s="225"/>
      <c r="S226" s="225"/>
      <c r="T226" s="230"/>
    </row>
    <row r="227" spans="1:20" s="224" customFormat="1" x14ac:dyDescent="0.25">
      <c r="A227" s="327">
        <f>'A) Base RI'!A228</f>
        <v>5759</v>
      </c>
      <c r="B227" s="237" t="str">
        <f>'A) Base RI'!B228</f>
        <v>Premier</v>
      </c>
      <c r="C227" s="253">
        <v>0</v>
      </c>
      <c r="D227" s="226">
        <f>'B) D RI'!AA228</f>
        <v>210</v>
      </c>
      <c r="E227" s="227">
        <f>'B) D RI'!S228</f>
        <v>81</v>
      </c>
      <c r="F227" s="10">
        <f>'B) D RI'!R228</f>
        <v>383137.91278836707</v>
      </c>
      <c r="G227" s="10">
        <f>'B) D RI'!U228</f>
        <v>4730.0976887452725</v>
      </c>
      <c r="H227" s="42">
        <f>'B) D RI'!T228</f>
        <v>357088.26278836705</v>
      </c>
      <c r="I227" s="10">
        <f t="shared" si="31"/>
        <v>8816.9941429226437</v>
      </c>
      <c r="J227" s="32">
        <f t="shared" si="39"/>
        <v>17638.358714429647</v>
      </c>
      <c r="K227" s="10">
        <f t="shared" si="28"/>
        <v>8816.9941429226437</v>
      </c>
      <c r="L227" s="10">
        <f t="shared" si="32"/>
        <v>8821.3645715070033</v>
      </c>
      <c r="M227" s="10">
        <f>'D) Ecrêtage'!C226</f>
        <v>4730.0976887452725</v>
      </c>
      <c r="N227" s="10">
        <f t="shared" si="29"/>
        <v>6138.1752146795488</v>
      </c>
      <c r="O227" s="58">
        <f t="shared" si="30"/>
        <v>14955.169357602193</v>
      </c>
      <c r="P227" s="228"/>
      <c r="Q227" s="229"/>
      <c r="R227" s="225"/>
      <c r="S227" s="225"/>
      <c r="T227" s="230"/>
    </row>
    <row r="228" spans="1:20" s="224" customFormat="1" x14ac:dyDescent="0.25">
      <c r="A228" s="327">
        <f>'A) Base RI'!A229</f>
        <v>5760</v>
      </c>
      <c r="B228" s="237" t="str">
        <f>'A) Base RI'!B229</f>
        <v>Rances</v>
      </c>
      <c r="C228" s="253">
        <v>0</v>
      </c>
      <c r="D228" s="226">
        <f>'B) D RI'!AA229</f>
        <v>485</v>
      </c>
      <c r="E228" s="227">
        <f>'B) D RI'!S229</f>
        <v>78</v>
      </c>
      <c r="F228" s="10">
        <f>'B) D RI'!R229</f>
        <v>813363.19932790217</v>
      </c>
      <c r="G228" s="10">
        <f>'B) D RI'!U229</f>
        <v>10427.733324716695</v>
      </c>
      <c r="H228" s="42">
        <f>'B) D RI'!T229</f>
        <v>746926.09932790219</v>
      </c>
      <c r="I228" s="10">
        <f t="shared" si="31"/>
        <v>19151.951264818006</v>
      </c>
      <c r="J228" s="32">
        <f t="shared" si="39"/>
        <v>40736.209411897034</v>
      </c>
      <c r="K228" s="10">
        <f t="shared" si="28"/>
        <v>19151.951264818006</v>
      </c>
      <c r="L228" s="10">
        <f t="shared" si="32"/>
        <v>21584.258147079028</v>
      </c>
      <c r="M228" s="10">
        <f>'D) Ecrêtage'!C227</f>
        <v>10427.733324716695</v>
      </c>
      <c r="N228" s="10">
        <f t="shared" si="29"/>
        <v>13531.909582197835</v>
      </c>
      <c r="O228" s="58">
        <f t="shared" si="30"/>
        <v>32683.860847015843</v>
      </c>
      <c r="P228" s="228"/>
      <c r="Q228" s="229"/>
      <c r="R228" s="225"/>
      <c r="S228" s="225"/>
      <c r="T228" s="230"/>
    </row>
    <row r="229" spans="1:20" s="224" customFormat="1" x14ac:dyDescent="0.25">
      <c r="A229" s="327">
        <f>'A) Base RI'!A230</f>
        <v>5761</v>
      </c>
      <c r="B229" s="237" t="str">
        <f>'A) Base RI'!B230</f>
        <v>Romainmôtier-Envy</v>
      </c>
      <c r="C229" s="253">
        <v>0</v>
      </c>
      <c r="D229" s="226">
        <f>'B) D RI'!AA230</f>
        <v>551</v>
      </c>
      <c r="E229" s="227">
        <f>'B) D RI'!S230</f>
        <v>81</v>
      </c>
      <c r="F229" s="10">
        <f>'B) D RI'!R230</f>
        <v>1038862.8131410135</v>
      </c>
      <c r="G229" s="10">
        <f>'B) D RI'!U230</f>
        <v>12825.466828901401</v>
      </c>
      <c r="H229" s="42">
        <f>'B) D RI'!T230</f>
        <v>959544.85405010439</v>
      </c>
      <c r="I229" s="10">
        <f t="shared" si="31"/>
        <v>23692.465532101342</v>
      </c>
      <c r="J229" s="32">
        <f t="shared" si="39"/>
        <v>46279.693579289211</v>
      </c>
      <c r="K229" s="10">
        <f t="shared" si="28"/>
        <v>23692.465532101342</v>
      </c>
      <c r="L229" s="10">
        <f t="shared" si="32"/>
        <v>22587.228047187869</v>
      </c>
      <c r="M229" s="10">
        <f>'D) Ecrêtage'!C228</f>
        <v>12825.466828901401</v>
      </c>
      <c r="N229" s="10">
        <f t="shared" si="29"/>
        <v>16643.41157121857</v>
      </c>
      <c r="O229" s="58">
        <f t="shared" si="30"/>
        <v>40335.877103319915</v>
      </c>
      <c r="P229" s="228"/>
      <c r="Q229" s="229"/>
      <c r="R229" s="225"/>
      <c r="S229" s="225"/>
      <c r="T229" s="230"/>
    </row>
    <row r="230" spans="1:20" s="224" customFormat="1" x14ac:dyDescent="0.25">
      <c r="A230" s="327">
        <f>'A) Base RI'!A231</f>
        <v>5762</v>
      </c>
      <c r="B230" s="237" t="str">
        <f>'A) Base RI'!B231</f>
        <v>Sergey</v>
      </c>
      <c r="C230" s="253">
        <v>0</v>
      </c>
      <c r="D230" s="226">
        <f>'B) D RI'!AA231</f>
        <v>137</v>
      </c>
      <c r="E230" s="227">
        <f>'B) D RI'!S231</f>
        <v>78</v>
      </c>
      <c r="F230" s="10">
        <f>'B) D RI'!R231</f>
        <v>310879.84824847255</v>
      </c>
      <c r="G230" s="10">
        <f>'B) D RI'!U231</f>
        <v>3985.6390801086227</v>
      </c>
      <c r="H230" s="42">
        <f>'B) D RI'!T231</f>
        <v>292236.64824847254</v>
      </c>
      <c r="I230" s="10">
        <f t="shared" si="31"/>
        <v>7493.2473909864757</v>
      </c>
      <c r="J230" s="32">
        <f t="shared" si="39"/>
        <v>11506.929256556483</v>
      </c>
      <c r="K230" s="10">
        <f t="shared" si="28"/>
        <v>7493.2473909864757</v>
      </c>
      <c r="L230" s="10">
        <f t="shared" si="32"/>
        <v>4013.6818655700072</v>
      </c>
      <c r="M230" s="10">
        <f>'D) Ecrêtage'!C229</f>
        <v>3985.6390801086227</v>
      </c>
      <c r="N230" s="10">
        <f t="shared" si="29"/>
        <v>5172.1026976655367</v>
      </c>
      <c r="O230" s="58">
        <f t="shared" si="30"/>
        <v>12665.350088652012</v>
      </c>
      <c r="P230" s="228"/>
      <c r="Q230" s="229"/>
      <c r="R230" s="225"/>
      <c r="S230" s="225"/>
      <c r="T230" s="230"/>
    </row>
    <row r="231" spans="1:20" s="224" customFormat="1" x14ac:dyDescent="0.25">
      <c r="A231" s="327">
        <f>'A) Base RI'!A232</f>
        <v>5763</v>
      </c>
      <c r="B231" s="237" t="str">
        <f>'A) Base RI'!B232</f>
        <v>Valeyres-sous-Rances</v>
      </c>
      <c r="C231" s="253">
        <v>0</v>
      </c>
      <c r="D231" s="226">
        <f>'B) D RI'!AA232</f>
        <v>631</v>
      </c>
      <c r="E231" s="227">
        <f>'B) D RI'!S232</f>
        <v>65</v>
      </c>
      <c r="F231" s="10">
        <f>'B) D RI'!R232</f>
        <v>1307463.1741454545</v>
      </c>
      <c r="G231" s="10">
        <f>'B) D RI'!U232</f>
        <v>20114.818063776223</v>
      </c>
      <c r="H231" s="42">
        <f>'B) D RI'!T232</f>
        <v>1218074.6241454545</v>
      </c>
      <c r="I231" s="10">
        <f t="shared" si="31"/>
        <v>37479.219204475521</v>
      </c>
      <c r="J231" s="32">
        <f t="shared" si="39"/>
        <v>52999.068327643363</v>
      </c>
      <c r="K231" s="10">
        <f t="shared" si="28"/>
        <v>37479.219204475521</v>
      </c>
      <c r="L231" s="10">
        <f t="shared" si="32"/>
        <v>15519.849123167842</v>
      </c>
      <c r="M231" s="10">
        <f>'D) Ecrêtage'!C230</f>
        <v>20114.818063776223</v>
      </c>
      <c r="N231" s="10">
        <f t="shared" si="29"/>
        <v>26102.690855759356</v>
      </c>
      <c r="O231" s="58">
        <f t="shared" si="30"/>
        <v>63581.910060234877</v>
      </c>
      <c r="P231" s="228"/>
      <c r="Q231" s="229"/>
      <c r="R231" s="225"/>
      <c r="S231" s="225"/>
      <c r="T231" s="230"/>
    </row>
    <row r="232" spans="1:20" s="224" customFormat="1" x14ac:dyDescent="0.25">
      <c r="A232" s="327">
        <f>'A) Base RI'!A233</f>
        <v>5764</v>
      </c>
      <c r="B232" s="237" t="str">
        <f>'A) Base RI'!B233</f>
        <v>Vallorbe</v>
      </c>
      <c r="C232" s="253">
        <v>0</v>
      </c>
      <c r="D232" s="226">
        <f>'B) D RI'!AA233</f>
        <v>3851</v>
      </c>
      <c r="E232" s="227">
        <f>'B) D RI'!S233</f>
        <v>73</v>
      </c>
      <c r="F232" s="10">
        <f>'B) D RI'!R233</f>
        <v>5930115.4230192723</v>
      </c>
      <c r="G232" s="10">
        <f>'B) D RI'!U233</f>
        <v>81234.457849579077</v>
      </c>
      <c r="H232" s="42">
        <f>'B) D RI'!T233</f>
        <v>5501165.0730192726</v>
      </c>
      <c r="I232" s="10">
        <f t="shared" si="31"/>
        <v>150716.85131559652</v>
      </c>
      <c r="J232" s="32">
        <f t="shared" si="39"/>
        <v>323453.90194889792</v>
      </c>
      <c r="K232" s="10">
        <f t="shared" si="28"/>
        <v>150716.85131559652</v>
      </c>
      <c r="L232" s="10">
        <f t="shared" si="32"/>
        <v>172737.05063330141</v>
      </c>
      <c r="M232" s="10">
        <f>'D) Ecrêtage'!C231</f>
        <v>81234.457849579077</v>
      </c>
      <c r="N232" s="10">
        <f t="shared" si="29"/>
        <v>105416.70987824483</v>
      </c>
      <c r="O232" s="58">
        <f t="shared" si="30"/>
        <v>256133.56119384133</v>
      </c>
      <c r="P232" s="228"/>
      <c r="Q232" s="229"/>
      <c r="R232" s="225"/>
      <c r="S232" s="225"/>
      <c r="T232" s="230"/>
    </row>
    <row r="233" spans="1:20" s="224" customFormat="1" x14ac:dyDescent="0.25">
      <c r="A233" s="327">
        <f>'A) Base RI'!A234</f>
        <v>5765</v>
      </c>
      <c r="B233" s="237" t="str">
        <f>'A) Base RI'!B234</f>
        <v>Vaulion</v>
      </c>
      <c r="C233" s="253">
        <v>0</v>
      </c>
      <c r="D233" s="226">
        <f>'B) D RI'!AA234</f>
        <v>482</v>
      </c>
      <c r="E233" s="227">
        <f>'B) D RI'!S234</f>
        <v>81</v>
      </c>
      <c r="F233" s="10">
        <f>'B) D RI'!R234</f>
        <v>775185.19145608169</v>
      </c>
      <c r="G233" s="10">
        <f>'B) D RI'!U234</f>
        <v>9570.1875488405149</v>
      </c>
      <c r="H233" s="42">
        <f>'B) D RI'!T234</f>
        <v>718051.59145608172</v>
      </c>
      <c r="I233" s="10">
        <f t="shared" si="31"/>
        <v>17729.668924841524</v>
      </c>
      <c r="J233" s="32">
        <f t="shared" si="39"/>
        <v>40484.232858833755</v>
      </c>
      <c r="K233" s="10">
        <f t="shared" si="28"/>
        <v>17729.668924841524</v>
      </c>
      <c r="L233" s="10">
        <f t="shared" si="32"/>
        <v>22754.563933992231</v>
      </c>
      <c r="M233" s="10">
        <f>'D) Ecrêtage'!C232</f>
        <v>9570.1875488405149</v>
      </c>
      <c r="N233" s="10">
        <f t="shared" si="29"/>
        <v>12419.085582925929</v>
      </c>
      <c r="O233" s="58">
        <f t="shared" si="30"/>
        <v>30148.754507767451</v>
      </c>
      <c r="P233" s="228"/>
      <c r="Q233" s="229"/>
      <c r="R233" s="225"/>
      <c r="S233" s="225"/>
      <c r="T233" s="230"/>
    </row>
    <row r="234" spans="1:20" s="224" customFormat="1" x14ac:dyDescent="0.25">
      <c r="A234" s="327">
        <f>'A) Base RI'!A235</f>
        <v>5766</v>
      </c>
      <c r="B234" s="237" t="str">
        <f>'A) Base RI'!B235</f>
        <v>Vuiteboeuf</v>
      </c>
      <c r="C234" s="253">
        <v>0</v>
      </c>
      <c r="D234" s="226">
        <f>'B) D RI'!AA235</f>
        <v>574</v>
      </c>
      <c r="E234" s="227">
        <f>'B) D RI'!S235</f>
        <v>77</v>
      </c>
      <c r="F234" s="10">
        <f>'B) D RI'!R235</f>
        <v>992822.71921649482</v>
      </c>
      <c r="G234" s="10">
        <f>'B) D RI'!U235</f>
        <v>12893.801548266167</v>
      </c>
      <c r="H234" s="42">
        <f>'B) D RI'!T235</f>
        <v>918156.5692164948</v>
      </c>
      <c r="I234" s="10">
        <f t="shared" si="31"/>
        <v>23848.222577051813</v>
      </c>
      <c r="J234" s="32">
        <f t="shared" si="39"/>
        <v>48211.513819441032</v>
      </c>
      <c r="K234" s="10">
        <f t="shared" si="28"/>
        <v>23848.222577051813</v>
      </c>
      <c r="L234" s="10">
        <f t="shared" si="32"/>
        <v>24363.291242389219</v>
      </c>
      <c r="M234" s="10">
        <f>'D) Ecrêtage'!C233</f>
        <v>12893.801548266167</v>
      </c>
      <c r="N234" s="10">
        <f t="shared" si="29"/>
        <v>16732.088488336991</v>
      </c>
      <c r="O234" s="58">
        <f t="shared" si="30"/>
        <v>40580.3110653888</v>
      </c>
      <c r="P234" s="228"/>
      <c r="Q234" s="229"/>
      <c r="R234" s="225"/>
      <c r="S234" s="225"/>
      <c r="T234" s="230"/>
    </row>
    <row r="235" spans="1:20" s="224" customFormat="1" x14ac:dyDescent="0.25">
      <c r="A235" s="327">
        <f>'A) Base RI'!A236</f>
        <v>5785</v>
      </c>
      <c r="B235" s="237" t="str">
        <f>'A) Base RI'!B236</f>
        <v>Corcelles-le-Jorat</v>
      </c>
      <c r="C235" s="253">
        <v>0</v>
      </c>
      <c r="D235" s="226">
        <f>'B) D RI'!AA236</f>
        <v>460</v>
      </c>
      <c r="E235" s="227">
        <f>'B) D RI'!S236</f>
        <v>77</v>
      </c>
      <c r="F235" s="10">
        <f>'B) D RI'!R236</f>
        <v>1191205.9783298969</v>
      </c>
      <c r="G235" s="10">
        <f>'B) D RI'!U236</f>
        <v>15470.207510777882</v>
      </c>
      <c r="H235" s="42">
        <f>'B) D RI'!T236</f>
        <v>1123971.3783298968</v>
      </c>
      <c r="I235" s="10">
        <f t="shared" si="31"/>
        <v>29194.061774802514</v>
      </c>
      <c r="J235" s="32">
        <f t="shared" si="39"/>
        <v>38636.404803036363</v>
      </c>
      <c r="K235" s="10">
        <f t="shared" si="28"/>
        <v>29194.061774802514</v>
      </c>
      <c r="L235" s="10">
        <f t="shared" si="32"/>
        <v>9442.3430282338486</v>
      </c>
      <c r="M235" s="10">
        <f>'D) Ecrêtage'!C234</f>
        <v>15470.207510777882</v>
      </c>
      <c r="N235" s="10">
        <f t="shared" si="29"/>
        <v>20075.450985832689</v>
      </c>
      <c r="O235" s="58">
        <f t="shared" si="30"/>
        <v>49269.512760635203</v>
      </c>
      <c r="P235" s="228"/>
      <c r="Q235" s="229"/>
      <c r="R235" s="225"/>
      <c r="S235" s="225"/>
      <c r="T235" s="230"/>
    </row>
    <row r="236" spans="1:20" s="224" customFormat="1" x14ac:dyDescent="0.25">
      <c r="A236" s="327">
        <f>'A) Base RI'!A237</f>
        <v>5788</v>
      </c>
      <c r="B236" s="237" t="str">
        <f>'A) Base RI'!B237</f>
        <v>Essertes</v>
      </c>
      <c r="C236" s="253">
        <v>0</v>
      </c>
      <c r="D236" s="226">
        <f>'B) D RI'!AA237</f>
        <v>346</v>
      </c>
      <c r="E236" s="227">
        <f>'B) D RI'!S237</f>
        <v>72</v>
      </c>
      <c r="F236" s="10">
        <f>'B) D RI'!R237</f>
        <v>830755.6982567599</v>
      </c>
      <c r="G236" s="10">
        <f>'B) D RI'!U237</f>
        <v>11538.273586899442</v>
      </c>
      <c r="H236" s="42">
        <f>'B) D RI'!T237</f>
        <v>773795.27825675986</v>
      </c>
      <c r="I236" s="10">
        <f t="shared" si="31"/>
        <v>21494.313284909997</v>
      </c>
      <c r="J236" s="32">
        <f t="shared" si="39"/>
        <v>29061.295786631701</v>
      </c>
      <c r="K236" s="10">
        <f t="shared" si="28"/>
        <v>21494.313284909997</v>
      </c>
      <c r="L236" s="10">
        <f t="shared" si="32"/>
        <v>7566.9825017217045</v>
      </c>
      <c r="M236" s="10">
        <f>'D) Ecrêtage'!C235</f>
        <v>11538.273586899442</v>
      </c>
      <c r="N236" s="10">
        <f t="shared" si="29"/>
        <v>14973.040645611896</v>
      </c>
      <c r="O236" s="58">
        <f t="shared" si="30"/>
        <v>36467.353930521895</v>
      </c>
      <c r="P236" s="228"/>
      <c r="Q236" s="229"/>
      <c r="R236" s="225"/>
      <c r="S236" s="225"/>
      <c r="T236" s="230"/>
    </row>
    <row r="237" spans="1:20" s="224" customFormat="1" x14ac:dyDescent="0.25">
      <c r="A237" s="327">
        <f>'A) Base RI'!A238</f>
        <v>5790</v>
      </c>
      <c r="B237" s="237" t="str">
        <f>'A) Base RI'!B238</f>
        <v>Maracon</v>
      </c>
      <c r="C237" s="253">
        <v>0</v>
      </c>
      <c r="D237" s="226">
        <f>'B) D RI'!AA238</f>
        <v>477</v>
      </c>
      <c r="E237" s="227">
        <f>'B) D RI'!S238</f>
        <v>76</v>
      </c>
      <c r="F237" s="10">
        <f>'B) D RI'!R238</f>
        <v>919919.39705636748</v>
      </c>
      <c r="G237" s="10">
        <f>'B) D RI'!U238</f>
        <v>12104.202592846941</v>
      </c>
      <c r="H237" s="42">
        <f>'B) D RI'!T238</f>
        <v>845180.44705636753</v>
      </c>
      <c r="I237" s="10">
        <f t="shared" si="31"/>
        <v>22241.590712009671</v>
      </c>
      <c r="J237" s="32">
        <f t="shared" si="39"/>
        <v>40064.271937061625</v>
      </c>
      <c r="K237" s="10">
        <f t="shared" si="28"/>
        <v>22241.590712009671</v>
      </c>
      <c r="L237" s="10">
        <f t="shared" si="32"/>
        <v>17822.681225051954</v>
      </c>
      <c r="M237" s="10">
        <f>'D) Ecrêtage'!C236</f>
        <v>12104.202592846941</v>
      </c>
      <c r="N237" s="10">
        <f t="shared" si="29"/>
        <v>15707.438035720903</v>
      </c>
      <c r="O237" s="58">
        <f t="shared" si="30"/>
        <v>37949.028747730576</v>
      </c>
      <c r="P237" s="228"/>
      <c r="Q237" s="229"/>
      <c r="R237" s="225"/>
      <c r="S237" s="225"/>
      <c r="T237" s="230"/>
    </row>
    <row r="238" spans="1:20" s="224" customFormat="1" x14ac:dyDescent="0.25">
      <c r="A238" s="327">
        <f>'A) Base RI'!A239</f>
        <v>5792</v>
      </c>
      <c r="B238" s="237" t="str">
        <f>'A) Base RI'!B239</f>
        <v>Montpreveyres</v>
      </c>
      <c r="C238" s="253">
        <v>0</v>
      </c>
      <c r="D238" s="226">
        <f>'B) D RI'!AA239</f>
        <v>648</v>
      </c>
      <c r="E238" s="227">
        <f>'B) D RI'!S239</f>
        <v>77</v>
      </c>
      <c r="F238" s="10">
        <f>'B) D RI'!R239</f>
        <v>1339024.4375876291</v>
      </c>
      <c r="G238" s="10">
        <f>'B) D RI'!U239</f>
        <v>17389.927760878301</v>
      </c>
      <c r="H238" s="42">
        <f>'B) D RI'!T239</f>
        <v>1236023.387587629</v>
      </c>
      <c r="I238" s="10">
        <f t="shared" si="31"/>
        <v>32104.503573704649</v>
      </c>
      <c r="J238" s="32">
        <f t="shared" si="39"/>
        <v>54426.935461668618</v>
      </c>
      <c r="K238" s="10">
        <f t="shared" si="28"/>
        <v>32104.503573704649</v>
      </c>
      <c r="L238" s="10">
        <f t="shared" si="32"/>
        <v>22322.431887963969</v>
      </c>
      <c r="M238" s="10">
        <f>'D) Ecrêtage'!C237</f>
        <v>17389.927760878301</v>
      </c>
      <c r="N238" s="10">
        <f t="shared" si="29"/>
        <v>22566.642507378321</v>
      </c>
      <c r="O238" s="58">
        <f t="shared" si="30"/>
        <v>54671.146081082974</v>
      </c>
      <c r="P238" s="228"/>
      <c r="Q238" s="229"/>
      <c r="R238" s="225"/>
      <c r="S238" s="225"/>
      <c r="T238" s="230"/>
    </row>
    <row r="239" spans="1:20" s="224" customFormat="1" x14ac:dyDescent="0.25">
      <c r="A239" s="327">
        <f>'A) Base RI'!A240</f>
        <v>5798</v>
      </c>
      <c r="B239" s="237" t="str">
        <f>'A) Base RI'!B240</f>
        <v>Ropraz</v>
      </c>
      <c r="C239" s="253">
        <v>0</v>
      </c>
      <c r="D239" s="226">
        <f>'B) D RI'!AA240</f>
        <v>450</v>
      </c>
      <c r="E239" s="227">
        <f>'B) D RI'!S240</f>
        <v>77.5</v>
      </c>
      <c r="F239" s="10">
        <f>'B) D RI'!R240</f>
        <v>1084395.9481557377</v>
      </c>
      <c r="G239" s="10">
        <f>'B) D RI'!U240</f>
        <v>13992.205782654681</v>
      </c>
      <c r="H239" s="42">
        <f>'B) D RI'!T240</f>
        <v>1015600.1481557378</v>
      </c>
      <c r="I239" s="10">
        <f t="shared" si="31"/>
        <v>26209.036081438393</v>
      </c>
      <c r="J239" s="32">
        <f t="shared" si="39"/>
        <v>37796.482959492096</v>
      </c>
      <c r="K239" s="10">
        <f t="shared" si="28"/>
        <v>26209.036081438393</v>
      </c>
      <c r="L239" s="10">
        <f t="shared" si="32"/>
        <v>11587.446878053703</v>
      </c>
      <c r="M239" s="10">
        <f>'D) Ecrêtage'!C238</f>
        <v>13992.205782654681</v>
      </c>
      <c r="N239" s="10">
        <f t="shared" si="29"/>
        <v>18157.470814639666</v>
      </c>
      <c r="O239" s="58">
        <f t="shared" si="30"/>
        <v>44366.506896078063</v>
      </c>
      <c r="P239" s="228"/>
      <c r="Q239" s="229"/>
      <c r="R239" s="225"/>
      <c r="S239" s="225"/>
      <c r="T239" s="230"/>
    </row>
    <row r="240" spans="1:20" s="224" customFormat="1" x14ac:dyDescent="0.25">
      <c r="A240" s="327">
        <f>'A) Base RI'!A241</f>
        <v>5799</v>
      </c>
      <c r="B240" s="237" t="str">
        <f>'A) Base RI'!B241</f>
        <v>Servion</v>
      </c>
      <c r="C240" s="253">
        <v>0</v>
      </c>
      <c r="D240" s="226">
        <f>'B) D RI'!AA241</f>
        <v>1904</v>
      </c>
      <c r="E240" s="227">
        <f>'B) D RI'!S241</f>
        <v>69</v>
      </c>
      <c r="F240" s="10">
        <f>'B) D RI'!R241</f>
        <v>4502944.3241758235</v>
      </c>
      <c r="G240" s="10">
        <f>'B) D RI'!U241</f>
        <v>65260.062669214836</v>
      </c>
      <c r="H240" s="42">
        <f>'B) D RI'!T241</f>
        <v>4152562.1741758236</v>
      </c>
      <c r="I240" s="10">
        <f t="shared" si="31"/>
        <v>120364.12099060358</v>
      </c>
      <c r="J240" s="32">
        <f t="shared" si="39"/>
        <v>159921.11901082878</v>
      </c>
      <c r="K240" s="10">
        <f t="shared" si="28"/>
        <v>120364.12099060358</v>
      </c>
      <c r="L240" s="10">
        <f t="shared" si="32"/>
        <v>39556.998020225205</v>
      </c>
      <c r="M240" s="10">
        <f>'D) Ecrêtage'!C239</f>
        <v>65260.062669214836</v>
      </c>
      <c r="N240" s="10">
        <f t="shared" si="29"/>
        <v>84686.982287435108</v>
      </c>
      <c r="O240" s="58">
        <f t="shared" si="30"/>
        <v>205051.10327803867</v>
      </c>
      <c r="P240" s="228"/>
      <c r="Q240" s="229"/>
      <c r="R240" s="225"/>
      <c r="S240" s="225"/>
      <c r="T240" s="230"/>
    </row>
    <row r="241" spans="1:20" s="224" customFormat="1" x14ac:dyDescent="0.25">
      <c r="A241" s="327">
        <f>'A) Base RI'!A242</f>
        <v>5803</v>
      </c>
      <c r="B241" s="237" t="str">
        <f>'A) Base RI'!B242</f>
        <v>Vulliens</v>
      </c>
      <c r="C241" s="253">
        <v>0</v>
      </c>
      <c r="D241" s="226">
        <f>'B) D RI'!AA242</f>
        <v>515</v>
      </c>
      <c r="E241" s="227">
        <f>'B) D RI'!S242</f>
        <v>78</v>
      </c>
      <c r="F241" s="10">
        <f>'B) D RI'!R242</f>
        <v>1210315.937107943</v>
      </c>
      <c r="G241" s="10">
        <f>'B) D RI'!U242</f>
        <v>15516.870988563373</v>
      </c>
      <c r="H241" s="42">
        <f>'B) D RI'!T242</f>
        <v>1129101.2871079431</v>
      </c>
      <c r="I241" s="10">
        <f t="shared" si="31"/>
        <v>28951.315054049825</v>
      </c>
      <c r="J241" s="32">
        <f t="shared" si="39"/>
        <v>43255.974942529843</v>
      </c>
      <c r="K241" s="10">
        <f t="shared" si="28"/>
        <v>28951.315054049825</v>
      </c>
      <c r="L241" s="10">
        <f t="shared" si="32"/>
        <v>14304.659888480019</v>
      </c>
      <c r="M241" s="10">
        <f>'D) Ecrêtage'!C240</f>
        <v>15516.870988563373</v>
      </c>
      <c r="N241" s="10">
        <f t="shared" si="29"/>
        <v>20136.005465173606</v>
      </c>
      <c r="O241" s="58">
        <f t="shared" si="30"/>
        <v>49087.320519223431</v>
      </c>
      <c r="P241" s="228"/>
      <c r="Q241" s="229"/>
      <c r="R241" s="225"/>
      <c r="S241" s="225"/>
      <c r="T241" s="230"/>
    </row>
    <row r="242" spans="1:20" s="224" customFormat="1" x14ac:dyDescent="0.25">
      <c r="A242" s="327">
        <f>'A) Base RI'!A243</f>
        <v>5804</v>
      </c>
      <c r="B242" s="237" t="str">
        <f>'A) Base RI'!B243</f>
        <v>Jorat-Menthue</v>
      </c>
      <c r="C242" s="253">
        <v>0</v>
      </c>
      <c r="D242" s="226">
        <f>'B) D RI'!AA243</f>
        <v>1532</v>
      </c>
      <c r="E242" s="227">
        <f>'B) D RI'!S243</f>
        <v>72</v>
      </c>
      <c r="F242" s="10">
        <f>'B) D RI'!R243</f>
        <v>3384762.5441415687</v>
      </c>
      <c r="G242" s="10">
        <f>'B) D RI'!U243</f>
        <v>47010.590890855121</v>
      </c>
      <c r="H242" s="42">
        <f>'B) D RI'!T243</f>
        <v>3129702.7441415689</v>
      </c>
      <c r="I242" s="10">
        <f t="shared" si="31"/>
        <v>86936.187337265801</v>
      </c>
      <c r="J242" s="32">
        <f t="shared" si="39"/>
        <v>128676.02643098199</v>
      </c>
      <c r="K242" s="10">
        <f t="shared" si="28"/>
        <v>86936.187337265801</v>
      </c>
      <c r="L242" s="10">
        <f t="shared" si="32"/>
        <v>41739.839093716189</v>
      </c>
      <c r="M242" s="10">
        <f>'D) Ecrêtage'!C241</f>
        <v>47010.590890855121</v>
      </c>
      <c r="N242" s="10">
        <f t="shared" si="29"/>
        <v>61004.922693305227</v>
      </c>
      <c r="O242" s="58">
        <f t="shared" si="30"/>
        <v>147941.11003057103</v>
      </c>
      <c r="P242" s="228"/>
      <c r="Q242" s="229"/>
      <c r="R242" s="225"/>
      <c r="S242" s="225"/>
      <c r="T242" s="230"/>
    </row>
    <row r="243" spans="1:20" s="224" customFormat="1" x14ac:dyDescent="0.25">
      <c r="A243" s="327">
        <f>'A) Base RI'!A244</f>
        <v>5805</v>
      </c>
      <c r="B243" s="237" t="str">
        <f>'A) Base RI'!B244</f>
        <v>Oron</v>
      </c>
      <c r="C243" s="253">
        <v>0</v>
      </c>
      <c r="D243" s="226">
        <f>'B) D RI'!AA244</f>
        <v>5463</v>
      </c>
      <c r="E243" s="227">
        <f>'B) D RI'!S244</f>
        <v>69</v>
      </c>
      <c r="F243" s="10">
        <f>'B) D RI'!R244</f>
        <v>10027998.314524224</v>
      </c>
      <c r="G243" s="10">
        <f>'B) D RI'!U244</f>
        <v>145333.30890614819</v>
      </c>
      <c r="H243" s="42">
        <f>'B) D RI'!T244</f>
        <v>9126326.0327060428</v>
      </c>
      <c r="I243" s="10">
        <f t="shared" si="31"/>
        <v>264531.18935379834</v>
      </c>
      <c r="J243" s="32">
        <f t="shared" si="39"/>
        <v>458849.30312823405</v>
      </c>
      <c r="K243" s="10">
        <f t="shared" si="28"/>
        <v>264531.18935379834</v>
      </c>
      <c r="L243" s="10">
        <f t="shared" si="32"/>
        <v>194318.11377443571</v>
      </c>
      <c r="M243" s="10">
        <f>'D) Ecrêtage'!C242</f>
        <v>145333.30890614819</v>
      </c>
      <c r="N243" s="10">
        <f t="shared" si="29"/>
        <v>188596.80566802903</v>
      </c>
      <c r="O243" s="58">
        <f t="shared" si="30"/>
        <v>453127.9950218274</v>
      </c>
      <c r="P243" s="228"/>
      <c r="Q243" s="229"/>
      <c r="R243" s="225"/>
      <c r="S243" s="225"/>
      <c r="T243" s="230"/>
    </row>
    <row r="244" spans="1:20" s="224" customFormat="1" x14ac:dyDescent="0.25">
      <c r="A244" s="327">
        <f>'A) Base RI'!A245</f>
        <v>5806</v>
      </c>
      <c r="B244" s="237" t="str">
        <f>'A) Base RI'!B245</f>
        <v>Jorat-Mézières</v>
      </c>
      <c r="C244" s="253">
        <v>0</v>
      </c>
      <c r="D244" s="226">
        <f>'B) D RI'!AA245</f>
        <v>2850</v>
      </c>
      <c r="E244" s="227">
        <f>'B) D RI'!S245</f>
        <v>76</v>
      </c>
      <c r="F244" s="10">
        <f>'B) D RI'!R245</f>
        <v>6466659.3899999987</v>
      </c>
      <c r="G244" s="10">
        <f>'B) D RI'!U245</f>
        <v>85087.623552631558</v>
      </c>
      <c r="H244" s="42">
        <f>'B) D RI'!T245</f>
        <v>5956572.7399999993</v>
      </c>
      <c r="I244" s="10">
        <f t="shared" ref="I244" si="40">+H244/E244*$I$5</f>
        <v>156751.9142105263</v>
      </c>
      <c r="J244" s="32">
        <f t="shared" ref="J244" si="41">+$I$315/$D$315*D244</f>
        <v>239377.7254101166</v>
      </c>
      <c r="K244" s="10">
        <f t="shared" ref="K244" si="42">IF(C244=1,0,IF(J244&gt;I244,I244,J244))</f>
        <v>156751.9142105263</v>
      </c>
      <c r="L244" s="10">
        <f t="shared" ref="L244" si="43">+J244-K244</f>
        <v>82625.811199590302</v>
      </c>
      <c r="M244" s="10">
        <f>'D) Ecrêtage'!C243</f>
        <v>85087.623552631558</v>
      </c>
      <c r="N244" s="10">
        <f t="shared" ref="N244" si="44">+$N$5*M244</f>
        <v>110416.90390654278</v>
      </c>
      <c r="O244" s="58">
        <f t="shared" ref="O244" si="45">+N244+K244</f>
        <v>267168.81811706908</v>
      </c>
      <c r="P244" s="228"/>
      <c r="Q244" s="229"/>
      <c r="R244" s="225"/>
      <c r="S244" s="225"/>
      <c r="T244" s="230"/>
    </row>
    <row r="245" spans="1:20" s="224" customFormat="1" x14ac:dyDescent="0.25">
      <c r="A245" s="327">
        <f>'A) Base RI'!A246</f>
        <v>5812</v>
      </c>
      <c r="B245" s="237" t="str">
        <f>'A) Base RI'!B246</f>
        <v>Champtauroz</v>
      </c>
      <c r="C245" s="253">
        <v>0</v>
      </c>
      <c r="D245" s="226">
        <f>'B) D RI'!AA246</f>
        <v>128</v>
      </c>
      <c r="E245" s="227">
        <f>'B) D RI'!S246</f>
        <v>77</v>
      </c>
      <c r="F245" s="10">
        <f>'B) D RI'!R246</f>
        <v>185936.67864948453</v>
      </c>
      <c r="G245" s="10">
        <f>'B) D RI'!U246</f>
        <v>2414.7620603829159</v>
      </c>
      <c r="H245" s="42">
        <f>'B) D RI'!T246</f>
        <v>169556.55364948453</v>
      </c>
      <c r="I245" s="10">
        <f t="shared" si="31"/>
        <v>4404.0663285580395</v>
      </c>
      <c r="J245" s="32">
        <f t="shared" ref="J245:J276" si="46">+$I$315/$D$315*D245</f>
        <v>10750.999597366641</v>
      </c>
      <c r="K245" s="10">
        <f t="shared" si="28"/>
        <v>4404.0663285580395</v>
      </c>
      <c r="L245" s="10">
        <f t="shared" si="32"/>
        <v>6346.9332688086015</v>
      </c>
      <c r="M245" s="10">
        <f>'D) Ecrêtage'!C244</f>
        <v>2414.7620603829159</v>
      </c>
      <c r="N245" s="10">
        <f t="shared" si="29"/>
        <v>3133.5996851943978</v>
      </c>
      <c r="O245" s="58">
        <f t="shared" si="30"/>
        <v>7537.6660137524377</v>
      </c>
      <c r="P245" s="228"/>
      <c r="Q245" s="229"/>
      <c r="R245" s="225"/>
      <c r="S245" s="225"/>
      <c r="T245" s="230"/>
    </row>
    <row r="246" spans="1:20" s="224" customFormat="1" x14ac:dyDescent="0.25">
      <c r="A246" s="327">
        <f>'A) Base RI'!A247</f>
        <v>5813</v>
      </c>
      <c r="B246" s="237" t="str">
        <f>'A) Base RI'!B247</f>
        <v>Chevroux</v>
      </c>
      <c r="C246" s="253">
        <v>0</v>
      </c>
      <c r="D246" s="226">
        <f>'B) D RI'!AA247</f>
        <v>470</v>
      </c>
      <c r="E246" s="227">
        <f>'B) D RI'!S247</f>
        <v>70</v>
      </c>
      <c r="F246" s="10">
        <f>'B) D RI'!R247</f>
        <v>917943.00250677508</v>
      </c>
      <c r="G246" s="10">
        <f>'B) D RI'!U247</f>
        <v>13113.471464382501</v>
      </c>
      <c r="H246" s="42">
        <f>'B) D RI'!T247</f>
        <v>840314.04417344171</v>
      </c>
      <c r="I246" s="10">
        <f t="shared" si="31"/>
        <v>24008.972690669762</v>
      </c>
      <c r="J246" s="32">
        <f t="shared" si="46"/>
        <v>39476.326646580637</v>
      </c>
      <c r="K246" s="10">
        <f t="shared" si="28"/>
        <v>24008.972690669762</v>
      </c>
      <c r="L246" s="10">
        <f t="shared" si="32"/>
        <v>15467.353955910876</v>
      </c>
      <c r="M246" s="10">
        <f>'D) Ecrêtage'!C245</f>
        <v>13113.471464382501</v>
      </c>
      <c r="N246" s="10">
        <f t="shared" si="29"/>
        <v>17017.150768916166</v>
      </c>
      <c r="O246" s="58">
        <f t="shared" si="30"/>
        <v>41026.123459585928</v>
      </c>
      <c r="P246" s="228"/>
      <c r="Q246" s="229"/>
      <c r="R246" s="225"/>
      <c r="S246" s="225"/>
      <c r="T246" s="230"/>
    </row>
    <row r="247" spans="1:20" s="224" customFormat="1" x14ac:dyDescent="0.25">
      <c r="A247" s="327">
        <f>'A) Base RI'!A248</f>
        <v>5816</v>
      </c>
      <c r="B247" s="237" t="str">
        <f>'A) Base RI'!B248</f>
        <v>Corcelles-près-Payerne</v>
      </c>
      <c r="C247" s="253">
        <v>0</v>
      </c>
      <c r="D247" s="226">
        <f>'B) D RI'!AA248</f>
        <v>2448</v>
      </c>
      <c r="E247" s="227">
        <f>'B) D RI'!S248</f>
        <v>72</v>
      </c>
      <c r="F247" s="10">
        <f>'B) D RI'!R248</f>
        <v>4066253.9912140816</v>
      </c>
      <c r="G247" s="10">
        <f>'B) D RI'!U248</f>
        <v>56475.749877973358</v>
      </c>
      <c r="H247" s="42">
        <f>'B) D RI'!T248</f>
        <v>3714904.6340712244</v>
      </c>
      <c r="I247" s="10">
        <f t="shared" si="31"/>
        <v>103191.79539086734</v>
      </c>
      <c r="J247" s="32">
        <f t="shared" si="46"/>
        <v>205612.867299637</v>
      </c>
      <c r="K247" s="10">
        <f t="shared" si="28"/>
        <v>103191.79539086734</v>
      </c>
      <c r="L247" s="10">
        <f t="shared" si="32"/>
        <v>102421.07190876966</v>
      </c>
      <c r="M247" s="10">
        <f>'D) Ecrêtage'!C246</f>
        <v>56475.749877973358</v>
      </c>
      <c r="N247" s="10">
        <f t="shared" si="29"/>
        <v>73287.714322740285</v>
      </c>
      <c r="O247" s="58">
        <f t="shared" si="30"/>
        <v>176479.50971360761</v>
      </c>
      <c r="P247" s="228"/>
      <c r="Q247" s="229"/>
      <c r="R247" s="225"/>
      <c r="S247" s="225"/>
      <c r="T247" s="230"/>
    </row>
    <row r="248" spans="1:20" s="224" customFormat="1" x14ac:dyDescent="0.25">
      <c r="A248" s="327">
        <f>'A) Base RI'!A249</f>
        <v>5817</v>
      </c>
      <c r="B248" s="237" t="str">
        <f>'A) Base RI'!B249</f>
        <v>Grandcour</v>
      </c>
      <c r="C248" s="253">
        <v>0</v>
      </c>
      <c r="D248" s="226">
        <f>'B) D RI'!AA249</f>
        <v>890</v>
      </c>
      <c r="E248" s="227">
        <f>'B) D RI'!S249</f>
        <v>79.5</v>
      </c>
      <c r="F248" s="10">
        <f>'B) D RI'!R249</f>
        <v>1755560.0647689535</v>
      </c>
      <c r="G248" s="10">
        <f>'B) D RI'!U249</f>
        <v>22082.516537974258</v>
      </c>
      <c r="H248" s="42">
        <f>'B) D RI'!T249</f>
        <v>1642675.3147689535</v>
      </c>
      <c r="I248" s="10">
        <f t="shared" si="31"/>
        <v>41325.165151420217</v>
      </c>
      <c r="J248" s="32">
        <f t="shared" si="46"/>
        <v>74753.044075439931</v>
      </c>
      <c r="K248" s="10">
        <f t="shared" si="28"/>
        <v>41325.165151420217</v>
      </c>
      <c r="L248" s="10">
        <f t="shared" si="32"/>
        <v>33427.878924019715</v>
      </c>
      <c r="M248" s="10">
        <f>'D) Ecrêtage'!C247</f>
        <v>22082.516537974258</v>
      </c>
      <c r="N248" s="10">
        <f t="shared" si="29"/>
        <v>28656.142982767971</v>
      </c>
      <c r="O248" s="58">
        <f t="shared" si="30"/>
        <v>69981.308134188192</v>
      </c>
      <c r="P248" s="228"/>
      <c r="Q248" s="229"/>
      <c r="R248" s="225"/>
      <c r="S248" s="225"/>
      <c r="T248" s="230"/>
    </row>
    <row r="249" spans="1:20" s="224" customFormat="1" x14ac:dyDescent="0.25">
      <c r="A249" s="327">
        <f>'A) Base RI'!A250</f>
        <v>5819</v>
      </c>
      <c r="B249" s="237" t="str">
        <f>'A) Base RI'!B250</f>
        <v>Henniez</v>
      </c>
      <c r="C249" s="253">
        <v>0</v>
      </c>
      <c r="D249" s="226">
        <f>'B) D RI'!AA250</f>
        <v>359</v>
      </c>
      <c r="E249" s="227">
        <f>'B) D RI'!S250</f>
        <v>69</v>
      </c>
      <c r="F249" s="10">
        <f>'B) D RI'!R250</f>
        <v>948326.51964680944</v>
      </c>
      <c r="G249" s="10">
        <f>'B) D RI'!U250</f>
        <v>13743.862603576948</v>
      </c>
      <c r="H249" s="42">
        <f>'B) D RI'!T250</f>
        <v>865631.81964680948</v>
      </c>
      <c r="I249" s="10">
        <f t="shared" si="31"/>
        <v>25090.777381066942</v>
      </c>
      <c r="J249" s="32">
        <f t="shared" si="46"/>
        <v>30153.194183239251</v>
      </c>
      <c r="K249" s="10">
        <f t="shared" si="28"/>
        <v>25090.777381066942</v>
      </c>
      <c r="L249" s="10">
        <f t="shared" si="32"/>
        <v>5062.416802172309</v>
      </c>
      <c r="M249" s="10">
        <f>'D) Ecrêtage'!C248</f>
        <v>13743.862603576948</v>
      </c>
      <c r="N249" s="10">
        <f t="shared" si="29"/>
        <v>17835.199680540947</v>
      </c>
      <c r="O249" s="58">
        <f t="shared" si="30"/>
        <v>42925.977061607889</v>
      </c>
      <c r="P249" s="228"/>
      <c r="Q249" s="229"/>
      <c r="R249" s="225"/>
      <c r="S249" s="225"/>
      <c r="T249" s="230"/>
    </row>
    <row r="250" spans="1:20" s="224" customFormat="1" x14ac:dyDescent="0.25">
      <c r="A250" s="327">
        <f>'A) Base RI'!A251</f>
        <v>5821</v>
      </c>
      <c r="B250" s="237" t="str">
        <f>'A) Base RI'!B251</f>
        <v>Missy</v>
      </c>
      <c r="C250" s="253">
        <v>0</v>
      </c>
      <c r="D250" s="226">
        <f>'B) D RI'!AA251</f>
        <v>352</v>
      </c>
      <c r="E250" s="227">
        <f>'B) D RI'!S251</f>
        <v>72</v>
      </c>
      <c r="F250" s="10">
        <f>'B) D RI'!R251</f>
        <v>549940.57990767201</v>
      </c>
      <c r="G250" s="10">
        <f>'B) D RI'!U251</f>
        <v>7638.0636098287778</v>
      </c>
      <c r="H250" s="42">
        <f>'B) D RI'!T251</f>
        <v>499184.629907672</v>
      </c>
      <c r="I250" s="10">
        <f t="shared" si="31"/>
        <v>13866.239719657555</v>
      </c>
      <c r="J250" s="32">
        <f t="shared" si="46"/>
        <v>29565.248892758264</v>
      </c>
      <c r="K250" s="10">
        <f t="shared" si="28"/>
        <v>13866.239719657555</v>
      </c>
      <c r="L250" s="10">
        <f t="shared" si="32"/>
        <v>15699.009173100709</v>
      </c>
      <c r="M250" s="10">
        <f>'D) Ecrêtage'!C249</f>
        <v>7638.0636098287778</v>
      </c>
      <c r="N250" s="10">
        <f t="shared" si="29"/>
        <v>9911.7979845429818</v>
      </c>
      <c r="O250" s="58">
        <f t="shared" si="30"/>
        <v>23778.037704200535</v>
      </c>
      <c r="P250" s="228"/>
      <c r="Q250" s="229"/>
      <c r="R250" s="225"/>
      <c r="S250" s="225"/>
      <c r="T250" s="230"/>
    </row>
    <row r="251" spans="1:20" s="224" customFormat="1" x14ac:dyDescent="0.25">
      <c r="A251" s="327">
        <f>'A) Base RI'!A252</f>
        <v>5822</v>
      </c>
      <c r="B251" s="237" t="str">
        <f>'A) Base RI'!B252</f>
        <v>Payerne</v>
      </c>
      <c r="C251" s="253">
        <v>0</v>
      </c>
      <c r="D251" s="226">
        <f>'B) D RI'!AA252</f>
        <v>9716</v>
      </c>
      <c r="E251" s="227">
        <f>'B) D RI'!S252</f>
        <v>75</v>
      </c>
      <c r="F251" s="10">
        <f>'B) D RI'!R252</f>
        <v>17711737.815454546</v>
      </c>
      <c r="G251" s="10">
        <f>'B) D RI'!U252</f>
        <v>236156.50420606061</v>
      </c>
      <c r="H251" s="42">
        <f>'B) D RI'!T252</f>
        <v>16266558.665454546</v>
      </c>
      <c r="I251" s="10">
        <f t="shared" si="31"/>
        <v>433774.89774545457</v>
      </c>
      <c r="J251" s="32">
        <f t="shared" si="46"/>
        <v>816068.06318761164</v>
      </c>
      <c r="K251" s="10">
        <f t="shared" si="28"/>
        <v>433774.89774545457</v>
      </c>
      <c r="L251" s="10">
        <f t="shared" si="32"/>
        <v>382293.16544215707</v>
      </c>
      <c r="M251" s="10">
        <f>'D) Ecrêtage'!C250</f>
        <v>236156.50420606061</v>
      </c>
      <c r="N251" s="10">
        <f t="shared" si="29"/>
        <v>306456.67305182602</v>
      </c>
      <c r="O251" s="58">
        <f t="shared" si="30"/>
        <v>740231.57079728064</v>
      </c>
      <c r="P251" s="228"/>
      <c r="Q251" s="229"/>
      <c r="R251" s="225"/>
      <c r="S251" s="225"/>
      <c r="T251" s="230"/>
    </row>
    <row r="252" spans="1:20" s="224" customFormat="1" x14ac:dyDescent="0.25">
      <c r="A252" s="327">
        <f>'A) Base RI'!A253</f>
        <v>5827</v>
      </c>
      <c r="B252" s="237" t="str">
        <f>'A) Base RI'!B253</f>
        <v>Trey</v>
      </c>
      <c r="C252" s="253">
        <v>0</v>
      </c>
      <c r="D252" s="226">
        <f>'B) D RI'!AA253</f>
        <v>268</v>
      </c>
      <c r="E252" s="227">
        <f>'B) D RI'!S253</f>
        <v>80</v>
      </c>
      <c r="F252" s="10">
        <f>'B) D RI'!R253</f>
        <v>535215.8954702724</v>
      </c>
      <c r="G252" s="10">
        <f>'B) D RI'!U253</f>
        <v>6690.1986933784046</v>
      </c>
      <c r="H252" s="42">
        <f>'B) D RI'!T253</f>
        <v>499576.89547027246</v>
      </c>
      <c r="I252" s="10">
        <f t="shared" si="31"/>
        <v>12489.422386756811</v>
      </c>
      <c r="J252" s="32">
        <f t="shared" si="46"/>
        <v>22509.905406986403</v>
      </c>
      <c r="K252" s="10">
        <f t="shared" si="28"/>
        <v>12489.422386756811</v>
      </c>
      <c r="L252" s="10">
        <f t="shared" si="32"/>
        <v>10020.483020229593</v>
      </c>
      <c r="M252" s="10">
        <f>'D) Ecrêtage'!C251</f>
        <v>6690.1986933784046</v>
      </c>
      <c r="N252" s="10">
        <f t="shared" si="29"/>
        <v>8681.7682219730395</v>
      </c>
      <c r="O252" s="58">
        <f t="shared" si="30"/>
        <v>21171.190608729848</v>
      </c>
      <c r="P252" s="228"/>
      <c r="Q252" s="229"/>
      <c r="R252" s="225"/>
      <c r="S252" s="225"/>
      <c r="T252" s="230"/>
    </row>
    <row r="253" spans="1:20" s="224" customFormat="1" x14ac:dyDescent="0.25">
      <c r="A253" s="327">
        <f>'A) Base RI'!A254</f>
        <v>5828</v>
      </c>
      <c r="B253" s="237" t="str">
        <f>'A) Base RI'!B254</f>
        <v>Treytorrens (Payerne)</v>
      </c>
      <c r="C253" s="253">
        <v>0</v>
      </c>
      <c r="D253" s="226">
        <f>'B) D RI'!AA254</f>
        <v>122</v>
      </c>
      <c r="E253" s="227">
        <f>'B) D RI'!S254</f>
        <v>84</v>
      </c>
      <c r="F253" s="10">
        <f>'B) D RI'!R254</f>
        <v>191493.00888234924</v>
      </c>
      <c r="G253" s="10">
        <f>'B) D RI'!U254</f>
        <v>2279.6786771708244</v>
      </c>
      <c r="H253" s="42">
        <f>'B) D RI'!T254</f>
        <v>176972.14221568257</v>
      </c>
      <c r="I253" s="10">
        <f t="shared" si="31"/>
        <v>4213.6224337067279</v>
      </c>
      <c r="J253" s="32">
        <f t="shared" si="46"/>
        <v>10247.04649124008</v>
      </c>
      <c r="K253" s="10">
        <f t="shared" si="28"/>
        <v>4213.6224337067279</v>
      </c>
      <c r="L253" s="10">
        <f t="shared" si="32"/>
        <v>6033.4240575333524</v>
      </c>
      <c r="M253" s="10">
        <f>'D) Ecrêtage'!C252</f>
        <v>2279.6786771708244</v>
      </c>
      <c r="N253" s="10">
        <f t="shared" si="29"/>
        <v>2958.3040508736894</v>
      </c>
      <c r="O253" s="58">
        <f t="shared" si="30"/>
        <v>7171.9264845804173</v>
      </c>
      <c r="P253" s="228"/>
      <c r="Q253" s="229"/>
      <c r="R253" s="225"/>
      <c r="S253" s="225"/>
      <c r="T253" s="230"/>
    </row>
    <row r="254" spans="1:20" s="224" customFormat="1" x14ac:dyDescent="0.25">
      <c r="A254" s="327">
        <f>'A) Base RI'!A255</f>
        <v>5830</v>
      </c>
      <c r="B254" s="237" t="str">
        <f>'A) Base RI'!B255</f>
        <v>Villarzel</v>
      </c>
      <c r="C254" s="253">
        <v>0</v>
      </c>
      <c r="D254" s="226">
        <f>'B) D RI'!AA255</f>
        <v>417</v>
      </c>
      <c r="E254" s="227">
        <f>'B) D RI'!S255</f>
        <v>79</v>
      </c>
      <c r="F254" s="10">
        <f>'B) D RI'!R255</f>
        <v>825316.8350855303</v>
      </c>
      <c r="G254" s="10">
        <f>'B) D RI'!U255</f>
        <v>10447.04854538646</v>
      </c>
      <c r="H254" s="42">
        <f>'B) D RI'!T255</f>
        <v>769911.28508553037</v>
      </c>
      <c r="I254" s="10">
        <f t="shared" si="31"/>
        <v>19491.424938874188</v>
      </c>
      <c r="J254" s="32">
        <f t="shared" si="46"/>
        <v>35024.740875796007</v>
      </c>
      <c r="K254" s="10">
        <f t="shared" ref="K254:K303" si="47">IF(C254=1,0,IF(J254&gt;I254,I254,J254))</f>
        <v>19491.424938874188</v>
      </c>
      <c r="L254" s="10">
        <f t="shared" si="32"/>
        <v>15533.315936921819</v>
      </c>
      <c r="M254" s="10">
        <f>'D) Ecrêtage'!C253</f>
        <v>10447.04854538646</v>
      </c>
      <c r="N254" s="10">
        <f t="shared" ref="N254:N313" si="48">+$N$5*M254</f>
        <v>13556.974647780587</v>
      </c>
      <c r="O254" s="58">
        <f t="shared" ref="O254:O314" si="49">+N254+K254</f>
        <v>33048.399586654778</v>
      </c>
      <c r="P254" s="228"/>
      <c r="Q254" s="229"/>
      <c r="R254" s="225"/>
      <c r="S254" s="225"/>
      <c r="T254" s="230"/>
    </row>
    <row r="255" spans="1:20" s="224" customFormat="1" x14ac:dyDescent="0.25">
      <c r="A255" s="327">
        <f>'A) Base RI'!A256</f>
        <v>5831</v>
      </c>
      <c r="B255" s="237" t="str">
        <f>'A) Base RI'!B256</f>
        <v>Valbroye</v>
      </c>
      <c r="C255" s="253">
        <v>0</v>
      </c>
      <c r="D255" s="226">
        <f>'B) D RI'!AA256</f>
        <v>3035</v>
      </c>
      <c r="E255" s="227">
        <f>'B) D RI'!S256</f>
        <v>73</v>
      </c>
      <c r="F255" s="10">
        <f>'B) D RI'!R256</f>
        <v>5868744.9809307884</v>
      </c>
      <c r="G255" s="10">
        <f>'B) D RI'!U256</f>
        <v>80393.76686206559</v>
      </c>
      <c r="H255" s="42">
        <f>'B) D RI'!T256</f>
        <v>5469654.5309307883</v>
      </c>
      <c r="I255" s="10">
        <f t="shared" ref="I255:I286" si="50">+H255/E255*$I$5</f>
        <v>149853.54879262432</v>
      </c>
      <c r="J255" s="32">
        <f t="shared" si="46"/>
        <v>254916.2795156856</v>
      </c>
      <c r="K255" s="10">
        <f t="shared" si="47"/>
        <v>149853.54879262432</v>
      </c>
      <c r="L255" s="10">
        <f t="shared" ref="L255:L314" si="51">+J255-K255</f>
        <v>105062.73072306128</v>
      </c>
      <c r="M255" s="10">
        <f>'D) Ecrêtage'!C254</f>
        <v>80393.76686206559</v>
      </c>
      <c r="N255" s="10">
        <f t="shared" si="48"/>
        <v>104325.7580792919</v>
      </c>
      <c r="O255" s="58">
        <f t="shared" si="49"/>
        <v>254179.30687191623</v>
      </c>
      <c r="P255" s="228"/>
      <c r="Q255" s="229"/>
      <c r="R255" s="225"/>
      <c r="S255" s="225"/>
      <c r="T255" s="230"/>
    </row>
    <row r="256" spans="1:20" s="224" customFormat="1" x14ac:dyDescent="0.25">
      <c r="A256" s="327">
        <f>'A) Base RI'!A257</f>
        <v>5841</v>
      </c>
      <c r="B256" s="237" t="str">
        <f>'A) Base RI'!B257</f>
        <v>Château-d'Oex</v>
      </c>
      <c r="C256" s="253">
        <v>0</v>
      </c>
      <c r="D256" s="226">
        <f>'B) D RI'!AA257</f>
        <v>3433</v>
      </c>
      <c r="E256" s="227">
        <f>'B) D RI'!S257</f>
        <v>83</v>
      </c>
      <c r="F256" s="10">
        <f>'B) D RI'!R257</f>
        <v>9332518.0961559135</v>
      </c>
      <c r="G256" s="10">
        <f>'B) D RI'!U257</f>
        <v>112439.97706211945</v>
      </c>
      <c r="H256" s="42">
        <f>'B) D RI'!T257</f>
        <v>8368295.0461559147</v>
      </c>
      <c r="I256" s="10">
        <f t="shared" si="50"/>
        <v>201645.66376279312</v>
      </c>
      <c r="J256" s="32">
        <f t="shared" si="46"/>
        <v>288345.16888874746</v>
      </c>
      <c r="K256" s="10">
        <f t="shared" si="47"/>
        <v>201645.66376279312</v>
      </c>
      <c r="L256" s="10">
        <f t="shared" si="51"/>
        <v>86699.50512595434</v>
      </c>
      <c r="M256" s="10">
        <f>'D) Ecrêtage'!C255</f>
        <v>112439.97706211945</v>
      </c>
      <c r="N256" s="10">
        <f t="shared" si="48"/>
        <v>145911.63349205966</v>
      </c>
      <c r="O256" s="58">
        <f t="shared" si="49"/>
        <v>347557.29725485278</v>
      </c>
      <c r="P256" s="228"/>
      <c r="Q256" s="229"/>
      <c r="R256" s="225"/>
      <c r="S256" s="225"/>
      <c r="T256" s="230"/>
    </row>
    <row r="257" spans="1:20" s="224" customFormat="1" x14ac:dyDescent="0.25">
      <c r="A257" s="327">
        <f>'A) Base RI'!A258</f>
        <v>5842</v>
      </c>
      <c r="B257" s="237" t="str">
        <f>'A) Base RI'!B258</f>
        <v>Rossinière</v>
      </c>
      <c r="C257" s="253">
        <v>0</v>
      </c>
      <c r="D257" s="226">
        <f>'B) D RI'!AA258</f>
        <v>545</v>
      </c>
      <c r="E257" s="227">
        <f>'B) D RI'!S258</f>
        <v>81</v>
      </c>
      <c r="F257" s="10">
        <f>'B) D RI'!R258</f>
        <v>1009572.5536123667</v>
      </c>
      <c r="G257" s="10">
        <f>'B) D RI'!U258</f>
        <v>12463.858686572428</v>
      </c>
      <c r="H257" s="42">
        <f>'B) D RI'!T258</f>
        <v>923330.4702790333</v>
      </c>
      <c r="I257" s="10">
        <f t="shared" si="50"/>
        <v>22798.283216766253</v>
      </c>
      <c r="J257" s="32">
        <f t="shared" si="46"/>
        <v>45775.740473162652</v>
      </c>
      <c r="K257" s="10">
        <f t="shared" si="47"/>
        <v>22798.283216766253</v>
      </c>
      <c r="L257" s="10">
        <f t="shared" si="51"/>
        <v>22977.457256396399</v>
      </c>
      <c r="M257" s="10">
        <f>'D) Ecrêtage'!C256</f>
        <v>12463.858686572428</v>
      </c>
      <c r="N257" s="10">
        <f t="shared" si="48"/>
        <v>16174.158231704818</v>
      </c>
      <c r="O257" s="58">
        <f t="shared" si="49"/>
        <v>38972.441448471072</v>
      </c>
      <c r="P257" s="228"/>
      <c r="Q257" s="229"/>
      <c r="R257" s="225"/>
      <c r="S257" s="225"/>
      <c r="T257" s="230"/>
    </row>
    <row r="258" spans="1:20" s="224" customFormat="1" x14ac:dyDescent="0.25">
      <c r="A258" s="327">
        <f>'A) Base RI'!A259</f>
        <v>5843</v>
      </c>
      <c r="B258" s="237" t="str">
        <f>'A) Base RI'!B259</f>
        <v>Rougemont</v>
      </c>
      <c r="C258" s="253">
        <v>0</v>
      </c>
      <c r="D258" s="226">
        <f>'B) D RI'!AA259</f>
        <v>882</v>
      </c>
      <c r="E258" s="227">
        <f>'B) D RI'!S259</f>
        <v>74</v>
      </c>
      <c r="F258" s="10">
        <f>'B) D RI'!R259</f>
        <v>6445832.6249404773</v>
      </c>
      <c r="G258" s="10">
        <f>'B) D RI'!U259</f>
        <v>87105.84628297943</v>
      </c>
      <c r="H258" s="42">
        <f>'B) D RI'!T259</f>
        <v>5662995.9249404771</v>
      </c>
      <c r="I258" s="10">
        <f t="shared" si="50"/>
        <v>153053.94391731019</v>
      </c>
      <c r="J258" s="32">
        <f t="shared" si="46"/>
        <v>74081.106600604515</v>
      </c>
      <c r="K258" s="10">
        <f t="shared" si="47"/>
        <v>74081.106600604515</v>
      </c>
      <c r="L258" s="10">
        <f t="shared" si="51"/>
        <v>0</v>
      </c>
      <c r="M258" s="10">
        <f>'D) Ecrêtage'!C257</f>
        <v>87105.84628297943</v>
      </c>
      <c r="N258" s="10">
        <f t="shared" si="48"/>
        <v>113035.9205857544</v>
      </c>
      <c r="O258" s="58">
        <f t="shared" si="49"/>
        <v>187117.02718635893</v>
      </c>
      <c r="P258" s="228"/>
      <c r="Q258" s="229"/>
      <c r="R258" s="225"/>
      <c r="S258" s="225"/>
      <c r="T258" s="230"/>
    </row>
    <row r="259" spans="1:20" s="224" customFormat="1" x14ac:dyDescent="0.25">
      <c r="A259" s="327">
        <f>'A) Base RI'!A260</f>
        <v>5851</v>
      </c>
      <c r="B259" s="237" t="str">
        <f>'A) Base RI'!B260</f>
        <v>Allaman</v>
      </c>
      <c r="C259" s="253">
        <v>0</v>
      </c>
      <c r="D259" s="226">
        <f>'B) D RI'!AA260</f>
        <v>442</v>
      </c>
      <c r="E259" s="227">
        <f>'B) D RI'!S260</f>
        <v>62</v>
      </c>
      <c r="F259" s="10">
        <f>'B) D RI'!R260</f>
        <v>1722703.3548858447</v>
      </c>
      <c r="G259" s="10">
        <f>'B) D RI'!U260</f>
        <v>27785.537982029753</v>
      </c>
      <c r="H259" s="42">
        <f>'B) D RI'!T260</f>
        <v>1479863.5548858447</v>
      </c>
      <c r="I259" s="10">
        <f t="shared" si="50"/>
        <v>47737.534028575632</v>
      </c>
      <c r="J259" s="32">
        <f t="shared" si="46"/>
        <v>37124.545484656679</v>
      </c>
      <c r="K259" s="10">
        <f t="shared" si="47"/>
        <v>37124.545484656679</v>
      </c>
      <c r="L259" s="10">
        <f t="shared" si="51"/>
        <v>0</v>
      </c>
      <c r="M259" s="10">
        <f>'D) Ecrêtage'!C258</f>
        <v>27785.537982029753</v>
      </c>
      <c r="N259" s="10">
        <f t="shared" si="48"/>
        <v>36056.866430822869</v>
      </c>
      <c r="O259" s="58">
        <f t="shared" si="49"/>
        <v>73181.411915479548</v>
      </c>
      <c r="P259" s="228"/>
      <c r="Q259" s="229"/>
      <c r="R259" s="225"/>
      <c r="S259" s="225"/>
      <c r="T259" s="230"/>
    </row>
    <row r="260" spans="1:20" s="224" customFormat="1" x14ac:dyDescent="0.25">
      <c r="A260" s="327">
        <f>'A) Base RI'!A261</f>
        <v>5852</v>
      </c>
      <c r="B260" s="237" t="str">
        <f>'A) Base RI'!B261</f>
        <v>Bursinel</v>
      </c>
      <c r="C260" s="253">
        <v>0</v>
      </c>
      <c r="D260" s="226">
        <f>'B) D RI'!AA261</f>
        <v>488</v>
      </c>
      <c r="E260" s="227">
        <f>'B) D RI'!S261</f>
        <v>65.5</v>
      </c>
      <c r="F260" s="10">
        <f>'B) D RI'!R261</f>
        <v>2537478.3202888086</v>
      </c>
      <c r="G260" s="10">
        <f>'B) D RI'!U261</f>
        <v>38740.127027310053</v>
      </c>
      <c r="H260" s="42">
        <f>'B) D RI'!T261</f>
        <v>2360441.7702888087</v>
      </c>
      <c r="I260" s="10">
        <f t="shared" si="50"/>
        <v>72074.557871414014</v>
      </c>
      <c r="J260" s="32">
        <f t="shared" si="46"/>
        <v>40988.185964960321</v>
      </c>
      <c r="K260" s="10">
        <f t="shared" si="47"/>
        <v>40988.185964960321</v>
      </c>
      <c r="L260" s="10">
        <f t="shared" si="51"/>
        <v>0</v>
      </c>
      <c r="M260" s="10">
        <f>'D) Ecrêtage'!C259</f>
        <v>38740.127027310053</v>
      </c>
      <c r="N260" s="10">
        <f t="shared" si="48"/>
        <v>50272.468600040716</v>
      </c>
      <c r="O260" s="58">
        <f t="shared" si="49"/>
        <v>91260.654565001038</v>
      </c>
      <c r="P260" s="228"/>
      <c r="Q260" s="229"/>
      <c r="R260" s="225"/>
      <c r="S260" s="225"/>
      <c r="T260" s="230"/>
    </row>
    <row r="261" spans="1:20" s="224" customFormat="1" x14ac:dyDescent="0.25">
      <c r="A261" s="327">
        <f>'A) Base RI'!A262</f>
        <v>5853</v>
      </c>
      <c r="B261" s="237" t="str">
        <f>'A) Base RI'!B262</f>
        <v>Bursins</v>
      </c>
      <c r="C261" s="253">
        <v>0</v>
      </c>
      <c r="D261" s="226">
        <f>'B) D RI'!AA262</f>
        <v>745</v>
      </c>
      <c r="E261" s="227">
        <f>'B) D RI'!S262</f>
        <v>71</v>
      </c>
      <c r="F261" s="10">
        <f>'B) D RI'!R262</f>
        <v>2551201.8038226771</v>
      </c>
      <c r="G261" s="10">
        <f>'B) D RI'!U262</f>
        <v>35932.419772150381</v>
      </c>
      <c r="H261" s="42">
        <f>'B) D RI'!T262</f>
        <v>2351676.0538226771</v>
      </c>
      <c r="I261" s="10">
        <f t="shared" si="50"/>
        <v>66244.395882328929</v>
      </c>
      <c r="J261" s="32">
        <f t="shared" si="46"/>
        <v>62574.177344048025</v>
      </c>
      <c r="K261" s="10">
        <f t="shared" si="47"/>
        <v>62574.177344048025</v>
      </c>
      <c r="L261" s="10">
        <f t="shared" si="51"/>
        <v>0</v>
      </c>
      <c r="M261" s="10">
        <f>'D) Ecrêtage'!C260</f>
        <v>35932.419772150381</v>
      </c>
      <c r="N261" s="10">
        <f t="shared" si="48"/>
        <v>46628.949963056992</v>
      </c>
      <c r="O261" s="58">
        <f t="shared" si="49"/>
        <v>109203.12730710502</v>
      </c>
      <c r="P261" s="228"/>
      <c r="Q261" s="229"/>
      <c r="R261" s="225"/>
      <c r="S261" s="225"/>
      <c r="T261" s="230"/>
    </row>
    <row r="262" spans="1:20" s="224" customFormat="1" x14ac:dyDescent="0.25">
      <c r="A262" s="327">
        <f>'A) Base RI'!A263</f>
        <v>5854</v>
      </c>
      <c r="B262" s="237" t="str">
        <f>'A) Base RI'!B263</f>
        <v>Burtigny</v>
      </c>
      <c r="C262" s="253">
        <v>0</v>
      </c>
      <c r="D262" s="226">
        <f>'B) D RI'!AA263</f>
        <v>361</v>
      </c>
      <c r="E262" s="227">
        <f>'B) D RI'!S263</f>
        <v>80</v>
      </c>
      <c r="F262" s="10">
        <f>'B) D RI'!R263</f>
        <v>788262.00850931264</v>
      </c>
      <c r="G262" s="10">
        <f>'B) D RI'!U263</f>
        <v>9853.2751063664073</v>
      </c>
      <c r="H262" s="42">
        <f>'B) D RI'!T263</f>
        <v>731456.17517597938</v>
      </c>
      <c r="I262" s="10">
        <f t="shared" si="50"/>
        <v>18286.404379399486</v>
      </c>
      <c r="J262" s="32">
        <f t="shared" si="46"/>
        <v>30321.178551948105</v>
      </c>
      <c r="K262" s="10">
        <f t="shared" si="47"/>
        <v>18286.404379399486</v>
      </c>
      <c r="L262" s="10">
        <f t="shared" si="51"/>
        <v>12034.774172548619</v>
      </c>
      <c r="M262" s="10">
        <f>'D) Ecrêtage'!C261</f>
        <v>9853.2751063664073</v>
      </c>
      <c r="N262" s="10">
        <f t="shared" si="48"/>
        <v>12786.443963985188</v>
      </c>
      <c r="O262" s="58">
        <f t="shared" si="49"/>
        <v>31072.848343384674</v>
      </c>
      <c r="P262" s="228"/>
      <c r="Q262" s="229"/>
      <c r="R262" s="225"/>
      <c r="S262" s="225"/>
      <c r="T262" s="230"/>
    </row>
    <row r="263" spans="1:20" s="224" customFormat="1" x14ac:dyDescent="0.25">
      <c r="A263" s="327">
        <f>'A) Base RI'!A264</f>
        <v>5855</v>
      </c>
      <c r="B263" s="237" t="str">
        <f>'A) Base RI'!B264</f>
        <v>Dully</v>
      </c>
      <c r="C263" s="253">
        <v>0</v>
      </c>
      <c r="D263" s="226">
        <f>'B) D RI'!AA264</f>
        <v>640</v>
      </c>
      <c r="E263" s="227">
        <f>'B) D RI'!S264</f>
        <v>49</v>
      </c>
      <c r="F263" s="10">
        <f>'B) D RI'!R264</f>
        <v>3834694.2378325909</v>
      </c>
      <c r="G263" s="10">
        <f>'B) D RI'!U264</f>
        <v>78259.066078216143</v>
      </c>
      <c r="H263" s="42">
        <f>'B) D RI'!T264</f>
        <v>3487062.8878325908</v>
      </c>
      <c r="I263" s="10">
        <f t="shared" si="50"/>
        <v>142329.09746255472</v>
      </c>
      <c r="J263" s="32">
        <f t="shared" si="46"/>
        <v>53754.997986833201</v>
      </c>
      <c r="K263" s="10">
        <f t="shared" si="47"/>
        <v>53754.997986833201</v>
      </c>
      <c r="L263" s="10">
        <f t="shared" si="51"/>
        <v>0</v>
      </c>
      <c r="M263" s="10">
        <f>'D) Ecrêtage'!C262</f>
        <v>78259.066078216143</v>
      </c>
      <c r="N263" s="10">
        <f t="shared" si="48"/>
        <v>101555.58961673369</v>
      </c>
      <c r="O263" s="58">
        <f t="shared" si="49"/>
        <v>155310.58760356688</v>
      </c>
      <c r="P263" s="228"/>
      <c r="Q263" s="229"/>
      <c r="R263" s="225"/>
      <c r="S263" s="225"/>
      <c r="T263" s="230"/>
    </row>
    <row r="264" spans="1:20" s="224" customFormat="1" x14ac:dyDescent="0.25">
      <c r="A264" s="327">
        <f>'A) Base RI'!A265</f>
        <v>5856</v>
      </c>
      <c r="B264" s="237" t="str">
        <f>'A) Base RI'!B265</f>
        <v>Essertines-sur-Rolle</v>
      </c>
      <c r="C264" s="253">
        <v>0</v>
      </c>
      <c r="D264" s="226">
        <f>'B) D RI'!AA265</f>
        <v>696</v>
      </c>
      <c r="E264" s="227">
        <f>'B) D RI'!S265</f>
        <v>68</v>
      </c>
      <c r="F264" s="10">
        <f>'B) D RI'!R265</f>
        <v>2336387.0145580545</v>
      </c>
      <c r="G264" s="10">
        <f>'B) D RI'!U265</f>
        <v>34358.63256703021</v>
      </c>
      <c r="H264" s="42">
        <f>'B) D RI'!T265</f>
        <v>2163030.7991734389</v>
      </c>
      <c r="I264" s="10">
        <f t="shared" si="50"/>
        <v>63618.552916865854</v>
      </c>
      <c r="J264" s="32">
        <f t="shared" si="46"/>
        <v>58458.56031068111</v>
      </c>
      <c r="K264" s="10">
        <f t="shared" si="47"/>
        <v>58458.56031068111</v>
      </c>
      <c r="L264" s="10">
        <f t="shared" si="51"/>
        <v>0</v>
      </c>
      <c r="M264" s="10">
        <f>'D) Ecrêtage'!C263</f>
        <v>34358.63256703021</v>
      </c>
      <c r="N264" s="10">
        <f t="shared" si="48"/>
        <v>44586.67044763943</v>
      </c>
      <c r="O264" s="58">
        <f t="shared" si="49"/>
        <v>103045.23075832054</v>
      </c>
      <c r="P264" s="228"/>
      <c r="Q264" s="229"/>
      <c r="R264" s="225"/>
      <c r="S264" s="225"/>
      <c r="T264" s="230"/>
    </row>
    <row r="265" spans="1:20" s="224" customFormat="1" x14ac:dyDescent="0.25">
      <c r="A265" s="327">
        <f>'A) Base RI'!A266</f>
        <v>5857</v>
      </c>
      <c r="B265" s="237" t="str">
        <f>'A) Base RI'!B266</f>
        <v>Gilly</v>
      </c>
      <c r="C265" s="253">
        <v>0</v>
      </c>
      <c r="D265" s="226">
        <f>'B) D RI'!AA266</f>
        <v>1294</v>
      </c>
      <c r="E265" s="227">
        <f>'B) D RI'!S266</f>
        <v>66</v>
      </c>
      <c r="F265" s="10">
        <f>'B) D RI'!R266</f>
        <v>5049426.3086622069</v>
      </c>
      <c r="G265" s="10">
        <f>'B) D RI'!U266</f>
        <v>76506.459222154648</v>
      </c>
      <c r="H265" s="42">
        <f>'B) D RI'!T266</f>
        <v>4689768.2586622071</v>
      </c>
      <c r="I265" s="10">
        <f t="shared" si="50"/>
        <v>142114.18965643051</v>
      </c>
      <c r="J265" s="32">
        <f t="shared" si="46"/>
        <v>108685.88655462839</v>
      </c>
      <c r="K265" s="10">
        <f t="shared" si="47"/>
        <v>108685.88655462839</v>
      </c>
      <c r="L265" s="10">
        <f t="shared" si="51"/>
        <v>0</v>
      </c>
      <c r="M265" s="10">
        <f>'D) Ecrêtage'!C264</f>
        <v>76506.459222154648</v>
      </c>
      <c r="N265" s="10">
        <f t="shared" si="48"/>
        <v>99281.258583243383</v>
      </c>
      <c r="O265" s="58">
        <f t="shared" si="49"/>
        <v>207967.14513787179</v>
      </c>
      <c r="P265" s="228"/>
      <c r="Q265" s="229"/>
      <c r="R265" s="225"/>
      <c r="S265" s="225"/>
      <c r="T265" s="230"/>
    </row>
    <row r="266" spans="1:20" s="224" customFormat="1" x14ac:dyDescent="0.25">
      <c r="A266" s="327">
        <f>'A) Base RI'!A267</f>
        <v>5858</v>
      </c>
      <c r="B266" s="237" t="str">
        <f>'A) Base RI'!B267</f>
        <v>Luins</v>
      </c>
      <c r="C266" s="253">
        <v>0</v>
      </c>
      <c r="D266" s="226">
        <f>'B) D RI'!AA267</f>
        <v>608</v>
      </c>
      <c r="E266" s="227">
        <f>'B) D RI'!S267</f>
        <v>60</v>
      </c>
      <c r="F266" s="10">
        <f>'B) D RI'!R267</f>
        <v>2056656.7022687609</v>
      </c>
      <c r="G266" s="10">
        <f>'B) D RI'!U267</f>
        <v>34277.61170447935</v>
      </c>
      <c r="H266" s="42">
        <f>'B) D RI'!T267</f>
        <v>1911846.5356020941</v>
      </c>
      <c r="I266" s="10">
        <f t="shared" si="50"/>
        <v>63728.217853403141</v>
      </c>
      <c r="J266" s="32">
        <f t="shared" si="46"/>
        <v>51067.248087491542</v>
      </c>
      <c r="K266" s="10">
        <f t="shared" si="47"/>
        <v>51067.248087491542</v>
      </c>
      <c r="L266" s="10">
        <f t="shared" si="51"/>
        <v>0</v>
      </c>
      <c r="M266" s="10">
        <f>'D) Ecrêtage'!C265</f>
        <v>34277.61170447935</v>
      </c>
      <c r="N266" s="10">
        <f t="shared" si="48"/>
        <v>44481.530917103948</v>
      </c>
      <c r="O266" s="58">
        <f t="shared" si="49"/>
        <v>95548.77900459549</v>
      </c>
      <c r="P266" s="228"/>
      <c r="Q266" s="229"/>
      <c r="R266" s="225"/>
      <c r="S266" s="225"/>
      <c r="T266" s="230"/>
    </row>
    <row r="267" spans="1:20" s="224" customFormat="1" x14ac:dyDescent="0.25">
      <c r="A267" s="327">
        <f>'A) Base RI'!A268</f>
        <v>5859</v>
      </c>
      <c r="B267" s="237" t="str">
        <f>'A) Base RI'!B268</f>
        <v>Mont-sur-Rolle</v>
      </c>
      <c r="C267" s="253">
        <v>0</v>
      </c>
      <c r="D267" s="226">
        <f>'B) D RI'!AA268</f>
        <v>2701</v>
      </c>
      <c r="E267" s="227">
        <f>'B) D RI'!S268</f>
        <v>64</v>
      </c>
      <c r="F267" s="10">
        <f>'B) D RI'!R268</f>
        <v>8720973.4817052167</v>
      </c>
      <c r="G267" s="10">
        <f>'B) D RI'!U268</f>
        <v>136265.21065164401</v>
      </c>
      <c r="H267" s="42">
        <f>'B) D RI'!T268</f>
        <v>8083283.2817052156</v>
      </c>
      <c r="I267" s="10">
        <f t="shared" si="50"/>
        <v>252602.60255328799</v>
      </c>
      <c r="J267" s="32">
        <f t="shared" si="46"/>
        <v>226862.88994130702</v>
      </c>
      <c r="K267" s="10">
        <f t="shared" si="47"/>
        <v>226862.88994130702</v>
      </c>
      <c r="L267" s="10">
        <f t="shared" si="51"/>
        <v>0</v>
      </c>
      <c r="M267" s="10">
        <f>'D) Ecrêtage'!C266</f>
        <v>136265.21065164401</v>
      </c>
      <c r="N267" s="10">
        <f t="shared" si="48"/>
        <v>176829.27366070563</v>
      </c>
      <c r="O267" s="58">
        <f t="shared" si="49"/>
        <v>403692.16360201268</v>
      </c>
      <c r="P267" s="228"/>
      <c r="Q267" s="229"/>
      <c r="R267" s="225"/>
      <c r="S267" s="225"/>
      <c r="T267" s="230"/>
    </row>
    <row r="268" spans="1:20" s="224" customFormat="1" x14ac:dyDescent="0.25">
      <c r="A268" s="327">
        <f>'A) Base RI'!A269</f>
        <v>5860</v>
      </c>
      <c r="B268" s="237" t="str">
        <f>'A) Base RI'!B269</f>
        <v>Perroy</v>
      </c>
      <c r="C268" s="253">
        <v>0</v>
      </c>
      <c r="D268" s="226">
        <f>'B) D RI'!AA269</f>
        <v>1514</v>
      </c>
      <c r="E268" s="227">
        <f>'B) D RI'!S269</f>
        <v>60</v>
      </c>
      <c r="F268" s="10">
        <f>'B) D RI'!R269</f>
        <v>5253974.2967579551</v>
      </c>
      <c r="G268" s="10">
        <f>'B) D RI'!U269</f>
        <v>87566.238279299258</v>
      </c>
      <c r="H268" s="42">
        <f>'B) D RI'!T269</f>
        <v>4754028.0544502633</v>
      </c>
      <c r="I268" s="10">
        <f t="shared" si="50"/>
        <v>158467.60181500876</v>
      </c>
      <c r="J268" s="32">
        <f t="shared" si="46"/>
        <v>127164.1671126023</v>
      </c>
      <c r="K268" s="10">
        <f t="shared" si="47"/>
        <v>127164.1671126023</v>
      </c>
      <c r="L268" s="10">
        <f t="shared" si="51"/>
        <v>0</v>
      </c>
      <c r="M268" s="10">
        <f>'D) Ecrêtage'!C267</f>
        <v>87566.238279299258</v>
      </c>
      <c r="N268" s="10">
        <f t="shared" si="48"/>
        <v>113633.36421732491</v>
      </c>
      <c r="O268" s="58">
        <f t="shared" si="49"/>
        <v>240797.53132992721</v>
      </c>
      <c r="P268" s="228"/>
      <c r="Q268" s="229"/>
      <c r="R268" s="225"/>
      <c r="S268" s="225"/>
      <c r="T268" s="230"/>
    </row>
    <row r="269" spans="1:20" s="224" customFormat="1" x14ac:dyDescent="0.25">
      <c r="A269" s="327">
        <f>'A) Base RI'!A270</f>
        <v>5861</v>
      </c>
      <c r="B269" s="237" t="str">
        <f>'A) Base RI'!B270</f>
        <v>Rolle</v>
      </c>
      <c r="C269" s="253">
        <v>0</v>
      </c>
      <c r="D269" s="226">
        <f>'B) D RI'!AA270</f>
        <v>6225</v>
      </c>
      <c r="E269" s="227">
        <f>'B) D RI'!S270</f>
        <v>59.5</v>
      </c>
      <c r="F269" s="10">
        <f>'B) D RI'!R270</f>
        <v>46050308.888374239</v>
      </c>
      <c r="G269" s="10">
        <f>'B) D RI'!U270</f>
        <v>773954.77123318054</v>
      </c>
      <c r="H269" s="42">
        <f>'B) D RI'!T270</f>
        <v>44080258.138374239</v>
      </c>
      <c r="I269" s="10">
        <f t="shared" si="50"/>
        <v>1481689.34918905</v>
      </c>
      <c r="J269" s="32">
        <f t="shared" si="46"/>
        <v>522851.34760630736</v>
      </c>
      <c r="K269" s="10">
        <f t="shared" si="47"/>
        <v>522851.34760630736</v>
      </c>
      <c r="L269" s="10">
        <f t="shared" si="51"/>
        <v>0</v>
      </c>
      <c r="M269" s="10">
        <f>'D) Ecrêtage'!C268</f>
        <v>773954.77123318054</v>
      </c>
      <c r="N269" s="10">
        <f t="shared" si="48"/>
        <v>1004349.234767427</v>
      </c>
      <c r="O269" s="58">
        <f t="shared" si="49"/>
        <v>1527200.5823737343</v>
      </c>
      <c r="P269" s="228"/>
      <c r="Q269" s="229"/>
      <c r="R269" s="225"/>
      <c r="S269" s="225"/>
      <c r="T269" s="230"/>
    </row>
    <row r="270" spans="1:20" s="224" customFormat="1" x14ac:dyDescent="0.25">
      <c r="A270" s="327">
        <f>'A) Base RI'!A271</f>
        <v>5862</v>
      </c>
      <c r="B270" s="237" t="str">
        <f>'A) Base RI'!B271</f>
        <v>Tartegnin</v>
      </c>
      <c r="C270" s="253">
        <v>0</v>
      </c>
      <c r="D270" s="226">
        <f>'B) D RI'!AA271</f>
        <v>235</v>
      </c>
      <c r="E270" s="227">
        <f>'B) D RI'!S271</f>
        <v>81</v>
      </c>
      <c r="F270" s="10">
        <f>'B) D RI'!R271</f>
        <v>857728.89816910308</v>
      </c>
      <c r="G270" s="10">
        <f>'B) D RI'!U271</f>
        <v>10589.245656408681</v>
      </c>
      <c r="H270" s="42">
        <f>'B) D RI'!T271</f>
        <v>811868.06483576971</v>
      </c>
      <c r="I270" s="10">
        <f t="shared" si="50"/>
        <v>20046.125057673326</v>
      </c>
      <c r="J270" s="32">
        <f t="shared" si="46"/>
        <v>19738.163323290319</v>
      </c>
      <c r="K270" s="10">
        <f t="shared" si="47"/>
        <v>19738.163323290319</v>
      </c>
      <c r="L270" s="10">
        <f t="shared" si="51"/>
        <v>0</v>
      </c>
      <c r="M270" s="10">
        <f>'D) Ecrêtage'!C269</f>
        <v>10589.245656408681</v>
      </c>
      <c r="N270" s="10">
        <f t="shared" si="48"/>
        <v>13741.50165756147</v>
      </c>
      <c r="O270" s="58">
        <f t="shared" si="49"/>
        <v>33479.66498085179</v>
      </c>
      <c r="P270" s="228"/>
      <c r="Q270" s="229"/>
      <c r="R270" s="225"/>
      <c r="S270" s="225"/>
      <c r="T270" s="230"/>
    </row>
    <row r="271" spans="1:20" s="224" customFormat="1" x14ac:dyDescent="0.25">
      <c r="A271" s="327">
        <f>'A) Base RI'!A272</f>
        <v>5863</v>
      </c>
      <c r="B271" s="237" t="str">
        <f>'A) Base RI'!B272</f>
        <v>Vinzel</v>
      </c>
      <c r="C271" s="253">
        <v>0</v>
      </c>
      <c r="D271" s="226">
        <f>'B) D RI'!AA272</f>
        <v>371</v>
      </c>
      <c r="E271" s="227">
        <f>'B) D RI'!S272</f>
        <v>67</v>
      </c>
      <c r="F271" s="10">
        <f>'B) D RI'!R272</f>
        <v>1526119.8159756099</v>
      </c>
      <c r="G271" s="10">
        <f>'B) D RI'!U272</f>
        <v>22777.907701128508</v>
      </c>
      <c r="H271" s="42">
        <f>'B) D RI'!T272</f>
        <v>1446309.3159756099</v>
      </c>
      <c r="I271" s="10">
        <f t="shared" si="50"/>
        <v>43173.412417182386</v>
      </c>
      <c r="J271" s="32">
        <f t="shared" si="46"/>
        <v>31161.100395492373</v>
      </c>
      <c r="K271" s="10">
        <f t="shared" si="47"/>
        <v>31161.100395492373</v>
      </c>
      <c r="L271" s="10">
        <f t="shared" si="51"/>
        <v>0</v>
      </c>
      <c r="M271" s="10">
        <f>'D) Ecrêtage'!C270</f>
        <v>22777.907701128508</v>
      </c>
      <c r="N271" s="10">
        <f t="shared" si="48"/>
        <v>29558.541428435772</v>
      </c>
      <c r="O271" s="58">
        <f t="shared" si="49"/>
        <v>60719.641823928148</v>
      </c>
      <c r="P271" s="228"/>
      <c r="Q271" s="229"/>
      <c r="R271" s="225"/>
      <c r="S271" s="225"/>
      <c r="T271" s="230"/>
    </row>
    <row r="272" spans="1:20" s="224" customFormat="1" x14ac:dyDescent="0.25">
      <c r="A272" s="327">
        <f>'A) Base RI'!A273</f>
        <v>5871</v>
      </c>
      <c r="B272" s="237" t="str">
        <f>'A) Base RI'!B273</f>
        <v>L'Abbaye</v>
      </c>
      <c r="C272" s="253">
        <v>0</v>
      </c>
      <c r="D272" s="226">
        <f>'B) D RI'!AA273</f>
        <v>1492</v>
      </c>
      <c r="E272" s="227">
        <f>'B) D RI'!S273</f>
        <v>77.3</v>
      </c>
      <c r="F272" s="10">
        <f>'B) D RI'!R273</f>
        <v>3591654.1687056366</v>
      </c>
      <c r="G272" s="10">
        <f>'B) D RI'!U273</f>
        <v>46463.831419219103</v>
      </c>
      <c r="H272" s="42">
        <f>'B) D RI'!T273</f>
        <v>3347492.0687056365</v>
      </c>
      <c r="I272" s="10">
        <f t="shared" si="50"/>
        <v>86610.402812564978</v>
      </c>
      <c r="J272" s="32">
        <f t="shared" si="46"/>
        <v>125316.33905680491</v>
      </c>
      <c r="K272" s="10">
        <f t="shared" si="47"/>
        <v>86610.402812564978</v>
      </c>
      <c r="L272" s="10">
        <f t="shared" si="51"/>
        <v>38705.936244239929</v>
      </c>
      <c r="M272" s="10">
        <f>'D) Ecrêtage'!C271</f>
        <v>46463.831419219103</v>
      </c>
      <c r="N272" s="10">
        <f t="shared" si="48"/>
        <v>60295.401313826544</v>
      </c>
      <c r="O272" s="58">
        <f t="shared" si="49"/>
        <v>146905.80412639154</v>
      </c>
      <c r="P272" s="228"/>
      <c r="Q272" s="229"/>
      <c r="R272" s="225"/>
      <c r="S272" s="225"/>
      <c r="T272" s="230"/>
    </row>
    <row r="273" spans="1:20" s="224" customFormat="1" x14ac:dyDescent="0.25">
      <c r="A273" s="327">
        <f>'A) Base RI'!A274</f>
        <v>5872</v>
      </c>
      <c r="B273" s="237" t="str">
        <f>'A) Base RI'!B274</f>
        <v>Le Chenit</v>
      </c>
      <c r="C273" s="253">
        <v>0</v>
      </c>
      <c r="D273" s="226">
        <f>'B) D RI'!AA274</f>
        <v>4612</v>
      </c>
      <c r="E273" s="227">
        <f>'B) D RI'!S274</f>
        <v>69.56</v>
      </c>
      <c r="F273" s="10">
        <f>'B) D RI'!R274</f>
        <v>14153712.828706058</v>
      </c>
      <c r="G273" s="10">
        <f>'B) D RI'!U274</f>
        <v>203474.88252883923</v>
      </c>
      <c r="H273" s="42">
        <f>'B) D RI'!T274</f>
        <v>13408819.407277487</v>
      </c>
      <c r="I273" s="10">
        <f t="shared" si="50"/>
        <v>385532.47289469483</v>
      </c>
      <c r="J273" s="32">
        <f t="shared" si="46"/>
        <v>387371.95424261678</v>
      </c>
      <c r="K273" s="10">
        <f t="shared" si="47"/>
        <v>385532.47289469483</v>
      </c>
      <c r="L273" s="10">
        <f t="shared" si="51"/>
        <v>1839.4813479219447</v>
      </c>
      <c r="M273" s="10">
        <f>'D) Ecrêtage'!C272</f>
        <v>203474.88252883923</v>
      </c>
      <c r="N273" s="10">
        <f t="shared" si="48"/>
        <v>264046.23391185392</v>
      </c>
      <c r="O273" s="58">
        <f t="shared" si="49"/>
        <v>649578.70680654875</v>
      </c>
      <c r="P273" s="228"/>
      <c r="Q273" s="229"/>
      <c r="R273" s="225"/>
      <c r="S273" s="225"/>
      <c r="T273" s="230"/>
    </row>
    <row r="274" spans="1:20" s="224" customFormat="1" x14ac:dyDescent="0.25">
      <c r="A274" s="327">
        <f>'A) Base RI'!A275</f>
        <v>5873</v>
      </c>
      <c r="B274" s="237" t="str">
        <f>'A) Base RI'!B275</f>
        <v>Le Lieu</v>
      </c>
      <c r="C274" s="253">
        <v>0</v>
      </c>
      <c r="D274" s="226">
        <f>'B) D RI'!AA275</f>
        <v>869</v>
      </c>
      <c r="E274" s="227">
        <f>'B) D RI'!S275</f>
        <v>65</v>
      </c>
      <c r="F274" s="10">
        <f>'B) D RI'!R275</f>
        <v>2082868.3163030306</v>
      </c>
      <c r="G274" s="10">
        <f>'B) D RI'!U275</f>
        <v>32044.127943123549</v>
      </c>
      <c r="H274" s="42">
        <f>'B) D RI'!T275</f>
        <v>1944304.1496363638</v>
      </c>
      <c r="I274" s="10">
        <f t="shared" si="50"/>
        <v>59824.74306573427</v>
      </c>
      <c r="J274" s="32">
        <f t="shared" si="46"/>
        <v>72989.208203996954</v>
      </c>
      <c r="K274" s="10">
        <f t="shared" si="47"/>
        <v>59824.74306573427</v>
      </c>
      <c r="L274" s="10">
        <f t="shared" si="51"/>
        <v>13164.465138262683</v>
      </c>
      <c r="M274" s="10">
        <f>'D) Ecrêtage'!C273</f>
        <v>32044.127943123549</v>
      </c>
      <c r="N274" s="10">
        <f t="shared" si="48"/>
        <v>41583.173299889473</v>
      </c>
      <c r="O274" s="58">
        <f t="shared" si="49"/>
        <v>101407.91636562374</v>
      </c>
      <c r="P274" s="228"/>
      <c r="Q274" s="229"/>
      <c r="R274" s="225"/>
      <c r="S274" s="225"/>
      <c r="T274" s="230"/>
    </row>
    <row r="275" spans="1:20" s="224" customFormat="1" x14ac:dyDescent="0.25">
      <c r="A275" s="327">
        <f>'A) Base RI'!A276</f>
        <v>5881</v>
      </c>
      <c r="B275" s="237" t="str">
        <f>'A) Base RI'!B276</f>
        <v>Blonay</v>
      </c>
      <c r="C275" s="253">
        <v>1</v>
      </c>
      <c r="D275" s="226">
        <f>'B) D RI'!AA276</f>
        <v>6183</v>
      </c>
      <c r="E275" s="227">
        <f>'B) D RI'!S276</f>
        <v>70</v>
      </c>
      <c r="F275" s="10">
        <f>'B) D RI'!R276</f>
        <v>23636673.306138206</v>
      </c>
      <c r="G275" s="10">
        <f>'B) D RI'!U276</f>
        <v>337666.7615162601</v>
      </c>
      <c r="H275" s="42">
        <f>'B) D RI'!T276</f>
        <v>21995173.056138206</v>
      </c>
      <c r="I275" s="10">
        <f t="shared" si="50"/>
        <v>628433.51588966302</v>
      </c>
      <c r="J275" s="32">
        <f t="shared" si="46"/>
        <v>519323.67586342141</v>
      </c>
      <c r="K275" s="10">
        <f t="shared" si="47"/>
        <v>0</v>
      </c>
      <c r="L275" s="10">
        <f t="shared" si="51"/>
        <v>519323.67586342141</v>
      </c>
      <c r="M275" s="10">
        <f>'D) Ecrêtage'!C274</f>
        <v>337666.7615162601</v>
      </c>
      <c r="N275" s="10">
        <f t="shared" si="48"/>
        <v>438184.97687518602</v>
      </c>
      <c r="O275" s="58">
        <f t="shared" si="49"/>
        <v>438184.97687518602</v>
      </c>
      <c r="P275" s="228"/>
      <c r="Q275" s="229"/>
      <c r="R275" s="225"/>
      <c r="S275" s="225"/>
      <c r="T275" s="230"/>
    </row>
    <row r="276" spans="1:20" s="224" customFormat="1" x14ac:dyDescent="0.25">
      <c r="A276" s="327">
        <f>'A) Base RI'!A277</f>
        <v>5882</v>
      </c>
      <c r="B276" s="237" t="str">
        <f>'A) Base RI'!B277</f>
        <v>Chardonne</v>
      </c>
      <c r="C276" s="253">
        <v>1</v>
      </c>
      <c r="D276" s="226">
        <f>'B) D RI'!AA277</f>
        <v>2921</v>
      </c>
      <c r="E276" s="227">
        <f>'B) D RI'!S277</f>
        <v>68</v>
      </c>
      <c r="F276" s="10">
        <f>'B) D RI'!R277</f>
        <v>10640739.271362901</v>
      </c>
      <c r="G276" s="10">
        <f>'B) D RI'!U277</f>
        <v>156481.45987298383</v>
      </c>
      <c r="H276" s="42">
        <f>'B) D RI'!T277</f>
        <v>9742793.8613629006</v>
      </c>
      <c r="I276" s="10">
        <f t="shared" si="50"/>
        <v>286552.76062832063</v>
      </c>
      <c r="J276" s="32">
        <f t="shared" si="46"/>
        <v>245341.17049928091</v>
      </c>
      <c r="K276" s="10">
        <f t="shared" si="47"/>
        <v>0</v>
      </c>
      <c r="L276" s="10">
        <f t="shared" si="51"/>
        <v>245341.17049928091</v>
      </c>
      <c r="M276" s="10">
        <f>'D) Ecrêtage'!C275</f>
        <v>156481.45987298383</v>
      </c>
      <c r="N276" s="10">
        <f t="shared" si="48"/>
        <v>203063.59017376052</v>
      </c>
      <c r="O276" s="58">
        <f t="shared" si="49"/>
        <v>203063.59017376052</v>
      </c>
      <c r="P276" s="228"/>
      <c r="Q276" s="229"/>
      <c r="R276" s="225"/>
      <c r="S276" s="225"/>
      <c r="T276" s="230"/>
    </row>
    <row r="277" spans="1:20" s="224" customFormat="1" x14ac:dyDescent="0.25">
      <c r="A277" s="327">
        <f>'A) Base RI'!A278</f>
        <v>5883</v>
      </c>
      <c r="B277" s="237" t="str">
        <f>'A) Base RI'!B278</f>
        <v>Corseaux</v>
      </c>
      <c r="C277" s="253">
        <v>1</v>
      </c>
      <c r="D277" s="226">
        <f>'B) D RI'!AA278</f>
        <v>2289</v>
      </c>
      <c r="E277" s="227">
        <f>'B) D RI'!S278</f>
        <v>69</v>
      </c>
      <c r="F277" s="10">
        <f>'B) D RI'!R278</f>
        <v>10359973.908129921</v>
      </c>
      <c r="G277" s="10">
        <f>'B) D RI'!U278</f>
        <v>150144.54939318728</v>
      </c>
      <c r="H277" s="42">
        <f>'B) D RI'!T278</f>
        <v>9717048.5581299216</v>
      </c>
      <c r="I277" s="10">
        <f t="shared" si="50"/>
        <v>281653.58139507018</v>
      </c>
      <c r="J277" s="32">
        <f t="shared" ref="J277:J308" si="52">+$I$315/$D$315*D277</f>
        <v>192258.10998728313</v>
      </c>
      <c r="K277" s="10">
        <f t="shared" si="47"/>
        <v>0</v>
      </c>
      <c r="L277" s="10">
        <f t="shared" si="51"/>
        <v>192258.10998728313</v>
      </c>
      <c r="M277" s="10">
        <f>'D) Ecrêtage'!C276</f>
        <v>150144.54939318728</v>
      </c>
      <c r="N277" s="10">
        <f t="shared" si="48"/>
        <v>194840.27864738728</v>
      </c>
      <c r="O277" s="58">
        <f t="shared" si="49"/>
        <v>194840.27864738728</v>
      </c>
      <c r="P277" s="228"/>
      <c r="Q277" s="229"/>
      <c r="R277" s="225"/>
      <c r="S277" s="225"/>
      <c r="T277" s="230"/>
    </row>
    <row r="278" spans="1:20" s="224" customFormat="1" x14ac:dyDescent="0.25">
      <c r="A278" s="327">
        <f>'A) Base RI'!A279</f>
        <v>5884</v>
      </c>
      <c r="B278" s="237" t="str">
        <f>'A) Base RI'!B279</f>
        <v>Corsier-sur-Vevey</v>
      </c>
      <c r="C278" s="253">
        <v>1</v>
      </c>
      <c r="D278" s="226">
        <f>'B) D RI'!AA279</f>
        <v>3396</v>
      </c>
      <c r="E278" s="227">
        <f>'B) D RI'!S279</f>
        <v>66</v>
      </c>
      <c r="F278" s="10">
        <f>'B) D RI'!R279</f>
        <v>7958421.4912764756</v>
      </c>
      <c r="G278" s="10">
        <f>'B) D RI'!U279</f>
        <v>120582.14380721933</v>
      </c>
      <c r="H278" s="42">
        <f>'B) D RI'!T279</f>
        <v>7127887.2079431424</v>
      </c>
      <c r="I278" s="10">
        <f t="shared" si="50"/>
        <v>215996.5820588831</v>
      </c>
      <c r="J278" s="32">
        <f t="shared" si="52"/>
        <v>285237.45806763368</v>
      </c>
      <c r="K278" s="10">
        <f t="shared" si="47"/>
        <v>0</v>
      </c>
      <c r="L278" s="10">
        <f t="shared" si="51"/>
        <v>285237.45806763368</v>
      </c>
      <c r="M278" s="10">
        <f>'D) Ecrêtage'!C277</f>
        <v>120582.14380721933</v>
      </c>
      <c r="N278" s="10">
        <f t="shared" si="48"/>
        <v>156477.59838269546</v>
      </c>
      <c r="O278" s="58">
        <f t="shared" si="49"/>
        <v>156477.59838269546</v>
      </c>
      <c r="P278" s="228"/>
      <c r="Q278" s="229"/>
      <c r="R278" s="225"/>
      <c r="S278" s="225"/>
      <c r="T278" s="230"/>
    </row>
    <row r="279" spans="1:20" s="224" customFormat="1" x14ac:dyDescent="0.25">
      <c r="A279" s="327">
        <f>'A) Base RI'!A280</f>
        <v>5885</v>
      </c>
      <c r="B279" s="237" t="str">
        <f>'A) Base RI'!B280</f>
        <v>Jongny</v>
      </c>
      <c r="C279" s="253">
        <v>1</v>
      </c>
      <c r="D279" s="226">
        <f>'B) D RI'!AA280</f>
        <v>1549</v>
      </c>
      <c r="E279" s="227">
        <f>'B) D RI'!S280</f>
        <v>71</v>
      </c>
      <c r="F279" s="10">
        <f>'B) D RI'!R280</f>
        <v>6577285.0998087926</v>
      </c>
      <c r="G279" s="10">
        <f>'B) D RI'!U280</f>
        <v>92637.81830716609</v>
      </c>
      <c r="H279" s="42">
        <f>'B) D RI'!T280</f>
        <v>6196382.1581421252</v>
      </c>
      <c r="I279" s="10">
        <f t="shared" si="50"/>
        <v>174545.97628569367</v>
      </c>
      <c r="J279" s="32">
        <f t="shared" si="52"/>
        <v>130103.89356500724</v>
      </c>
      <c r="K279" s="10">
        <f t="shared" si="47"/>
        <v>0</v>
      </c>
      <c r="L279" s="10">
        <f t="shared" si="51"/>
        <v>130103.89356500724</v>
      </c>
      <c r="M279" s="10">
        <f>'D) Ecrêtage'!C278</f>
        <v>92637.81830716609</v>
      </c>
      <c r="N279" s="10">
        <f t="shared" si="48"/>
        <v>120214.67582541006</v>
      </c>
      <c r="O279" s="58">
        <f t="shared" si="49"/>
        <v>120214.67582541006</v>
      </c>
      <c r="P279" s="228"/>
      <c r="Q279" s="229"/>
      <c r="R279" s="225"/>
      <c r="S279" s="225"/>
      <c r="T279" s="230"/>
    </row>
    <row r="280" spans="1:20" s="224" customFormat="1" x14ac:dyDescent="0.25">
      <c r="A280" s="327">
        <f>'A) Base RI'!A281</f>
        <v>5886</v>
      </c>
      <c r="B280" s="237" t="str">
        <f>'A) Base RI'!B281</f>
        <v>Montreux</v>
      </c>
      <c r="C280" s="253">
        <v>1</v>
      </c>
      <c r="D280" s="226">
        <f>'B) D RI'!AA281</f>
        <v>26653</v>
      </c>
      <c r="E280" s="227">
        <f>'B) D RI'!S281</f>
        <v>65</v>
      </c>
      <c r="F280" s="10">
        <f>'B) D RI'!R281</f>
        <v>72862226.396896973</v>
      </c>
      <c r="G280" s="10">
        <f>'B) D RI'!U281</f>
        <v>1120957.3291830304</v>
      </c>
      <c r="H280" s="42">
        <f>'B) D RI'!T281</f>
        <v>65572368.263563633</v>
      </c>
      <c r="I280" s="10">
        <f t="shared" si="50"/>
        <v>2017611.3311865733</v>
      </c>
      <c r="J280" s="32">
        <f t="shared" si="52"/>
        <v>2238643.6895985398</v>
      </c>
      <c r="K280" s="10">
        <f t="shared" si="47"/>
        <v>0</v>
      </c>
      <c r="L280" s="10">
        <f t="shared" si="51"/>
        <v>2238643.6895985398</v>
      </c>
      <c r="M280" s="10">
        <f>'D) Ecrêtage'!C279</f>
        <v>1120957.3291830304</v>
      </c>
      <c r="N280" s="10">
        <f t="shared" si="48"/>
        <v>1454649.1314706546</v>
      </c>
      <c r="O280" s="58">
        <f t="shared" si="49"/>
        <v>1454649.1314706546</v>
      </c>
      <c r="P280" s="228"/>
      <c r="Q280" s="229"/>
      <c r="R280" s="225"/>
      <c r="S280" s="225"/>
      <c r="T280" s="230"/>
    </row>
    <row r="281" spans="1:20" s="224" customFormat="1" x14ac:dyDescent="0.25">
      <c r="A281" s="327">
        <f>'A) Base RI'!A282</f>
        <v>5888</v>
      </c>
      <c r="B281" s="237" t="str">
        <f>'A) Base RI'!B282</f>
        <v>Saint-Légier-La Chiésaz</v>
      </c>
      <c r="C281" s="253">
        <v>1</v>
      </c>
      <c r="D281" s="226">
        <f>'B) D RI'!AA282</f>
        <v>5167</v>
      </c>
      <c r="E281" s="227">
        <f>'B) D RI'!S282</f>
        <v>67</v>
      </c>
      <c r="F281" s="10">
        <f>'B) D RI'!R282</f>
        <v>19504628.895657331</v>
      </c>
      <c r="G281" s="10">
        <f>'B) D RI'!U282</f>
        <v>291113.86411428853</v>
      </c>
      <c r="H281" s="42">
        <f>'B) D RI'!T282</f>
        <v>18058078.712323997</v>
      </c>
      <c r="I281" s="10">
        <f t="shared" si="50"/>
        <v>539047.12574101484</v>
      </c>
      <c r="J281" s="32">
        <f t="shared" si="52"/>
        <v>433987.61655932368</v>
      </c>
      <c r="K281" s="10">
        <f t="shared" si="47"/>
        <v>0</v>
      </c>
      <c r="L281" s="10">
        <f t="shared" si="51"/>
        <v>433987.61655932368</v>
      </c>
      <c r="M281" s="10">
        <f>'D) Ecrêtage'!C280</f>
        <v>291113.86411428853</v>
      </c>
      <c r="N281" s="10">
        <f t="shared" si="48"/>
        <v>377773.99600174424</v>
      </c>
      <c r="O281" s="58">
        <f t="shared" si="49"/>
        <v>377773.99600174424</v>
      </c>
      <c r="P281" s="228"/>
      <c r="Q281" s="229"/>
      <c r="R281" s="225"/>
      <c r="S281" s="225"/>
      <c r="T281" s="230"/>
    </row>
    <row r="282" spans="1:20" s="224" customFormat="1" x14ac:dyDescent="0.25">
      <c r="A282" s="327">
        <f>'A) Base RI'!A283</f>
        <v>5889</v>
      </c>
      <c r="B282" s="237" t="str">
        <f>'A) Base RI'!B283</f>
        <v>La Tour-de-Peilz</v>
      </c>
      <c r="C282" s="253">
        <v>1</v>
      </c>
      <c r="D282" s="226">
        <f>'B) D RI'!AA283</f>
        <v>11779</v>
      </c>
      <c r="E282" s="227">
        <f>'B) D RI'!S283</f>
        <v>64</v>
      </c>
      <c r="F282" s="10">
        <f>'B) D RI'!R283</f>
        <v>43169998.3941921</v>
      </c>
      <c r="G282" s="10">
        <f>'B) D RI'!U283</f>
        <v>674531.22490925156</v>
      </c>
      <c r="H282" s="42">
        <f>'B) D RI'!T283</f>
        <v>40815003.335858762</v>
      </c>
      <c r="I282" s="10">
        <f t="shared" si="50"/>
        <v>1275468.8542455863</v>
      </c>
      <c r="J282" s="32">
        <f t="shared" si="52"/>
        <v>989343.93951079424</v>
      </c>
      <c r="K282" s="10">
        <f t="shared" si="47"/>
        <v>0</v>
      </c>
      <c r="L282" s="10">
        <f t="shared" si="51"/>
        <v>989343.93951079424</v>
      </c>
      <c r="M282" s="10">
        <f>'D) Ecrêtage'!C281</f>
        <v>674531.22490925156</v>
      </c>
      <c r="N282" s="10">
        <f t="shared" si="48"/>
        <v>875328.82378243306</v>
      </c>
      <c r="O282" s="58">
        <f t="shared" si="49"/>
        <v>875328.82378243306</v>
      </c>
      <c r="P282" s="228"/>
      <c r="Q282" s="229"/>
      <c r="R282" s="225"/>
      <c r="S282" s="225"/>
      <c r="T282" s="230"/>
    </row>
    <row r="283" spans="1:20" s="224" customFormat="1" x14ac:dyDescent="0.25">
      <c r="A283" s="327">
        <f>'A) Base RI'!A284</f>
        <v>5890</v>
      </c>
      <c r="B283" s="237" t="str">
        <f>'A) Base RI'!B284</f>
        <v>Vevey</v>
      </c>
      <c r="C283" s="253">
        <v>1</v>
      </c>
      <c r="D283" s="226">
        <f>'B) D RI'!AA284</f>
        <v>19829</v>
      </c>
      <c r="E283" s="227">
        <f>'B) D RI'!S284</f>
        <v>73</v>
      </c>
      <c r="F283" s="10">
        <f>'B) D RI'!R284</f>
        <v>69587097.768693149</v>
      </c>
      <c r="G283" s="10">
        <f>'B) D RI'!U284</f>
        <v>953247.91463963222</v>
      </c>
      <c r="H283" s="42">
        <f>'B) D RI'!T284</f>
        <v>65613585.302026473</v>
      </c>
      <c r="I283" s="10">
        <f t="shared" si="50"/>
        <v>1797632.4740281226</v>
      </c>
      <c r="J283" s="32">
        <f t="shared" si="52"/>
        <v>1665481.0235639308</v>
      </c>
      <c r="K283" s="10">
        <f t="shared" si="47"/>
        <v>0</v>
      </c>
      <c r="L283" s="10">
        <f t="shared" si="51"/>
        <v>1665481.0235639308</v>
      </c>
      <c r="M283" s="10">
        <f>'D) Ecrêtage'!C282</f>
        <v>953247.91463963222</v>
      </c>
      <c r="N283" s="10">
        <f t="shared" si="48"/>
        <v>1237015.1967491552</v>
      </c>
      <c r="O283" s="58">
        <f t="shared" si="49"/>
        <v>1237015.1967491552</v>
      </c>
      <c r="P283" s="228"/>
      <c r="Q283" s="229"/>
      <c r="R283" s="225"/>
      <c r="S283" s="225"/>
      <c r="T283" s="230"/>
    </row>
    <row r="284" spans="1:20" s="224" customFormat="1" x14ac:dyDescent="0.25">
      <c r="A284" s="327">
        <f>'A) Base RI'!A285</f>
        <v>5891</v>
      </c>
      <c r="B284" s="237" t="str">
        <f>'A) Base RI'!B285</f>
        <v>Veytaux</v>
      </c>
      <c r="C284" s="253">
        <v>1</v>
      </c>
      <c r="D284" s="226">
        <f>'B) D RI'!AA285</f>
        <v>870</v>
      </c>
      <c r="E284" s="227">
        <f>'B) D RI'!S285</f>
        <v>69</v>
      </c>
      <c r="F284" s="10">
        <f>'B) D RI'!R285</f>
        <v>2424613.8116941391</v>
      </c>
      <c r="G284" s="10">
        <f>'B) D RI'!U285</f>
        <v>35139.330604262883</v>
      </c>
      <c r="H284" s="42">
        <f>'B) D RI'!T285</f>
        <v>2201453.0450274725</v>
      </c>
      <c r="I284" s="10">
        <f t="shared" si="50"/>
        <v>63810.233189202103</v>
      </c>
      <c r="J284" s="32">
        <f t="shared" si="52"/>
        <v>73073.200388351383</v>
      </c>
      <c r="K284" s="10">
        <f t="shared" si="47"/>
        <v>0</v>
      </c>
      <c r="L284" s="10">
        <f t="shared" si="51"/>
        <v>73073.200388351383</v>
      </c>
      <c r="M284" s="10">
        <f>'D) Ecrêtage'!C283</f>
        <v>35139.330604262883</v>
      </c>
      <c r="N284" s="10">
        <f t="shared" si="48"/>
        <v>45599.770315257963</v>
      </c>
      <c r="O284" s="58">
        <f t="shared" si="49"/>
        <v>45599.770315257963</v>
      </c>
      <c r="P284" s="228"/>
      <c r="Q284" s="229"/>
      <c r="R284" s="225"/>
      <c r="S284" s="225"/>
      <c r="T284" s="230"/>
    </row>
    <row r="285" spans="1:20" s="224" customFormat="1" x14ac:dyDescent="0.25">
      <c r="A285" s="327">
        <f>'A) Base RI'!A286</f>
        <v>5902</v>
      </c>
      <c r="B285" s="237" t="str">
        <f>'A) Base RI'!B286</f>
        <v>Belmont-sur-Yverdon</v>
      </c>
      <c r="C285" s="253">
        <v>0</v>
      </c>
      <c r="D285" s="226">
        <f>'B) D RI'!AA286</f>
        <v>378</v>
      </c>
      <c r="E285" s="227">
        <f>'B) D RI'!S286</f>
        <v>76</v>
      </c>
      <c r="F285" s="10">
        <f>'B) D RI'!R286</f>
        <v>751656.54388308967</v>
      </c>
      <c r="G285" s="10">
        <f>'B) D RI'!U286</f>
        <v>9890.2176826722334</v>
      </c>
      <c r="H285" s="42">
        <f>'B) D RI'!T286</f>
        <v>699613.14388308965</v>
      </c>
      <c r="I285" s="10">
        <f t="shared" si="50"/>
        <v>18410.872207449727</v>
      </c>
      <c r="J285" s="32">
        <f t="shared" si="52"/>
        <v>31749.04568597336</v>
      </c>
      <c r="K285" s="10">
        <f t="shared" si="47"/>
        <v>18410.872207449727</v>
      </c>
      <c r="L285" s="10">
        <f t="shared" si="51"/>
        <v>13338.173478523633</v>
      </c>
      <c r="M285" s="10">
        <f>'D) Ecrêtage'!C284</f>
        <v>9890.2176826722334</v>
      </c>
      <c r="N285" s="10">
        <f t="shared" si="48"/>
        <v>12834.383778586984</v>
      </c>
      <c r="O285" s="58">
        <f t="shared" si="49"/>
        <v>31245.255986036711</v>
      </c>
      <c r="P285" s="228"/>
      <c r="Q285" s="229"/>
      <c r="R285" s="225"/>
      <c r="S285" s="225"/>
      <c r="T285" s="230"/>
    </row>
    <row r="286" spans="1:20" s="224" customFormat="1" x14ac:dyDescent="0.25">
      <c r="A286" s="327">
        <f>'A) Base RI'!A287</f>
        <v>5903</v>
      </c>
      <c r="B286" s="237" t="str">
        <f>'A) Base RI'!B287</f>
        <v>Bioley-Magnoux</v>
      </c>
      <c r="C286" s="253">
        <v>0</v>
      </c>
      <c r="D286" s="226">
        <f>'B) D RI'!AA287</f>
        <v>225</v>
      </c>
      <c r="E286" s="227">
        <f>'B) D RI'!S287</f>
        <v>74</v>
      </c>
      <c r="F286" s="10">
        <f>'B) D RI'!R287</f>
        <v>438513.04408075864</v>
      </c>
      <c r="G286" s="10">
        <f>'B) D RI'!U287</f>
        <v>5925.8519470372794</v>
      </c>
      <c r="H286" s="42">
        <f>'B) D RI'!T287</f>
        <v>404973.18693790148</v>
      </c>
      <c r="I286" s="10">
        <f t="shared" si="50"/>
        <v>10945.221268591931</v>
      </c>
      <c r="J286" s="32">
        <f t="shared" si="52"/>
        <v>18898.241479746048</v>
      </c>
      <c r="K286" s="10">
        <f t="shared" si="47"/>
        <v>10945.221268591931</v>
      </c>
      <c r="L286" s="10">
        <f t="shared" si="51"/>
        <v>7953.0202111541166</v>
      </c>
      <c r="M286" s="10">
        <f>'D) Ecrêtage'!C285</f>
        <v>5925.8519470372794</v>
      </c>
      <c r="N286" s="10">
        <f t="shared" si="48"/>
        <v>7689.8871737284326</v>
      </c>
      <c r="O286" s="58">
        <f t="shared" si="49"/>
        <v>18635.108442320365</v>
      </c>
      <c r="P286" s="228"/>
      <c r="Q286" s="229"/>
      <c r="R286" s="225"/>
      <c r="S286" s="225"/>
      <c r="T286" s="230"/>
    </row>
    <row r="287" spans="1:20" s="224" customFormat="1" x14ac:dyDescent="0.25">
      <c r="A287" s="327">
        <f>'A) Base RI'!A288</f>
        <v>5904</v>
      </c>
      <c r="B287" s="237" t="str">
        <f>'A) Base RI'!B288</f>
        <v>Chamblon</v>
      </c>
      <c r="C287" s="253">
        <v>1</v>
      </c>
      <c r="D287" s="226">
        <f>'B) D RI'!AA288</f>
        <v>534</v>
      </c>
      <c r="E287" s="227">
        <f>'B) D RI'!S288</f>
        <v>66</v>
      </c>
      <c r="F287" s="10">
        <f>'B) D RI'!R288</f>
        <v>1428940.8322909703</v>
      </c>
      <c r="G287" s="10">
        <f>'B) D RI'!U288</f>
        <v>21650.618671075306</v>
      </c>
      <c r="H287" s="42">
        <f>'B) D RI'!T288</f>
        <v>1333304.6822909703</v>
      </c>
      <c r="I287" s="10">
        <f t="shared" ref="I287:I314" si="53">+H287/E287*$I$5</f>
        <v>40403.172190635465</v>
      </c>
      <c r="J287" s="32">
        <f t="shared" si="52"/>
        <v>44851.826445263956</v>
      </c>
      <c r="K287" s="10">
        <f t="shared" si="47"/>
        <v>0</v>
      </c>
      <c r="L287" s="10">
        <f t="shared" si="51"/>
        <v>44851.826445263956</v>
      </c>
      <c r="M287" s="10">
        <f>'D) Ecrêtage'!C286</f>
        <v>21650.618671075306</v>
      </c>
      <c r="N287" s="10">
        <f t="shared" si="48"/>
        <v>28095.675745869245</v>
      </c>
      <c r="O287" s="58">
        <f t="shared" si="49"/>
        <v>28095.675745869245</v>
      </c>
      <c r="P287" s="228"/>
      <c r="Q287" s="229"/>
      <c r="R287" s="225"/>
      <c r="S287" s="225"/>
      <c r="T287" s="230"/>
    </row>
    <row r="288" spans="1:20" s="224" customFormat="1" x14ac:dyDescent="0.25">
      <c r="A288" s="327">
        <f>'A) Base RI'!A289</f>
        <v>5905</v>
      </c>
      <c r="B288" s="237" t="str">
        <f>'A) Base RI'!B289</f>
        <v>Champvent</v>
      </c>
      <c r="C288" s="253">
        <v>0</v>
      </c>
      <c r="D288" s="226">
        <f>'B) D RI'!AA289</f>
        <v>669</v>
      </c>
      <c r="E288" s="227">
        <f>'B) D RI'!S289</f>
        <v>71</v>
      </c>
      <c r="F288" s="10">
        <f>'B) D RI'!R289</f>
        <v>1573439.095635999</v>
      </c>
      <c r="G288" s="10">
        <f>'B) D RI'!U289</f>
        <v>22161.114023042239</v>
      </c>
      <c r="H288" s="42">
        <f>'B) D RI'!T289</f>
        <v>1477268.145635999</v>
      </c>
      <c r="I288" s="10">
        <f t="shared" si="53"/>
        <v>41613.187201014058</v>
      </c>
      <c r="J288" s="32">
        <f t="shared" si="52"/>
        <v>56190.771333111581</v>
      </c>
      <c r="K288" s="10">
        <f t="shared" si="47"/>
        <v>41613.187201014058</v>
      </c>
      <c r="L288" s="10">
        <f t="shared" si="51"/>
        <v>14577.584132097523</v>
      </c>
      <c r="M288" s="10">
        <f>'D) Ecrêtage'!C287</f>
        <v>22161.114023042239</v>
      </c>
      <c r="N288" s="10">
        <f t="shared" si="48"/>
        <v>28758.13773351664</v>
      </c>
      <c r="O288" s="58">
        <f t="shared" si="49"/>
        <v>70371.324934530698</v>
      </c>
      <c r="P288" s="228"/>
      <c r="Q288" s="229"/>
      <c r="R288" s="225"/>
      <c r="S288" s="225"/>
      <c r="T288" s="230"/>
    </row>
    <row r="289" spans="1:20" s="224" customFormat="1" x14ac:dyDescent="0.25">
      <c r="A289" s="327">
        <f>'A) Base RI'!A290</f>
        <v>5907</v>
      </c>
      <c r="B289" s="237" t="str">
        <f>'A) Base RI'!B290</f>
        <v>Chavannes-le-Chêne</v>
      </c>
      <c r="C289" s="253">
        <v>0</v>
      </c>
      <c r="D289" s="226">
        <f>'B) D RI'!AA290</f>
        <v>298</v>
      </c>
      <c r="E289" s="227">
        <f>'B) D RI'!S290</f>
        <v>78</v>
      </c>
      <c r="F289" s="10">
        <f>'B) D RI'!R290</f>
        <v>673520.08839103859</v>
      </c>
      <c r="G289" s="10">
        <f>'B) D RI'!U290</f>
        <v>8634.8729280902389</v>
      </c>
      <c r="H289" s="42">
        <f>'B) D RI'!T290</f>
        <v>633091.38839103864</v>
      </c>
      <c r="I289" s="10">
        <f t="shared" si="53"/>
        <v>16233.112522847145</v>
      </c>
      <c r="J289" s="32">
        <f t="shared" si="52"/>
        <v>25029.670937619212</v>
      </c>
      <c r="K289" s="10">
        <f t="shared" si="47"/>
        <v>16233.112522847145</v>
      </c>
      <c r="L289" s="10">
        <f t="shared" si="51"/>
        <v>8796.5584147720674</v>
      </c>
      <c r="M289" s="10">
        <f>'D) Ecrêtage'!C288</f>
        <v>8634.8729280902389</v>
      </c>
      <c r="N289" s="10">
        <f t="shared" si="48"/>
        <v>11205.342146574267</v>
      </c>
      <c r="O289" s="58">
        <f t="shared" si="49"/>
        <v>27438.454669421411</v>
      </c>
      <c r="P289" s="228"/>
      <c r="Q289" s="229"/>
      <c r="R289" s="225"/>
      <c r="S289" s="225"/>
      <c r="T289" s="230"/>
    </row>
    <row r="290" spans="1:20" s="224" customFormat="1" x14ac:dyDescent="0.25">
      <c r="A290" s="327">
        <f>'A) Base RI'!A291</f>
        <v>5908</v>
      </c>
      <c r="B290" s="237" t="str">
        <f>'A) Base RI'!B291</f>
        <v>Chêne-Pâquier</v>
      </c>
      <c r="C290" s="253">
        <v>0</v>
      </c>
      <c r="D290" s="226">
        <f>'B) D RI'!AA291</f>
        <v>139</v>
      </c>
      <c r="E290" s="227">
        <f>'B) D RI'!S291</f>
        <v>79</v>
      </c>
      <c r="F290" s="10">
        <f>'B) D RI'!R291</f>
        <v>217475.05366270879</v>
      </c>
      <c r="G290" s="10">
        <f>'B) D RI'!U291</f>
        <v>2752.8487805406176</v>
      </c>
      <c r="H290" s="42">
        <f>'B) D RI'!T291</f>
        <v>201161.55366270879</v>
      </c>
      <c r="I290" s="10">
        <f t="shared" si="53"/>
        <v>5092.6975610812351</v>
      </c>
      <c r="J290" s="32">
        <f t="shared" si="52"/>
        <v>11674.913625265337</v>
      </c>
      <c r="K290" s="10">
        <f t="shared" si="47"/>
        <v>5092.6975610812351</v>
      </c>
      <c r="L290" s="10">
        <f t="shared" si="51"/>
        <v>6582.2160641841019</v>
      </c>
      <c r="M290" s="10">
        <f>'D) Ecrêtage'!C289</f>
        <v>2752.8487805406176</v>
      </c>
      <c r="N290" s="10">
        <f t="shared" si="48"/>
        <v>3572.3296359567448</v>
      </c>
      <c r="O290" s="58">
        <f t="shared" si="49"/>
        <v>8665.0271970379799</v>
      </c>
      <c r="P290" s="228"/>
      <c r="Q290" s="229"/>
      <c r="R290" s="225"/>
      <c r="S290" s="225"/>
      <c r="T290" s="230"/>
    </row>
    <row r="291" spans="1:20" s="224" customFormat="1" x14ac:dyDescent="0.25">
      <c r="A291" s="327">
        <f>'A) Base RI'!A292</f>
        <v>5909</v>
      </c>
      <c r="B291" s="237" t="str">
        <f>'A) Base RI'!B292</f>
        <v>Cheseaux-Noréaz</v>
      </c>
      <c r="C291" s="253">
        <v>1</v>
      </c>
      <c r="D291" s="226">
        <f>'B) D RI'!AA292</f>
        <v>705</v>
      </c>
      <c r="E291" s="227">
        <f>'B) D RI'!S292</f>
        <v>70</v>
      </c>
      <c r="F291" s="10">
        <f>'B) D RI'!R292</f>
        <v>1950244.7245934957</v>
      </c>
      <c r="G291" s="10">
        <f>'B) D RI'!U292</f>
        <v>27860.638922764225</v>
      </c>
      <c r="H291" s="42">
        <f>'B) D RI'!T292</f>
        <v>1798936.2745934958</v>
      </c>
      <c r="I291" s="10">
        <f t="shared" si="53"/>
        <v>51398.179274099879</v>
      </c>
      <c r="J291" s="32">
        <f t="shared" si="52"/>
        <v>59214.489969870949</v>
      </c>
      <c r="K291" s="10">
        <f t="shared" si="47"/>
        <v>0</v>
      </c>
      <c r="L291" s="10">
        <f t="shared" si="51"/>
        <v>59214.489969870949</v>
      </c>
      <c r="M291" s="10">
        <f>'D) Ecrêtage'!C290</f>
        <v>27860.638922764225</v>
      </c>
      <c r="N291" s="10">
        <f t="shared" si="48"/>
        <v>36154.323769624199</v>
      </c>
      <c r="O291" s="58">
        <f t="shared" si="49"/>
        <v>36154.323769624199</v>
      </c>
      <c r="P291" s="228"/>
      <c r="Q291" s="229"/>
      <c r="R291" s="225"/>
      <c r="S291" s="225"/>
      <c r="T291" s="230"/>
    </row>
    <row r="292" spans="1:20" s="224" customFormat="1" x14ac:dyDescent="0.25">
      <c r="A292" s="327">
        <f>'A) Base RI'!A293</f>
        <v>5910</v>
      </c>
      <c r="B292" s="237" t="str">
        <f>'A) Base RI'!B293</f>
        <v>Cronay</v>
      </c>
      <c r="C292" s="253">
        <v>0</v>
      </c>
      <c r="D292" s="226">
        <f>'B) D RI'!AA293</f>
        <v>380</v>
      </c>
      <c r="E292" s="227">
        <f>'B) D RI'!S293</f>
        <v>79</v>
      </c>
      <c r="F292" s="10">
        <f>'B) D RI'!R293</f>
        <v>796550.96085731534</v>
      </c>
      <c r="G292" s="10">
        <f>'B) D RI'!U293</f>
        <v>10082.92355515589</v>
      </c>
      <c r="H292" s="42">
        <f>'B) D RI'!T293</f>
        <v>744905.26085731538</v>
      </c>
      <c r="I292" s="10">
        <f t="shared" si="53"/>
        <v>18858.361034362413</v>
      </c>
      <c r="J292" s="32">
        <f t="shared" si="52"/>
        <v>31917.030054682215</v>
      </c>
      <c r="K292" s="10">
        <f t="shared" si="47"/>
        <v>18858.361034362413</v>
      </c>
      <c r="L292" s="10">
        <f t="shared" si="51"/>
        <v>13058.669020319801</v>
      </c>
      <c r="M292" s="10">
        <f>'D) Ecrêtage'!C291</f>
        <v>10082.92355515589</v>
      </c>
      <c r="N292" s="10">
        <f t="shared" si="48"/>
        <v>13084.455233351411</v>
      </c>
      <c r="O292" s="58">
        <f t="shared" si="49"/>
        <v>31942.816267713824</v>
      </c>
      <c r="P292" s="228"/>
      <c r="Q292" s="229"/>
      <c r="R292" s="225"/>
      <c r="S292" s="225"/>
      <c r="T292" s="230"/>
    </row>
    <row r="293" spans="1:20" s="224" customFormat="1" x14ac:dyDescent="0.25">
      <c r="A293" s="327">
        <f>'A) Base RI'!A294</f>
        <v>5911</v>
      </c>
      <c r="B293" s="237" t="str">
        <f>'A) Base RI'!B294</f>
        <v>Cuarny</v>
      </c>
      <c r="C293" s="253">
        <v>0</v>
      </c>
      <c r="D293" s="226">
        <f>'B) D RI'!AA294</f>
        <v>241</v>
      </c>
      <c r="E293" s="227">
        <f>'B) D RI'!S294</f>
        <v>79</v>
      </c>
      <c r="F293" s="10">
        <f>'B) D RI'!R294</f>
        <v>559536.71861340303</v>
      </c>
      <c r="G293" s="10">
        <f>'B) D RI'!U294</f>
        <v>7082.7432735873799</v>
      </c>
      <c r="H293" s="42">
        <f>'B) D RI'!T294</f>
        <v>527933.71861340303</v>
      </c>
      <c r="I293" s="10">
        <f t="shared" si="53"/>
        <v>13365.410597807671</v>
      </c>
      <c r="J293" s="32">
        <f t="shared" si="52"/>
        <v>20242.116429416878</v>
      </c>
      <c r="K293" s="10">
        <f t="shared" si="47"/>
        <v>13365.410597807671</v>
      </c>
      <c r="L293" s="10">
        <f t="shared" si="51"/>
        <v>6876.7058316092061</v>
      </c>
      <c r="M293" s="10">
        <f>'D) Ecrêtage'!C292</f>
        <v>7082.7432735873799</v>
      </c>
      <c r="N293" s="10">
        <f t="shared" si="48"/>
        <v>9191.1673023828735</v>
      </c>
      <c r="O293" s="58">
        <f t="shared" si="49"/>
        <v>22556.577900190547</v>
      </c>
      <c r="P293" s="228"/>
      <c r="Q293" s="229"/>
      <c r="R293" s="225"/>
      <c r="S293" s="225"/>
      <c r="T293" s="230"/>
    </row>
    <row r="294" spans="1:20" s="224" customFormat="1" x14ac:dyDescent="0.25">
      <c r="A294" s="327">
        <f>'A) Base RI'!A295</f>
        <v>5912</v>
      </c>
      <c r="B294" s="237" t="str">
        <f>'A) Base RI'!B295</f>
        <v>Démoret</v>
      </c>
      <c r="C294" s="253">
        <v>0</v>
      </c>
      <c r="D294" s="226">
        <f>'B) D RI'!AA295</f>
        <v>146</v>
      </c>
      <c r="E294" s="227">
        <f>'B) D RI'!S295</f>
        <v>81</v>
      </c>
      <c r="F294" s="10">
        <f>'B) D RI'!R295</f>
        <v>258085.55991157395</v>
      </c>
      <c r="G294" s="10">
        <f>'B) D RI'!U295</f>
        <v>3186.2414803898018</v>
      </c>
      <c r="H294" s="42">
        <f>'B) D RI'!T295</f>
        <v>238945.85991157393</v>
      </c>
      <c r="I294" s="10">
        <f t="shared" si="53"/>
        <v>5899.8977755944179</v>
      </c>
      <c r="J294" s="32">
        <f t="shared" si="52"/>
        <v>12262.858915746325</v>
      </c>
      <c r="K294" s="10">
        <f t="shared" si="47"/>
        <v>5899.8977755944179</v>
      </c>
      <c r="L294" s="10">
        <f t="shared" si="51"/>
        <v>6362.9611401519069</v>
      </c>
      <c r="M294" s="10">
        <f>'D) Ecrêtage'!C293</f>
        <v>3186.2414803898018</v>
      </c>
      <c r="N294" s="10">
        <f t="shared" si="48"/>
        <v>4134.7366946454176</v>
      </c>
      <c r="O294" s="58">
        <f t="shared" si="49"/>
        <v>10034.634470239835</v>
      </c>
      <c r="P294" s="228"/>
      <c r="Q294" s="229"/>
      <c r="R294" s="225"/>
      <c r="S294" s="225"/>
      <c r="T294" s="230"/>
    </row>
    <row r="295" spans="1:20" s="224" customFormat="1" x14ac:dyDescent="0.25">
      <c r="A295" s="327">
        <f>'A) Base RI'!A296</f>
        <v>5913</v>
      </c>
      <c r="B295" s="237" t="str">
        <f>'A) Base RI'!B296</f>
        <v>Donneloye</v>
      </c>
      <c r="C295" s="253">
        <v>0</v>
      </c>
      <c r="D295" s="226">
        <f>'B) D RI'!AA296</f>
        <v>813</v>
      </c>
      <c r="E295" s="227">
        <f>'B) D RI'!S296</f>
        <v>73</v>
      </c>
      <c r="F295" s="10">
        <f>'B) D RI'!R296</f>
        <v>1462583.9322260793</v>
      </c>
      <c r="G295" s="10">
        <f>'B) D RI'!U296</f>
        <v>20035.3963318641</v>
      </c>
      <c r="H295" s="42">
        <f>'B) D RI'!T296</f>
        <v>1355998.9822260793</v>
      </c>
      <c r="I295" s="10">
        <f t="shared" si="53"/>
        <v>37150.657047289846</v>
      </c>
      <c r="J295" s="32">
        <f t="shared" si="52"/>
        <v>68285.645880149052</v>
      </c>
      <c r="K295" s="10">
        <f t="shared" si="47"/>
        <v>37150.657047289846</v>
      </c>
      <c r="L295" s="10">
        <f t="shared" si="51"/>
        <v>31134.988832859206</v>
      </c>
      <c r="M295" s="10">
        <f>'D) Ecrêtage'!C294</f>
        <v>20035.3963318641</v>
      </c>
      <c r="N295" s="10">
        <f t="shared" si="48"/>
        <v>25999.626492524349</v>
      </c>
      <c r="O295" s="58">
        <f t="shared" si="49"/>
        <v>63150.283539814191</v>
      </c>
      <c r="P295" s="228"/>
      <c r="Q295" s="229"/>
      <c r="R295" s="225"/>
      <c r="S295" s="225"/>
      <c r="T295" s="230"/>
    </row>
    <row r="296" spans="1:20" s="224" customFormat="1" x14ac:dyDescent="0.25">
      <c r="A296" s="327">
        <f>'A) Base RI'!A297</f>
        <v>5914</v>
      </c>
      <c r="B296" s="237" t="str">
        <f>'A) Base RI'!B297</f>
        <v>Ependes</v>
      </c>
      <c r="C296" s="253">
        <v>1</v>
      </c>
      <c r="D296" s="226">
        <f>'B) D RI'!AA297</f>
        <v>361</v>
      </c>
      <c r="E296" s="227">
        <f>'B) D RI'!S297</f>
        <v>75</v>
      </c>
      <c r="F296" s="10">
        <f>'B) D RI'!R297</f>
        <v>762766.77181818185</v>
      </c>
      <c r="G296" s="10">
        <f>'B) D RI'!U297</f>
        <v>10170.223624242424</v>
      </c>
      <c r="H296" s="42">
        <f>'B) D RI'!T297</f>
        <v>709074.52181818185</v>
      </c>
      <c r="I296" s="10">
        <f t="shared" si="53"/>
        <v>18908.653915151517</v>
      </c>
      <c r="J296" s="32">
        <f t="shared" si="52"/>
        <v>30321.178551948105</v>
      </c>
      <c r="K296" s="10">
        <f t="shared" si="47"/>
        <v>0</v>
      </c>
      <c r="L296" s="10">
        <f t="shared" si="51"/>
        <v>30321.178551948105</v>
      </c>
      <c r="M296" s="10">
        <f>'D) Ecrêtage'!C295</f>
        <v>10170.223624242424</v>
      </c>
      <c r="N296" s="10">
        <f t="shared" si="48"/>
        <v>13197.743193890112</v>
      </c>
      <c r="O296" s="58">
        <f t="shared" si="49"/>
        <v>13197.743193890112</v>
      </c>
      <c r="P296" s="228"/>
      <c r="Q296" s="229"/>
      <c r="R296" s="225"/>
      <c r="S296" s="225"/>
      <c r="T296" s="230"/>
    </row>
    <row r="297" spans="1:20" s="224" customFormat="1" x14ac:dyDescent="0.25">
      <c r="A297" s="327">
        <f>'A) Base RI'!A298</f>
        <v>5919</v>
      </c>
      <c r="B297" s="237" t="str">
        <f>'A) Base RI'!B298</f>
        <v>Mathod</v>
      </c>
      <c r="C297" s="253">
        <v>1</v>
      </c>
      <c r="D297" s="226">
        <f>'B) D RI'!AA298</f>
        <v>617</v>
      </c>
      <c r="E297" s="227">
        <f>'B) D RI'!S298</f>
        <v>72</v>
      </c>
      <c r="F297" s="10">
        <f>'B) D RI'!R298</f>
        <v>1149145.0004710921</v>
      </c>
      <c r="G297" s="10">
        <f>'B) D RI'!U298</f>
        <v>15960.347228765168</v>
      </c>
      <c r="H297" s="42">
        <f>'B) D RI'!T298</f>
        <v>1047812.3004710922</v>
      </c>
      <c r="I297" s="10">
        <f t="shared" si="53"/>
        <v>29105.897235308119</v>
      </c>
      <c r="J297" s="32">
        <f t="shared" si="52"/>
        <v>51823.177746681387</v>
      </c>
      <c r="K297" s="10">
        <f t="shared" si="47"/>
        <v>0</v>
      </c>
      <c r="L297" s="10">
        <f t="shared" si="51"/>
        <v>51823.177746681387</v>
      </c>
      <c r="M297" s="10">
        <f>'D) Ecrêtage'!C296</f>
        <v>15960.347228765168</v>
      </c>
      <c r="N297" s="10">
        <f t="shared" si="48"/>
        <v>20711.497779504225</v>
      </c>
      <c r="O297" s="58">
        <f t="shared" si="49"/>
        <v>20711.497779504225</v>
      </c>
      <c r="P297" s="228"/>
      <c r="Q297" s="229"/>
      <c r="R297" s="225"/>
      <c r="S297" s="225"/>
      <c r="T297" s="230"/>
    </row>
    <row r="298" spans="1:20" s="224" customFormat="1" x14ac:dyDescent="0.25">
      <c r="A298" s="327">
        <f>'A) Base RI'!A299</f>
        <v>5921</v>
      </c>
      <c r="B298" s="237" t="str">
        <f>'A) Base RI'!B299</f>
        <v>Molondin</v>
      </c>
      <c r="C298" s="253">
        <v>0</v>
      </c>
      <c r="D298" s="226">
        <f>'B) D RI'!AA299</f>
        <v>232</v>
      </c>
      <c r="E298" s="227">
        <f>'B) D RI'!S299</f>
        <v>81</v>
      </c>
      <c r="F298" s="10">
        <f>'B) D RI'!R299</f>
        <v>431216.25244252314</v>
      </c>
      <c r="G298" s="10">
        <f>'B) D RI'!U299</f>
        <v>5323.6574375620139</v>
      </c>
      <c r="H298" s="42">
        <f>'B) D RI'!T299</f>
        <v>402535.25244252314</v>
      </c>
      <c r="I298" s="10">
        <f t="shared" si="53"/>
        <v>9939.1420356178551</v>
      </c>
      <c r="J298" s="32">
        <f t="shared" si="52"/>
        <v>19486.186770227036</v>
      </c>
      <c r="K298" s="10">
        <f t="shared" si="47"/>
        <v>9939.1420356178551</v>
      </c>
      <c r="L298" s="10">
        <f t="shared" si="51"/>
        <v>9547.0447346091805</v>
      </c>
      <c r="M298" s="10">
        <f>'D) Ecrêtage'!C297</f>
        <v>5323.6574375620139</v>
      </c>
      <c r="N298" s="10">
        <f t="shared" si="48"/>
        <v>6908.4285959759509</v>
      </c>
      <c r="O298" s="58">
        <f t="shared" si="49"/>
        <v>16847.570631593808</v>
      </c>
      <c r="P298" s="228"/>
      <c r="Q298" s="229"/>
      <c r="R298" s="225"/>
      <c r="S298" s="225"/>
      <c r="T298" s="230"/>
    </row>
    <row r="299" spans="1:20" s="224" customFormat="1" x14ac:dyDescent="0.25">
      <c r="A299" s="327">
        <f>'A) Base RI'!A300</f>
        <v>5922</v>
      </c>
      <c r="B299" s="237" t="str">
        <f>'A) Base RI'!B300</f>
        <v>Montagny-près-Yverdon</v>
      </c>
      <c r="C299" s="253">
        <v>0</v>
      </c>
      <c r="D299" s="226">
        <f>'B) D RI'!AA300</f>
        <v>717</v>
      </c>
      <c r="E299" s="227">
        <f>'B) D RI'!S300</f>
        <v>61</v>
      </c>
      <c r="F299" s="10">
        <f>'B) D RI'!R300</f>
        <v>2594824.5838140943</v>
      </c>
      <c r="G299" s="10">
        <f>'B) D RI'!U300</f>
        <v>42538.107931378596</v>
      </c>
      <c r="H299" s="42">
        <f>'B) D RI'!T300</f>
        <v>2246594.4713140945</v>
      </c>
      <c r="I299" s="10">
        <f t="shared" si="53"/>
        <v>73658.835125052283</v>
      </c>
      <c r="J299" s="32">
        <f t="shared" si="52"/>
        <v>60222.396182124074</v>
      </c>
      <c r="K299" s="10">
        <f t="shared" si="47"/>
        <v>60222.396182124074</v>
      </c>
      <c r="L299" s="10">
        <f t="shared" si="51"/>
        <v>0</v>
      </c>
      <c r="M299" s="10">
        <f>'D) Ecrêtage'!C298</f>
        <v>42538.107931378596</v>
      </c>
      <c r="N299" s="10">
        <f t="shared" si="48"/>
        <v>55201.050161188934</v>
      </c>
      <c r="O299" s="58">
        <f t="shared" si="49"/>
        <v>115423.446343313</v>
      </c>
      <c r="P299" s="228"/>
      <c r="Q299" s="229"/>
      <c r="R299" s="225"/>
      <c r="S299" s="225"/>
      <c r="T299" s="230"/>
    </row>
    <row r="300" spans="1:20" s="224" customFormat="1" x14ac:dyDescent="0.25">
      <c r="A300" s="327">
        <f>'A) Base RI'!A301</f>
        <v>5923</v>
      </c>
      <c r="B300" s="237" t="str">
        <f>'A) Base RI'!B301</f>
        <v>Oppens</v>
      </c>
      <c r="C300" s="253">
        <v>0</v>
      </c>
      <c r="D300" s="226">
        <f>'B) D RI'!AA301</f>
        <v>187</v>
      </c>
      <c r="E300" s="227">
        <f>'B) D RI'!S301</f>
        <v>81</v>
      </c>
      <c r="F300" s="10">
        <f>'B) D RI'!R301</f>
        <v>375118.4253821969</v>
      </c>
      <c r="G300" s="10">
        <f>'B) D RI'!U301</f>
        <v>4631.0916713851466</v>
      </c>
      <c r="H300" s="42">
        <f>'B) D RI'!T301</f>
        <v>351312.02538219688</v>
      </c>
      <c r="I300" s="10">
        <f t="shared" si="53"/>
        <v>8674.3709970912805</v>
      </c>
      <c r="J300" s="32">
        <f t="shared" si="52"/>
        <v>15706.538474277828</v>
      </c>
      <c r="K300" s="10">
        <f t="shared" si="47"/>
        <v>8674.3709970912805</v>
      </c>
      <c r="L300" s="10">
        <f t="shared" si="51"/>
        <v>7032.1674771865473</v>
      </c>
      <c r="M300" s="10">
        <f>'D) Ecrêtage'!C299</f>
        <v>4631.0916713851466</v>
      </c>
      <c r="N300" s="10">
        <f t="shared" si="48"/>
        <v>6009.6966246263146</v>
      </c>
      <c r="O300" s="58">
        <f t="shared" si="49"/>
        <v>14684.067621717595</v>
      </c>
      <c r="P300" s="228"/>
      <c r="Q300" s="229"/>
      <c r="R300" s="225"/>
      <c r="S300" s="225"/>
      <c r="T300" s="230"/>
    </row>
    <row r="301" spans="1:20" s="224" customFormat="1" x14ac:dyDescent="0.25">
      <c r="A301" s="327">
        <f>'A) Base RI'!A302</f>
        <v>5924</v>
      </c>
      <c r="B301" s="237" t="str">
        <f>'A) Base RI'!B302</f>
        <v>Orges</v>
      </c>
      <c r="C301" s="253">
        <v>0</v>
      </c>
      <c r="D301" s="226">
        <f>'B) D RI'!AA302</f>
        <v>336</v>
      </c>
      <c r="E301" s="227">
        <f>'B) D RI'!S302</f>
        <v>74</v>
      </c>
      <c r="F301" s="10">
        <f>'B) D RI'!R302</f>
        <v>769349.77837259101</v>
      </c>
      <c r="G301" s="10">
        <f>'B) D RI'!U302</f>
        <v>10396.618626656635</v>
      </c>
      <c r="H301" s="42">
        <f>'B) D RI'!T302</f>
        <v>729739.72837259097</v>
      </c>
      <c r="I301" s="10">
        <f t="shared" si="53"/>
        <v>19722.695361421378</v>
      </c>
      <c r="J301" s="32">
        <f t="shared" si="52"/>
        <v>28221.373943087434</v>
      </c>
      <c r="K301" s="10">
        <f t="shared" si="47"/>
        <v>19722.695361421378</v>
      </c>
      <c r="L301" s="10">
        <f t="shared" si="51"/>
        <v>8498.6785816660558</v>
      </c>
      <c r="M301" s="10">
        <f>'D) Ecrêtage'!C300</f>
        <v>10396.618626656635</v>
      </c>
      <c r="N301" s="10">
        <f t="shared" si="48"/>
        <v>13491.532515800469</v>
      </c>
      <c r="O301" s="58">
        <f t="shared" si="49"/>
        <v>33214.227877221849</v>
      </c>
      <c r="P301" s="228"/>
      <c r="Q301" s="229"/>
      <c r="R301" s="225"/>
      <c r="S301" s="225"/>
      <c r="T301" s="230"/>
    </row>
    <row r="302" spans="1:20" s="224" customFormat="1" x14ac:dyDescent="0.25">
      <c r="A302" s="327">
        <f>'A) Base RI'!A303</f>
        <v>5925</v>
      </c>
      <c r="B302" s="237" t="str">
        <f>'A) Base RI'!B303</f>
        <v>Orzens</v>
      </c>
      <c r="C302" s="253">
        <v>0</v>
      </c>
      <c r="D302" s="226">
        <f>'B) D RI'!AA303</f>
        <v>195</v>
      </c>
      <c r="E302" s="227">
        <f>'B) D RI'!S303</f>
        <v>79</v>
      </c>
      <c r="F302" s="10">
        <f>'B) D RI'!R303</f>
        <v>375647.025649024</v>
      </c>
      <c r="G302" s="10">
        <f>'B) D RI'!U303</f>
        <v>4755.0256411268865</v>
      </c>
      <c r="H302" s="42">
        <f>'B) D RI'!T303</f>
        <v>344726.82564902399</v>
      </c>
      <c r="I302" s="10">
        <f t="shared" si="53"/>
        <v>8727.2614088360497</v>
      </c>
      <c r="J302" s="32">
        <f t="shared" si="52"/>
        <v>16378.475949113243</v>
      </c>
      <c r="K302" s="10">
        <f t="shared" si="47"/>
        <v>8727.2614088360497</v>
      </c>
      <c r="L302" s="10">
        <f t="shared" si="51"/>
        <v>7651.214540277193</v>
      </c>
      <c r="M302" s="10">
        <f>'D) Ecrêtage'!C301</f>
        <v>4755.0256411268865</v>
      </c>
      <c r="N302" s="10">
        <f t="shared" si="48"/>
        <v>6170.5238361098445</v>
      </c>
      <c r="O302" s="58">
        <f t="shared" si="49"/>
        <v>14897.785244945895</v>
      </c>
      <c r="P302" s="228"/>
      <c r="Q302" s="229"/>
      <c r="R302" s="225"/>
      <c r="S302" s="225"/>
      <c r="T302" s="230"/>
    </row>
    <row r="303" spans="1:20" s="224" customFormat="1" x14ac:dyDescent="0.25">
      <c r="A303" s="327">
        <f>'A) Base RI'!A304</f>
        <v>5926</v>
      </c>
      <c r="B303" s="237" t="str">
        <f>'A) Base RI'!B304</f>
        <v>Pomy</v>
      </c>
      <c r="C303" s="253">
        <v>1</v>
      </c>
      <c r="D303" s="226">
        <f>'B) D RI'!AA304</f>
        <v>785</v>
      </c>
      <c r="E303" s="227">
        <f>'B) D RI'!S304</f>
        <v>71</v>
      </c>
      <c r="F303" s="10">
        <f>'B) D RI'!R304</f>
        <v>1651450.1447939407</v>
      </c>
      <c r="G303" s="10">
        <f>'B) D RI'!U304</f>
        <v>23259.861194280857</v>
      </c>
      <c r="H303" s="42">
        <f>'B) D RI'!T304</f>
        <v>1534948.6447939407</v>
      </c>
      <c r="I303" s="10">
        <f t="shared" si="53"/>
        <v>43237.989994195515</v>
      </c>
      <c r="J303" s="32">
        <f t="shared" si="52"/>
        <v>65933.864718225101</v>
      </c>
      <c r="K303" s="10">
        <f t="shared" si="47"/>
        <v>0</v>
      </c>
      <c r="L303" s="10">
        <f t="shared" si="51"/>
        <v>65933.864718225101</v>
      </c>
      <c r="M303" s="10">
        <f>'D) Ecrêtage'!C302</f>
        <v>23259.861194280857</v>
      </c>
      <c r="N303" s="10">
        <f t="shared" si="48"/>
        <v>30183.96508370931</v>
      </c>
      <c r="O303" s="58">
        <f t="shared" si="49"/>
        <v>30183.96508370931</v>
      </c>
      <c r="P303" s="228"/>
      <c r="Q303" s="229"/>
      <c r="R303" s="225"/>
      <c r="S303" s="225"/>
      <c r="T303" s="230"/>
    </row>
    <row r="304" spans="1:20" s="224" customFormat="1" x14ac:dyDescent="0.25">
      <c r="A304" s="327">
        <f>'A) Base RI'!A305</f>
        <v>5928</v>
      </c>
      <c r="B304" s="237" t="str">
        <f>'A) Base RI'!B305</f>
        <v>Rovray</v>
      </c>
      <c r="C304" s="253">
        <v>0</v>
      </c>
      <c r="D304" s="226">
        <f>'B) D RI'!AA305</f>
        <v>187</v>
      </c>
      <c r="E304" s="227">
        <f>'B) D RI'!S305</f>
        <v>73</v>
      </c>
      <c r="F304" s="10">
        <f>'B) D RI'!R305</f>
        <v>327504.17692775</v>
      </c>
      <c r="G304" s="10">
        <f>'B) D RI'!U305</f>
        <v>4486.3585880513701</v>
      </c>
      <c r="H304" s="42">
        <f>'B) D RI'!T305</f>
        <v>307131.37692775001</v>
      </c>
      <c r="I304" s="10">
        <f t="shared" si="53"/>
        <v>8414.5582719931517</v>
      </c>
      <c r="J304" s="32">
        <f t="shared" si="52"/>
        <v>15706.538474277828</v>
      </c>
      <c r="K304" s="10">
        <f t="shared" ref="K304:K314" si="54">IF(C304=1,0,IF(J304&gt;I304,I304,J304))</f>
        <v>8414.5582719931517</v>
      </c>
      <c r="L304" s="10">
        <f t="shared" si="51"/>
        <v>7291.9802022846761</v>
      </c>
      <c r="M304" s="10">
        <f>'D) Ecrêtage'!C303</f>
        <v>4486.3585880513701</v>
      </c>
      <c r="N304" s="10">
        <f t="shared" si="48"/>
        <v>5821.8787224765601</v>
      </c>
      <c r="O304" s="58">
        <f t="shared" si="49"/>
        <v>14236.436994469712</v>
      </c>
      <c r="P304" s="228"/>
      <c r="Q304" s="229"/>
      <c r="R304" s="225"/>
      <c r="S304" s="225"/>
      <c r="T304" s="230"/>
    </row>
    <row r="305" spans="1:20" s="224" customFormat="1" x14ac:dyDescent="0.25">
      <c r="A305" s="327">
        <f>'A) Base RI'!A306</f>
        <v>5929</v>
      </c>
      <c r="B305" s="237" t="str">
        <f>'A) Base RI'!B306</f>
        <v>Suchy</v>
      </c>
      <c r="C305" s="253">
        <v>1</v>
      </c>
      <c r="D305" s="226">
        <f>'B) D RI'!AA306</f>
        <v>605</v>
      </c>
      <c r="E305" s="227">
        <f>'B) D RI'!S306</f>
        <v>70</v>
      </c>
      <c r="F305" s="10">
        <f>'B) D RI'!R306</f>
        <v>1191485.146808943</v>
      </c>
      <c r="G305" s="10">
        <f>'B) D RI'!U306</f>
        <v>17021.216382984901</v>
      </c>
      <c r="H305" s="42">
        <f>'B) D RI'!T306</f>
        <v>1091873.334308943</v>
      </c>
      <c r="I305" s="10">
        <f t="shared" si="53"/>
        <v>31196.380980255515</v>
      </c>
      <c r="J305" s="32">
        <f t="shared" si="52"/>
        <v>50815.271534428262</v>
      </c>
      <c r="K305" s="10">
        <f t="shared" si="54"/>
        <v>0</v>
      </c>
      <c r="L305" s="10">
        <f t="shared" si="51"/>
        <v>50815.271534428262</v>
      </c>
      <c r="M305" s="10">
        <f>'D) Ecrêtage'!C304</f>
        <v>17021.216382984901</v>
      </c>
      <c r="N305" s="10">
        <f t="shared" si="48"/>
        <v>22088.171408030696</v>
      </c>
      <c r="O305" s="58">
        <f t="shared" si="49"/>
        <v>22088.171408030696</v>
      </c>
      <c r="P305" s="228"/>
      <c r="Q305" s="229"/>
      <c r="R305" s="225"/>
      <c r="S305" s="225"/>
      <c r="T305" s="230"/>
    </row>
    <row r="306" spans="1:20" s="224" customFormat="1" x14ac:dyDescent="0.25">
      <c r="A306" s="327">
        <f>'A) Base RI'!A307</f>
        <v>5930</v>
      </c>
      <c r="B306" s="237" t="str">
        <f>'A) Base RI'!B307</f>
        <v>Suscévaz</v>
      </c>
      <c r="C306" s="253">
        <v>1</v>
      </c>
      <c r="D306" s="226">
        <f>'B) D RI'!AA307</f>
        <v>200</v>
      </c>
      <c r="E306" s="227">
        <f>'B) D RI'!S307</f>
        <v>72</v>
      </c>
      <c r="F306" s="10">
        <f>'B) D RI'!R307</f>
        <v>386182.97351170564</v>
      </c>
      <c r="G306" s="10">
        <f>'B) D RI'!U307</f>
        <v>5363.6524098848004</v>
      </c>
      <c r="H306" s="42">
        <f>'B) D RI'!T307</f>
        <v>358996.57351170568</v>
      </c>
      <c r="I306" s="10">
        <f t="shared" si="53"/>
        <v>9972.1270419918237</v>
      </c>
      <c r="J306" s="32">
        <f t="shared" si="52"/>
        <v>16798.436870885376</v>
      </c>
      <c r="K306" s="10">
        <f t="shared" si="54"/>
        <v>0</v>
      </c>
      <c r="L306" s="10">
        <f t="shared" si="51"/>
        <v>16798.436870885376</v>
      </c>
      <c r="M306" s="10">
        <f>'D) Ecrêtage'!C305</f>
        <v>5363.6524098848004</v>
      </c>
      <c r="N306" s="10">
        <f t="shared" si="48"/>
        <v>6960.3294580675847</v>
      </c>
      <c r="O306" s="58">
        <f t="shared" si="49"/>
        <v>6960.3294580675847</v>
      </c>
      <c r="P306" s="228"/>
      <c r="Q306" s="229"/>
      <c r="R306" s="225"/>
      <c r="S306" s="225"/>
      <c r="T306" s="230"/>
    </row>
    <row r="307" spans="1:20" s="224" customFormat="1" x14ac:dyDescent="0.25">
      <c r="A307" s="327">
        <f>'A) Base RI'!A308</f>
        <v>5931</v>
      </c>
      <c r="B307" s="237" t="str">
        <f>'A) Base RI'!B308</f>
        <v>Treycovagnes</v>
      </c>
      <c r="C307" s="253">
        <v>1</v>
      </c>
      <c r="D307" s="226">
        <f>'B) D RI'!AA308</f>
        <v>456</v>
      </c>
      <c r="E307" s="227">
        <f>'B) D RI'!S308</f>
        <v>75</v>
      </c>
      <c r="F307" s="10">
        <f>'B) D RI'!R308</f>
        <v>1008234.2421649484</v>
      </c>
      <c r="G307" s="10">
        <f>'B) D RI'!U308</f>
        <v>13443.123228865978</v>
      </c>
      <c r="H307" s="42">
        <f>'B) D RI'!T308</f>
        <v>934996.0421649483</v>
      </c>
      <c r="I307" s="10">
        <f t="shared" si="53"/>
        <v>24933.227791065288</v>
      </c>
      <c r="J307" s="32">
        <f t="shared" si="52"/>
        <v>38300.436065618662</v>
      </c>
      <c r="K307" s="10">
        <f t="shared" si="54"/>
        <v>0</v>
      </c>
      <c r="L307" s="10">
        <f t="shared" si="51"/>
        <v>38300.436065618662</v>
      </c>
      <c r="M307" s="10">
        <f>'D) Ecrêtage'!C306</f>
        <v>13443.123228865978</v>
      </c>
      <c r="N307" s="10">
        <f t="shared" si="48"/>
        <v>17444.934807085705</v>
      </c>
      <c r="O307" s="58">
        <f t="shared" si="49"/>
        <v>17444.934807085705</v>
      </c>
      <c r="P307" s="228"/>
      <c r="Q307" s="229"/>
      <c r="R307" s="225"/>
      <c r="S307" s="225"/>
      <c r="T307" s="230"/>
    </row>
    <row r="308" spans="1:20" s="224" customFormat="1" x14ac:dyDescent="0.25">
      <c r="A308" s="327">
        <f>'A) Base RI'!A309</f>
        <v>5932</v>
      </c>
      <c r="B308" s="237" t="str">
        <f>'A) Base RI'!B309</f>
        <v>Ursins</v>
      </c>
      <c r="C308" s="253">
        <v>0</v>
      </c>
      <c r="D308" s="226">
        <f>'B) D RI'!AA309</f>
        <v>218</v>
      </c>
      <c r="E308" s="227">
        <f>'B) D RI'!S309</f>
        <v>78</v>
      </c>
      <c r="F308" s="10">
        <f>'B) D RI'!R309</f>
        <v>534713.42549898161</v>
      </c>
      <c r="G308" s="10">
        <f>'B) D RI'!U309</f>
        <v>6855.3003269100209</v>
      </c>
      <c r="H308" s="42">
        <f>'B) D RI'!T309</f>
        <v>504182.7254989816</v>
      </c>
      <c r="I308" s="10">
        <f t="shared" si="53"/>
        <v>12927.76219228158</v>
      </c>
      <c r="J308" s="32">
        <f t="shared" si="52"/>
        <v>18310.29618926506</v>
      </c>
      <c r="K308" s="10">
        <f t="shared" si="54"/>
        <v>12927.76219228158</v>
      </c>
      <c r="L308" s="10">
        <f t="shared" si="51"/>
        <v>5382.5339969834804</v>
      </c>
      <c r="M308" s="10">
        <f>'D) Ecrêtage'!C307</f>
        <v>6855.3003269100209</v>
      </c>
      <c r="N308" s="10">
        <f t="shared" si="48"/>
        <v>8896.0180792768733</v>
      </c>
      <c r="O308" s="58">
        <f t="shared" si="49"/>
        <v>21823.780271558455</v>
      </c>
      <c r="P308" s="228"/>
      <c r="Q308" s="229"/>
      <c r="R308" s="225"/>
      <c r="S308" s="225"/>
      <c r="T308" s="230"/>
    </row>
    <row r="309" spans="1:20" s="224" customFormat="1" x14ac:dyDescent="0.25">
      <c r="A309" s="327">
        <f>'A) Base RI'!A310</f>
        <v>5933</v>
      </c>
      <c r="B309" s="237" t="str">
        <f>'A) Base RI'!B310</f>
        <v>Valeyres-sous-Montagny</v>
      </c>
      <c r="C309" s="253">
        <v>0</v>
      </c>
      <c r="D309" s="226">
        <f>'B) D RI'!AA310</f>
        <v>705</v>
      </c>
      <c r="E309" s="227">
        <f>'B) D RI'!S310</f>
        <v>72</v>
      </c>
      <c r="F309" s="10">
        <f>'B) D RI'!R310</f>
        <v>1488198.3308705213</v>
      </c>
      <c r="G309" s="10">
        <f>'B) D RI'!U310</f>
        <v>20669.421262090575</v>
      </c>
      <c r="H309" s="42">
        <f>'B) D RI'!T310</f>
        <v>1382786.1308705213</v>
      </c>
      <c r="I309" s="10">
        <f t="shared" si="53"/>
        <v>38410.725857514481</v>
      </c>
      <c r="J309" s="32">
        <f t="shared" ref="J309:J314" si="55">+$I$315/$D$315*D309</f>
        <v>59214.489969870949</v>
      </c>
      <c r="K309" s="10">
        <f t="shared" si="54"/>
        <v>38410.725857514481</v>
      </c>
      <c r="L309" s="10">
        <f t="shared" si="51"/>
        <v>20803.764112356468</v>
      </c>
      <c r="M309" s="10">
        <f>'D) Ecrêtage'!C308</f>
        <v>20669.421262090575</v>
      </c>
      <c r="N309" s="10">
        <f t="shared" si="48"/>
        <v>26822.390919031874</v>
      </c>
      <c r="O309" s="58">
        <f t="shared" si="49"/>
        <v>65233.116776546354</v>
      </c>
      <c r="P309" s="228"/>
      <c r="Q309" s="229"/>
      <c r="R309" s="225"/>
      <c r="S309" s="225"/>
      <c r="T309" s="230"/>
    </row>
    <row r="310" spans="1:20" s="224" customFormat="1" x14ac:dyDescent="0.25">
      <c r="A310" s="327">
        <f>'A) Base RI'!A311</f>
        <v>5934</v>
      </c>
      <c r="B310" s="237" t="str">
        <f>'A) Base RI'!B311</f>
        <v>Valeyres-sous-Ursins</v>
      </c>
      <c r="C310" s="253">
        <v>0</v>
      </c>
      <c r="D310" s="226">
        <f>'B) D RI'!AA311</f>
        <v>238</v>
      </c>
      <c r="E310" s="227">
        <f>'B) D RI'!S311</f>
        <v>79</v>
      </c>
      <c r="F310" s="10">
        <f>'B) D RI'!R311</f>
        <v>536542.4129563293</v>
      </c>
      <c r="G310" s="10">
        <f>'B) D RI'!U311</f>
        <v>6791.6761133712571</v>
      </c>
      <c r="H310" s="42">
        <f>'B) D RI'!T311</f>
        <v>507680.11295632925</v>
      </c>
      <c r="I310" s="10">
        <f t="shared" si="53"/>
        <v>12852.661087502007</v>
      </c>
      <c r="J310" s="32">
        <f t="shared" si="55"/>
        <v>19990.139876353598</v>
      </c>
      <c r="K310" s="10">
        <f t="shared" si="54"/>
        <v>12852.661087502007</v>
      </c>
      <c r="L310" s="10">
        <f t="shared" si="51"/>
        <v>7137.4787888515912</v>
      </c>
      <c r="M310" s="10">
        <f>'D) Ecrêtage'!C309</f>
        <v>6791.6761133712571</v>
      </c>
      <c r="N310" s="10">
        <f t="shared" si="48"/>
        <v>8813.4539133133767</v>
      </c>
      <c r="O310" s="58">
        <f t="shared" si="49"/>
        <v>21666.115000815385</v>
      </c>
      <c r="P310" s="228"/>
      <c r="Q310" s="229"/>
      <c r="R310" s="225"/>
      <c r="S310" s="225"/>
      <c r="T310" s="230"/>
    </row>
    <row r="311" spans="1:20" s="224" customFormat="1" x14ac:dyDescent="0.25">
      <c r="A311" s="327">
        <f>'A) Base RI'!A312</f>
        <v>5935</v>
      </c>
      <c r="B311" s="237" t="str">
        <f>'A) Base RI'!B312</f>
        <v>Villars-Epeney</v>
      </c>
      <c r="C311" s="253">
        <v>0</v>
      </c>
      <c r="D311" s="226">
        <f>'B) D RI'!AA312</f>
        <v>106</v>
      </c>
      <c r="E311" s="227">
        <f>'B) D RI'!S312</f>
        <v>60</v>
      </c>
      <c r="F311" s="10">
        <f>'B) D RI'!R312</f>
        <v>331781.04314136127</v>
      </c>
      <c r="G311" s="10">
        <f>'B) D RI'!U312</f>
        <v>5529.6840523560213</v>
      </c>
      <c r="H311" s="42">
        <f>'B) D RI'!T312</f>
        <v>314232.09314136126</v>
      </c>
      <c r="I311" s="10">
        <f t="shared" si="53"/>
        <v>10474.403104712042</v>
      </c>
      <c r="J311" s="32">
        <f t="shared" si="55"/>
        <v>8903.1715415692488</v>
      </c>
      <c r="K311" s="10">
        <f t="shared" si="54"/>
        <v>8903.1715415692488</v>
      </c>
      <c r="L311" s="10">
        <f t="shared" si="51"/>
        <v>0</v>
      </c>
      <c r="M311" s="10">
        <f>'D) Ecrêtage'!C310</f>
        <v>5529.6840523560213</v>
      </c>
      <c r="N311" s="10">
        <f t="shared" si="48"/>
        <v>7175.7861737067333</v>
      </c>
      <c r="O311" s="58">
        <f t="shared" si="49"/>
        <v>16078.957715275981</v>
      </c>
      <c r="P311" s="228"/>
      <c r="Q311" s="229"/>
      <c r="R311" s="225"/>
      <c r="S311" s="225"/>
      <c r="T311" s="230"/>
    </row>
    <row r="312" spans="1:20" s="224" customFormat="1" x14ac:dyDescent="0.25">
      <c r="A312" s="327">
        <f>'A) Base RI'!A313</f>
        <v>5937</v>
      </c>
      <c r="B312" s="237" t="str">
        <f>'A) Base RI'!B313</f>
        <v>Vugelles-La Mothe</v>
      </c>
      <c r="C312" s="253">
        <v>0</v>
      </c>
      <c r="D312" s="226">
        <f>'B) D RI'!AA313</f>
        <v>122</v>
      </c>
      <c r="E312" s="227">
        <f>'B) D RI'!S313</f>
        <v>70</v>
      </c>
      <c r="F312" s="10">
        <f>'B) D RI'!R313</f>
        <v>200608.67676926058</v>
      </c>
      <c r="G312" s="10">
        <f>'B) D RI'!U313</f>
        <v>2865.8382395608655</v>
      </c>
      <c r="H312" s="42">
        <f>'B) D RI'!T313</f>
        <v>185469.248197832</v>
      </c>
      <c r="I312" s="10">
        <f t="shared" si="53"/>
        <v>5299.1213770809145</v>
      </c>
      <c r="J312" s="32">
        <f t="shared" si="55"/>
        <v>10247.04649124008</v>
      </c>
      <c r="K312" s="10">
        <f t="shared" si="54"/>
        <v>5299.1213770809145</v>
      </c>
      <c r="L312" s="10">
        <f t="shared" si="51"/>
        <v>4947.9251141591658</v>
      </c>
      <c r="M312" s="10">
        <f>'D) Ecrêtage'!C311</f>
        <v>2865.8382395608655</v>
      </c>
      <c r="N312" s="10">
        <f t="shared" si="48"/>
        <v>3718.9543237572439</v>
      </c>
      <c r="O312" s="58">
        <f t="shared" si="49"/>
        <v>9018.0757008381588</v>
      </c>
      <c r="P312" s="228"/>
      <c r="Q312" s="229"/>
      <c r="R312" s="225"/>
      <c r="S312" s="225"/>
      <c r="T312" s="230"/>
    </row>
    <row r="313" spans="1:20" s="224" customFormat="1" x14ac:dyDescent="0.25">
      <c r="A313" s="327">
        <f>'A) Base RI'!A314</f>
        <v>5938</v>
      </c>
      <c r="B313" s="237" t="str">
        <f>'A) Base RI'!B314</f>
        <v>Yverdon-les-Bains</v>
      </c>
      <c r="C313" s="253">
        <v>1</v>
      </c>
      <c r="D313" s="226">
        <f>'B) D RI'!AA314</f>
        <v>30208</v>
      </c>
      <c r="E313" s="227">
        <f>'B) D RI'!S314</f>
        <v>76.5</v>
      </c>
      <c r="F313" s="10">
        <f>'B) D RI'!R314</f>
        <v>59230964.440580919</v>
      </c>
      <c r="G313" s="10">
        <f>'B) D RI'!U314</f>
        <v>774260.97307948919</v>
      </c>
      <c r="H313" s="42">
        <f>'B) D RI'!T314</f>
        <v>54793381.890580922</v>
      </c>
      <c r="I313" s="10">
        <f t="shared" si="53"/>
        <v>1432506.7160936189</v>
      </c>
      <c r="J313" s="32">
        <f t="shared" si="55"/>
        <v>2537235.9049785272</v>
      </c>
      <c r="K313" s="10">
        <f t="shared" si="54"/>
        <v>0</v>
      </c>
      <c r="L313" s="10">
        <f t="shared" si="51"/>
        <v>2537235.9049785272</v>
      </c>
      <c r="M313" s="10">
        <f>'D) Ecrêtage'!C312</f>
        <v>774260.97307948919</v>
      </c>
      <c r="N313" s="10">
        <f t="shared" si="48"/>
        <v>1004746.5882064844</v>
      </c>
      <c r="O313" s="58">
        <f t="shared" si="49"/>
        <v>1004746.5882064844</v>
      </c>
      <c r="P313" s="228"/>
      <c r="Q313" s="229"/>
      <c r="R313" s="225"/>
      <c r="S313" s="225"/>
      <c r="T313" s="230"/>
    </row>
    <row r="314" spans="1:20" s="224" customFormat="1" x14ac:dyDescent="0.25">
      <c r="A314" s="328">
        <f>'A) Base RI'!A315</f>
        <v>5939</v>
      </c>
      <c r="B314" s="237" t="str">
        <f>'A) Base RI'!B315</f>
        <v>Yvonand</v>
      </c>
      <c r="C314" s="253">
        <v>0</v>
      </c>
      <c r="D314" s="226">
        <f>'B) D RI'!AA315</f>
        <v>3351</v>
      </c>
      <c r="E314" s="227">
        <f>'B) D RI'!S315</f>
        <v>73</v>
      </c>
      <c r="F314" s="10">
        <f>'B) D RI'!R315</f>
        <v>6771586.3839943586</v>
      </c>
      <c r="G314" s="10">
        <f>'B) D RI'!U315</f>
        <v>92761.457314991218</v>
      </c>
      <c r="H314" s="42">
        <f>'B) D RI'!T315</f>
        <v>6252290.1839943584</v>
      </c>
      <c r="I314" s="19">
        <f t="shared" si="53"/>
        <v>171295.62147929749</v>
      </c>
      <c r="J314" s="111">
        <f t="shared" si="55"/>
        <v>281457.80977168446</v>
      </c>
      <c r="K314" s="10">
        <f t="shared" si="54"/>
        <v>171295.62147929749</v>
      </c>
      <c r="L314" s="19">
        <f t="shared" si="51"/>
        <v>110162.18829238697</v>
      </c>
      <c r="M314" s="19">
        <f>'D) Ecrêtage'!C313</f>
        <v>92761.457314991218</v>
      </c>
      <c r="N314" s="19">
        <f>+$N$5*M314</f>
        <v>120375.12026933888</v>
      </c>
      <c r="O314" s="105">
        <f t="shared" si="49"/>
        <v>291670.74174863636</v>
      </c>
      <c r="P314" s="228"/>
      <c r="Q314" s="229"/>
      <c r="R314" s="225"/>
      <c r="S314" s="225"/>
      <c r="T314" s="230"/>
    </row>
    <row r="315" spans="1:20" s="224" customFormat="1" x14ac:dyDescent="0.25">
      <c r="A315" s="31"/>
      <c r="B315" s="124">
        <f>COUNTA(B6:B314)</f>
        <v>309</v>
      </c>
      <c r="C315" s="247">
        <f>SUM(C6:C314)</f>
        <v>52</v>
      </c>
      <c r="D315" s="239">
        <f>SUM(D6:D314)</f>
        <v>794384</v>
      </c>
      <c r="E315" s="239"/>
      <c r="F315" s="239">
        <f t="shared" ref="F315:M315" si="56">SUM(F6:F314)</f>
        <v>2436720079.9053397</v>
      </c>
      <c r="G315" s="239">
        <f t="shared" si="56"/>
        <v>35922747.174706832</v>
      </c>
      <c r="H315" s="239">
        <f t="shared" si="56"/>
        <v>2262369299.2733302</v>
      </c>
      <c r="I315" s="256">
        <f>SUM(I6:I314)</f>
        <v>66722047.376207046</v>
      </c>
      <c r="J315" s="239">
        <f t="shared" si="56"/>
        <v>66722047.376207069</v>
      </c>
      <c r="K315" s="407">
        <f t="shared" si="56"/>
        <v>21306438.720843513</v>
      </c>
      <c r="L315" s="241">
        <f t="shared" si="56"/>
        <v>45415608.65536353</v>
      </c>
      <c r="M315" s="239">
        <f t="shared" si="56"/>
        <v>35922747.174706832</v>
      </c>
      <c r="N315" s="248">
        <f>Paramètres!B67-K315</f>
        <v>46616397.98172459</v>
      </c>
      <c r="O315" s="242">
        <f>SUM(O6:O314)</f>
        <v>67922836.702568084</v>
      </c>
      <c r="P315" s="225"/>
      <c r="R315" s="225"/>
      <c r="S315" s="225"/>
    </row>
    <row r="316" spans="1:20" s="224" customFormat="1" x14ac:dyDescent="0.25">
      <c r="A316" s="223"/>
      <c r="B316" s="223"/>
      <c r="C316" s="223"/>
      <c r="D316" s="223"/>
      <c r="E316" s="223"/>
      <c r="F316" s="223"/>
      <c r="G316" s="223"/>
      <c r="H316" s="223"/>
      <c r="I316" s="254"/>
      <c r="J316" s="223"/>
      <c r="K316" s="223"/>
      <c r="L316" s="231"/>
      <c r="M316" s="223"/>
      <c r="N316" s="231"/>
      <c r="O316" s="223"/>
      <c r="P316" s="225"/>
      <c r="R316" s="225"/>
      <c r="S316" s="225"/>
    </row>
    <row r="317" spans="1:20" x14ac:dyDescent="0.25">
      <c r="I317" s="254"/>
      <c r="J317" s="254"/>
      <c r="K317" s="254"/>
      <c r="L317" s="254"/>
      <c r="M317" s="254"/>
      <c r="N317" s="254"/>
      <c r="O317" s="254"/>
    </row>
  </sheetData>
  <protectedRanges>
    <protectedRange sqref="C6:C314" name="Plage1"/>
  </protectedRanges>
  <mergeCells count="13">
    <mergeCell ref="O4:O5"/>
    <mergeCell ref="B4:B5"/>
    <mergeCell ref="A4:A5"/>
    <mergeCell ref="M4:M5"/>
    <mergeCell ref="L4:L5"/>
    <mergeCell ref="K4:K5"/>
    <mergeCell ref="J4:J5"/>
    <mergeCell ref="H4:H5"/>
    <mergeCell ref="G4:G5"/>
    <mergeCell ref="F4:F5"/>
    <mergeCell ref="E4:E5"/>
    <mergeCell ref="D4:D5"/>
    <mergeCell ref="C4:C5"/>
  </mergeCells>
  <printOptions horizontalCentered="1" verticalCentered="1"/>
  <pageMargins left="0.78740157480314965" right="0.78740157480314965" top="0.98425196850393704" bottom="0.98425196850393704" header="0.51181102362204722" footer="0.51181102362204722"/>
  <pageSetup paperSize="8" fitToHeight="9" orientation="landscape" r:id="rId1"/>
  <headerFooter alignWithMargins="0">
    <oddFooter>&amp;L&amp;8SCL - Division finances communales&amp;C- &amp;N -&amp;R&amp;8ASFiCo/FW/Juillet 2014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rgb="FF00B0F0"/>
  </sheetPr>
  <dimension ref="A1:P317"/>
  <sheetViews>
    <sheetView workbookViewId="0">
      <selection sqref="A1:E1"/>
    </sheetView>
  </sheetViews>
  <sheetFormatPr baseColWidth="10" defaultColWidth="10.75" defaultRowHeight="15" x14ac:dyDescent="0.25"/>
  <cols>
    <col min="1" max="1" width="7.5" style="13" customWidth="1"/>
    <col min="2" max="2" width="20.25" style="13" bestFit="1" customWidth="1"/>
    <col min="3" max="3" width="6.125" style="15" bestFit="1" customWidth="1"/>
    <col min="4" max="4" width="6.5" style="159" bestFit="1" customWidth="1"/>
    <col min="5" max="5" width="8.625" style="159" bestFit="1" customWidth="1"/>
    <col min="6" max="6" width="9.5" style="13" bestFit="1" customWidth="1"/>
    <col min="7" max="7" width="10.625" style="13" customWidth="1"/>
    <col min="8" max="8" width="10.75" style="13" customWidth="1"/>
    <col min="9" max="10" width="9.375" style="13" bestFit="1" customWidth="1"/>
    <col min="11" max="11" width="9.625" style="13" bestFit="1" customWidth="1"/>
    <col min="12" max="12" width="11.25" style="13" bestFit="1" customWidth="1"/>
    <col min="13" max="13" width="8.625" style="13" bestFit="1" customWidth="1"/>
    <col min="14" max="14" width="9.5" style="13" bestFit="1" customWidth="1"/>
    <col min="15" max="15" width="1.375" style="13" customWidth="1"/>
    <col min="16" max="16384" width="10.75" style="13"/>
  </cols>
  <sheetData>
    <row r="1" spans="1:16" s="44" customFormat="1" ht="20.25" customHeight="1" x14ac:dyDescent="0.2">
      <c r="A1" s="526" t="s">
        <v>473</v>
      </c>
      <c r="B1" s="527"/>
      <c r="C1" s="527"/>
      <c r="D1" s="527"/>
      <c r="E1" s="527"/>
      <c r="F1" s="72"/>
      <c r="G1" s="72"/>
      <c r="H1" s="72"/>
      <c r="I1" s="72"/>
      <c r="J1" s="72"/>
      <c r="K1" s="72"/>
      <c r="L1" s="72"/>
      <c r="M1" s="72"/>
      <c r="N1" s="72"/>
    </row>
    <row r="2" spans="1:16" s="44" customFormat="1" ht="20.25" customHeight="1" x14ac:dyDescent="0.2">
      <c r="A2" s="295" t="str">
        <f>Paramètres!B5</f>
        <v>Acomptes 2019</v>
      </c>
      <c r="C2" s="140"/>
      <c r="D2" s="296"/>
      <c r="E2" s="296"/>
      <c r="F2" s="72"/>
      <c r="G2" s="72"/>
      <c r="H2" s="72"/>
      <c r="I2" s="72"/>
      <c r="J2" s="72"/>
      <c r="K2" s="72"/>
      <c r="L2" s="72"/>
      <c r="M2" s="72"/>
      <c r="N2" s="72"/>
    </row>
    <row r="3" spans="1:16" x14ac:dyDescent="0.25">
      <c r="D3" s="13"/>
      <c r="E3" s="13"/>
    </row>
    <row r="4" spans="1:16" ht="53.25" customHeight="1" x14ac:dyDescent="0.25">
      <c r="A4" s="485" t="s">
        <v>46</v>
      </c>
      <c r="B4" s="485" t="s">
        <v>96</v>
      </c>
      <c r="C4" s="506" t="s">
        <v>361</v>
      </c>
      <c r="D4" s="522" t="s">
        <v>362</v>
      </c>
      <c r="E4" s="522" t="s">
        <v>561</v>
      </c>
      <c r="F4" s="522" t="s">
        <v>93</v>
      </c>
      <c r="G4" s="522" t="s">
        <v>145</v>
      </c>
      <c r="H4" s="522" t="s">
        <v>139</v>
      </c>
      <c r="I4" s="522" t="s">
        <v>412</v>
      </c>
      <c r="J4" s="522" t="s">
        <v>211</v>
      </c>
      <c r="K4" s="522" t="s">
        <v>126</v>
      </c>
      <c r="L4" s="522" t="s">
        <v>212</v>
      </c>
      <c r="M4" s="522" t="s">
        <v>492</v>
      </c>
      <c r="N4" s="524" t="s">
        <v>138</v>
      </c>
      <c r="O4" s="521" t="s">
        <v>512</v>
      </c>
    </row>
    <row r="5" spans="1:16" ht="14.25" customHeight="1" x14ac:dyDescent="0.25">
      <c r="A5" s="487"/>
      <c r="B5" s="487"/>
      <c r="C5" s="513"/>
      <c r="D5" s="528"/>
      <c r="E5" s="523"/>
      <c r="F5" s="528"/>
      <c r="G5" s="523"/>
      <c r="H5" s="523"/>
      <c r="I5" s="523"/>
      <c r="J5" s="528"/>
      <c r="K5" s="523"/>
      <c r="L5" s="523"/>
      <c r="M5" s="523"/>
      <c r="N5" s="525"/>
      <c r="O5" s="521"/>
    </row>
    <row r="6" spans="1:16" s="163" customFormat="1" x14ac:dyDescent="0.25">
      <c r="A6" s="329">
        <f>'B) D RI'!A7</f>
        <v>5401</v>
      </c>
      <c r="B6" s="161" t="str">
        <f>'B) D RI'!B7</f>
        <v>Aigle</v>
      </c>
      <c r="C6" s="334">
        <f>'B) D RI'!S7</f>
        <v>67.5</v>
      </c>
      <c r="D6" s="335">
        <f>'B) D RI'!AA7</f>
        <v>10153</v>
      </c>
      <c r="E6" s="332">
        <f>'D) Ecrêtage'!C5</f>
        <v>263862.68069135805</v>
      </c>
      <c r="F6" s="166">
        <f>'E) Fact soc'!G11</f>
        <v>5443503.6228761123</v>
      </c>
      <c r="G6" s="333">
        <f>'H) Péréquation directe'!I16</f>
        <v>-3402998.1438051183</v>
      </c>
      <c r="H6" s="166">
        <f>+'I) Dépenses thématiques'!O5</f>
        <v>-2431517.1553333332</v>
      </c>
      <c r="I6" s="333">
        <f>'K) Plafonnement aide'!J5</f>
        <v>0</v>
      </c>
      <c r="J6" s="166">
        <f>'J) Plafonnement effort'!I5</f>
        <v>0</v>
      </c>
      <c r="K6" s="333">
        <f>'L) Plafonnement taux'!Q6</f>
        <v>0</v>
      </c>
      <c r="L6" s="330">
        <f>F6+G6+H6+I6+J6+K6</f>
        <v>-391011.67626233911</v>
      </c>
      <c r="M6" s="244">
        <f>'M) Police'!O6</f>
        <v>342410.55328568275</v>
      </c>
      <c r="N6" s="243">
        <f>L6+M6</f>
        <v>-48601.122976656363</v>
      </c>
      <c r="P6" s="339"/>
    </row>
    <row r="7" spans="1:16" s="163" customFormat="1" x14ac:dyDescent="0.25">
      <c r="A7" s="160">
        <f>'B) D RI'!A8</f>
        <v>5402</v>
      </c>
      <c r="B7" s="161" t="str">
        <f>'B) D RI'!B8</f>
        <v>Bex</v>
      </c>
      <c r="C7" s="334">
        <f>'B) D RI'!S8</f>
        <v>71</v>
      </c>
      <c r="D7" s="162">
        <f>'B) D RI'!AA8</f>
        <v>7719</v>
      </c>
      <c r="E7" s="332">
        <f>'D) Ecrêtage'!C6</f>
        <v>173630.8553521127</v>
      </c>
      <c r="F7" s="336">
        <f>'E) Fact soc'!G12</f>
        <v>3626969.70006361</v>
      </c>
      <c r="G7" s="333">
        <f>'H) Péréquation directe'!I17</f>
        <v>-3459955.3313867012</v>
      </c>
      <c r="H7" s="336">
        <f>+'I) Dépenses thématiques'!O6</f>
        <v>-1887489.9763732394</v>
      </c>
      <c r="I7" s="333">
        <f>'K) Plafonnement aide'!J6</f>
        <v>0</v>
      </c>
      <c r="J7" s="336">
        <f>'J) Plafonnement effort'!I6</f>
        <v>0</v>
      </c>
      <c r="K7" s="333">
        <f>'L) Plafonnement taux'!Q7</f>
        <v>0</v>
      </c>
      <c r="L7" s="331">
        <f t="shared" ref="L7:L61" si="0">F7+G7+H7+I7+J7+K7</f>
        <v>-1720475.6076963306</v>
      </c>
      <c r="M7" s="244">
        <f>'M) Police'!O7</f>
        <v>225318.09762868998</v>
      </c>
      <c r="N7" s="244">
        <f t="shared" ref="N7:N70" si="1">L7+M7</f>
        <v>-1495157.5100676406</v>
      </c>
      <c r="P7" s="339"/>
    </row>
    <row r="8" spans="1:16" s="163" customFormat="1" x14ac:dyDescent="0.25">
      <c r="A8" s="160">
        <f>'B) D RI'!A9</f>
        <v>5403</v>
      </c>
      <c r="B8" s="161" t="str">
        <f>'B) D RI'!B9</f>
        <v>Chessel</v>
      </c>
      <c r="C8" s="334">
        <f>'B) D RI'!S9</f>
        <v>74</v>
      </c>
      <c r="D8" s="162">
        <f>'B) D RI'!AA9</f>
        <v>403</v>
      </c>
      <c r="E8" s="332">
        <f>'D) Ecrêtage'!C7</f>
        <v>9734.1508108108119</v>
      </c>
      <c r="F8" s="336">
        <f>'E) Fact soc'!G13</f>
        <v>189188.98863288161</v>
      </c>
      <c r="G8" s="333">
        <f>'H) Péréquation directe'!I18</f>
        <v>-40015.714851471275</v>
      </c>
      <c r="H8" s="336">
        <f>+'I) Dépenses thématiques'!O7</f>
        <v>-34571.732027027021</v>
      </c>
      <c r="I8" s="333">
        <f>'K) Plafonnement aide'!J7</f>
        <v>0</v>
      </c>
      <c r="J8" s="336">
        <f>'J) Plafonnement effort'!I7</f>
        <v>0</v>
      </c>
      <c r="K8" s="333">
        <f>'L) Plafonnement taux'!Q8</f>
        <v>0</v>
      </c>
      <c r="L8" s="331">
        <f t="shared" si="0"/>
        <v>114601.5417543833</v>
      </c>
      <c r="M8" s="244">
        <f>'M) Police'!O8</f>
        <v>30552.504409132591</v>
      </c>
      <c r="N8" s="244">
        <f t="shared" si="1"/>
        <v>145154.04616351589</v>
      </c>
      <c r="P8" s="339"/>
    </row>
    <row r="9" spans="1:16" s="163" customFormat="1" x14ac:dyDescent="0.25">
      <c r="A9" s="160">
        <f>'B) D RI'!A10</f>
        <v>5404</v>
      </c>
      <c r="B9" s="161" t="str">
        <f>'B) D RI'!B10</f>
        <v>Corbeyrier</v>
      </c>
      <c r="C9" s="334">
        <f>'B) D RI'!S10</f>
        <v>70</v>
      </c>
      <c r="D9" s="162">
        <f>'B) D RI'!AA10</f>
        <v>437</v>
      </c>
      <c r="E9" s="332">
        <f>'D) Ecrêtage'!C8</f>
        <v>10864.664095238095</v>
      </c>
      <c r="F9" s="336">
        <f>'E) Fact soc'!G14</f>
        <v>368780.04672703356</v>
      </c>
      <c r="G9" s="333">
        <f>'H) Péréquation directe'!I19</f>
        <v>-10063.503505422093</v>
      </c>
      <c r="H9" s="336">
        <f>+'I) Dépenses thématiques'!O8</f>
        <v>-222652.51735714285</v>
      </c>
      <c r="I9" s="333">
        <f>'K) Plafonnement aide'!J8</f>
        <v>0</v>
      </c>
      <c r="J9" s="336">
        <f>'J) Plafonnement effort'!I8</f>
        <v>0</v>
      </c>
      <c r="K9" s="333">
        <f>'L) Plafonnement taux'!Q9</f>
        <v>0</v>
      </c>
      <c r="L9" s="331">
        <f t="shared" si="0"/>
        <v>136064.02586446863</v>
      </c>
      <c r="M9" s="244">
        <f>'M) Police'!O9</f>
        <v>33657.198512355171</v>
      </c>
      <c r="N9" s="244">
        <f t="shared" si="1"/>
        <v>169721.22437682381</v>
      </c>
      <c r="P9" s="339"/>
    </row>
    <row r="10" spans="1:16" s="163" customFormat="1" x14ac:dyDescent="0.25">
      <c r="A10" s="160">
        <f>'B) D RI'!A11</f>
        <v>5405</v>
      </c>
      <c r="B10" s="161" t="str">
        <f>'B) D RI'!B11</f>
        <v>Gryon</v>
      </c>
      <c r="C10" s="334">
        <f>'B) D RI'!S11</f>
        <v>75</v>
      </c>
      <c r="D10" s="162">
        <f>'B) D RI'!AA11</f>
        <v>1364</v>
      </c>
      <c r="E10" s="332">
        <f>'D) Ecrêtage'!C9</f>
        <v>69822.459644444432</v>
      </c>
      <c r="F10" s="336">
        <f>'E) Fact soc'!G15</f>
        <v>1547747.8613343339</v>
      </c>
      <c r="G10" s="333">
        <f>'H) Péréquation directe'!I20</f>
        <v>1147952.2008540872</v>
      </c>
      <c r="H10" s="336">
        <f>+'I) Dépenses thématiques'!O9</f>
        <v>-825000.24213333335</v>
      </c>
      <c r="I10" s="333">
        <f>'K) Plafonnement aide'!J9</f>
        <v>0</v>
      </c>
      <c r="J10" s="336">
        <f>'J) Plafonnement effort'!I9</f>
        <v>0</v>
      </c>
      <c r="K10" s="333">
        <f>'L) Plafonnement taux'!Q10</f>
        <v>0</v>
      </c>
      <c r="L10" s="331">
        <f t="shared" si="0"/>
        <v>1870699.820055088</v>
      </c>
      <c r="M10" s="244">
        <f>'M) Police'!O10</f>
        <v>205172.87431802164</v>
      </c>
      <c r="N10" s="244">
        <f t="shared" si="1"/>
        <v>2075872.6943731096</v>
      </c>
      <c r="P10" s="339"/>
    </row>
    <row r="11" spans="1:16" s="163" customFormat="1" x14ac:dyDescent="0.25">
      <c r="A11" s="160">
        <f>'B) D RI'!A12</f>
        <v>5406</v>
      </c>
      <c r="B11" s="161" t="str">
        <f>'B) D RI'!B12</f>
        <v>Lavey-Morcles</v>
      </c>
      <c r="C11" s="334">
        <f>'B) D RI'!S12</f>
        <v>71</v>
      </c>
      <c r="D11" s="162">
        <f>'B) D RI'!AA12</f>
        <v>926</v>
      </c>
      <c r="E11" s="332">
        <f>'D) Ecrêtage'!C10</f>
        <v>21528.925666305528</v>
      </c>
      <c r="F11" s="336">
        <f>'E) Fact soc'!G16</f>
        <v>417394.85946004372</v>
      </c>
      <c r="G11" s="333">
        <f>'H) Péréquation directe'!I21</f>
        <v>-91749.807149337372</v>
      </c>
      <c r="H11" s="336">
        <f>+'I) Dépenses thématiques'!O10</f>
        <v>-160427.00175243767</v>
      </c>
      <c r="I11" s="333">
        <f>'K) Plafonnement aide'!J10</f>
        <v>0</v>
      </c>
      <c r="J11" s="336">
        <f>'J) Plafonnement effort'!I10</f>
        <v>0</v>
      </c>
      <c r="K11" s="333">
        <f>'L) Plafonnement taux'!Q11</f>
        <v>0</v>
      </c>
      <c r="L11" s="331">
        <f t="shared" si="0"/>
        <v>165218.05055826867</v>
      </c>
      <c r="M11" s="244">
        <f>'M) Police'!O11</f>
        <v>66681.782797438282</v>
      </c>
      <c r="N11" s="244">
        <f t="shared" si="1"/>
        <v>231899.83335570694</v>
      </c>
      <c r="P11" s="339"/>
    </row>
    <row r="12" spans="1:16" s="163" customFormat="1" x14ac:dyDescent="0.25">
      <c r="A12" s="160">
        <f>'B) D RI'!A13</f>
        <v>5407</v>
      </c>
      <c r="B12" s="161" t="str">
        <f>'B) D RI'!B13</f>
        <v>Leysin</v>
      </c>
      <c r="C12" s="334">
        <f>'B) D RI'!S13</f>
        <v>78</v>
      </c>
      <c r="D12" s="162">
        <f>'B) D RI'!AA13</f>
        <v>4023</v>
      </c>
      <c r="E12" s="332">
        <f>'D) Ecrêtage'!C11</f>
        <v>90534.062564102569</v>
      </c>
      <c r="F12" s="336">
        <f>'E) Fact soc'!G17</f>
        <v>1779224.0782061846</v>
      </c>
      <c r="G12" s="333">
        <f>'H) Péréquation directe'!I22</f>
        <v>-1721737.3024390822</v>
      </c>
      <c r="H12" s="336">
        <f>+'I) Dépenses thématiques'!O11</f>
        <v>-1969396.0776923075</v>
      </c>
      <c r="I12" s="333">
        <f>'K) Plafonnement aide'!J11</f>
        <v>0</v>
      </c>
      <c r="J12" s="336">
        <f>'J) Plafonnement effort'!I11</f>
        <v>0</v>
      </c>
      <c r="K12" s="333">
        <f>'L) Plafonnement taux'!Q12</f>
        <v>0</v>
      </c>
      <c r="L12" s="331">
        <f t="shared" si="0"/>
        <v>-1911909.3019252052</v>
      </c>
      <c r="M12" s="244">
        <f>'M) Police'!O12</f>
        <v>276911.86119068391</v>
      </c>
      <c r="N12" s="244">
        <f t="shared" si="1"/>
        <v>-1634997.4407345213</v>
      </c>
      <c r="P12" s="339"/>
    </row>
    <row r="13" spans="1:16" s="163" customFormat="1" x14ac:dyDescent="0.25">
      <c r="A13" s="160">
        <f>'B) D RI'!A14</f>
        <v>5408</v>
      </c>
      <c r="B13" s="161" t="str">
        <f>'B) D RI'!B14</f>
        <v>Noville</v>
      </c>
      <c r="C13" s="334">
        <f>'B) D RI'!S14</f>
        <v>78.5</v>
      </c>
      <c r="D13" s="162">
        <f>'B) D RI'!AA14</f>
        <v>1055</v>
      </c>
      <c r="E13" s="332">
        <f>'D) Ecrêtage'!C12</f>
        <v>31735.72989384289</v>
      </c>
      <c r="F13" s="336">
        <f>'E) Fact soc'!G18</f>
        <v>642874.19804881769</v>
      </c>
      <c r="G13" s="333">
        <f>'H) Péréquation directe'!I23</f>
        <v>100822.06005046202</v>
      </c>
      <c r="H13" s="336">
        <f>+'I) Dépenses thématiques'!O12</f>
        <v>-196887.32321656047</v>
      </c>
      <c r="I13" s="333">
        <f>'K) Plafonnement aide'!J12</f>
        <v>0</v>
      </c>
      <c r="J13" s="336">
        <f>'J) Plafonnement effort'!I12</f>
        <v>0</v>
      </c>
      <c r="K13" s="333">
        <f>'L) Plafonnement taux'!Q13</f>
        <v>0</v>
      </c>
      <c r="L13" s="331">
        <f t="shared" si="0"/>
        <v>546808.9348827193</v>
      </c>
      <c r="M13" s="244">
        <f>'M) Police'!O13</f>
        <v>99775.420327783111</v>
      </c>
      <c r="N13" s="244">
        <f t="shared" si="1"/>
        <v>646584.3552105024</v>
      </c>
      <c r="P13" s="339"/>
    </row>
    <row r="14" spans="1:16" s="163" customFormat="1" x14ac:dyDescent="0.25">
      <c r="A14" s="160">
        <f>'B) D RI'!A15</f>
        <v>5409</v>
      </c>
      <c r="B14" s="161" t="str">
        <f>'B) D RI'!B15</f>
        <v>Ollon</v>
      </c>
      <c r="C14" s="334">
        <f>'B) D RI'!S15</f>
        <v>68</v>
      </c>
      <c r="D14" s="162">
        <f>'B) D RI'!AA15</f>
        <v>7494</v>
      </c>
      <c r="E14" s="332">
        <f>'D) Ecrêtage'!C13</f>
        <v>367365.91906108597</v>
      </c>
      <c r="F14" s="336">
        <f>'E) Fact soc'!G19</f>
        <v>7650536.5556577919</v>
      </c>
      <c r="G14" s="333">
        <f>'H) Péréquation directe'!I24</f>
        <v>4070519.1566801942</v>
      </c>
      <c r="H14" s="336">
        <f>+'I) Dépenses thématiques'!O13</f>
        <v>-2056715.7963376697</v>
      </c>
      <c r="I14" s="333">
        <f>'K) Plafonnement aide'!J13</f>
        <v>0</v>
      </c>
      <c r="J14" s="336">
        <f>'J) Plafonnement effort'!I13</f>
        <v>0</v>
      </c>
      <c r="K14" s="333">
        <f>'L) Plafonnement taux'!Q14</f>
        <v>0</v>
      </c>
      <c r="L14" s="331">
        <f t="shared" si="0"/>
        <v>9664339.9160003159</v>
      </c>
      <c r="M14" s="244">
        <f>'M) Police'!O14</f>
        <v>476725.1180592195</v>
      </c>
      <c r="N14" s="244">
        <f t="shared" si="1"/>
        <v>10141065.034059536</v>
      </c>
      <c r="P14" s="339"/>
    </row>
    <row r="15" spans="1:16" s="163" customFormat="1" x14ac:dyDescent="0.25">
      <c r="A15" s="160">
        <f>'B) D RI'!A16</f>
        <v>5410</v>
      </c>
      <c r="B15" s="161" t="str">
        <f>'B) D RI'!B16</f>
        <v>Ormont-Dessous</v>
      </c>
      <c r="C15" s="334">
        <f>'B) D RI'!S16</f>
        <v>78.5</v>
      </c>
      <c r="D15" s="162">
        <f>'B) D RI'!AA16</f>
        <v>1117</v>
      </c>
      <c r="E15" s="332">
        <f>'D) Ecrêtage'!C14</f>
        <v>37585.850743099792</v>
      </c>
      <c r="F15" s="336">
        <f>'E) Fact soc'!G20</f>
        <v>794983.84045456338</v>
      </c>
      <c r="G15" s="333">
        <f>'H) Péréquation directe'!I25</f>
        <v>271181.73291381978</v>
      </c>
      <c r="H15" s="336">
        <f>+'I) Dépenses thématiques'!O14</f>
        <v>-911913.25748407654</v>
      </c>
      <c r="I15" s="333">
        <f>'K) Plafonnement aide'!J14</f>
        <v>0</v>
      </c>
      <c r="J15" s="336">
        <f>'J) Plafonnement effort'!I14</f>
        <v>0</v>
      </c>
      <c r="K15" s="333">
        <f>'L) Plafonnement taux'!Q15</f>
        <v>0</v>
      </c>
      <c r="L15" s="331">
        <f t="shared" si="0"/>
        <v>154252.31588430656</v>
      </c>
      <c r="M15" s="244">
        <f>'M) Police'!O15</f>
        <v>114483.52337299187</v>
      </c>
      <c r="N15" s="244">
        <f t="shared" si="1"/>
        <v>268735.83925729844</v>
      </c>
      <c r="P15" s="339"/>
    </row>
    <row r="16" spans="1:16" s="163" customFormat="1" x14ac:dyDescent="0.25">
      <c r="A16" s="160">
        <f>'B) D RI'!A17</f>
        <v>5411</v>
      </c>
      <c r="B16" s="161" t="str">
        <f>'B) D RI'!B17</f>
        <v>Ormont-Dessus</v>
      </c>
      <c r="C16" s="334">
        <f>'B) D RI'!S17</f>
        <v>76</v>
      </c>
      <c r="D16" s="162">
        <f>'B) D RI'!AA17</f>
        <v>1467</v>
      </c>
      <c r="E16" s="332">
        <f>'D) Ecrêtage'!C15</f>
        <v>78533.565482456135</v>
      </c>
      <c r="F16" s="336">
        <f>'E) Fact soc'!G21</f>
        <v>1687079.9865265856</v>
      </c>
      <c r="G16" s="333">
        <f>'H) Péréquation directe'!I26</f>
        <v>1286666.3148272885</v>
      </c>
      <c r="H16" s="336">
        <f>+'I) Dépenses thématiques'!O15</f>
        <v>-923482.43299342121</v>
      </c>
      <c r="I16" s="333">
        <f>'K) Plafonnement aide'!J15</f>
        <v>0</v>
      </c>
      <c r="J16" s="336">
        <f>'J) Plafonnement effort'!I15</f>
        <v>0</v>
      </c>
      <c r="K16" s="333">
        <f>'L) Plafonnement taux'!Q16</f>
        <v>0</v>
      </c>
      <c r="L16" s="331">
        <f t="shared" si="0"/>
        <v>2050263.8683604528</v>
      </c>
      <c r="M16" s="244">
        <f>'M) Police'!O16</f>
        <v>225128.33773095364</v>
      </c>
      <c r="N16" s="244">
        <f t="shared" si="1"/>
        <v>2275392.2060914063</v>
      </c>
      <c r="P16" s="339"/>
    </row>
    <row r="17" spans="1:16" s="163" customFormat="1" x14ac:dyDescent="0.25">
      <c r="A17" s="160">
        <f>'B) D RI'!A18</f>
        <v>5412</v>
      </c>
      <c r="B17" s="161" t="str">
        <f>'B) D RI'!B18</f>
        <v>Rennaz</v>
      </c>
      <c r="C17" s="334">
        <f>'B) D RI'!S18</f>
        <v>67.5</v>
      </c>
      <c r="D17" s="162">
        <f>'B) D RI'!AA18</f>
        <v>839</v>
      </c>
      <c r="E17" s="332">
        <f>'D) Ecrêtage'!C16</f>
        <v>30683.439407407404</v>
      </c>
      <c r="F17" s="336">
        <f>'E) Fact soc'!G22</f>
        <v>560455.90099823126</v>
      </c>
      <c r="G17" s="333">
        <f>'H) Péréquation directe'!I27</f>
        <v>378827.10353546229</v>
      </c>
      <c r="H17" s="336">
        <f>+'I) Dépenses thématiques'!O16</f>
        <v>0</v>
      </c>
      <c r="I17" s="333">
        <f>'K) Plafonnement aide'!J16</f>
        <v>0</v>
      </c>
      <c r="J17" s="336">
        <f>'J) Plafonnement effort'!I16</f>
        <v>0</v>
      </c>
      <c r="K17" s="333">
        <f>'L) Plafonnement taux'!Q17</f>
        <v>0</v>
      </c>
      <c r="L17" s="331">
        <f t="shared" si="0"/>
        <v>939283.00453369354</v>
      </c>
      <c r="M17" s="244">
        <f>'M) Police'!O17</f>
        <v>94674.249696027342</v>
      </c>
      <c r="N17" s="244">
        <f t="shared" si="1"/>
        <v>1033957.2542297209</v>
      </c>
      <c r="P17" s="339"/>
    </row>
    <row r="18" spans="1:16" s="163" customFormat="1" x14ac:dyDescent="0.25">
      <c r="A18" s="160">
        <f>'B) D RI'!A19</f>
        <v>5413</v>
      </c>
      <c r="B18" s="161" t="str">
        <f>'B) D RI'!B19</f>
        <v>Roche</v>
      </c>
      <c r="C18" s="334">
        <f>'B) D RI'!S19</f>
        <v>68</v>
      </c>
      <c r="D18" s="162">
        <f>'B) D RI'!AA19</f>
        <v>1650</v>
      </c>
      <c r="E18" s="332">
        <f>'D) Ecrêtage'!C17</f>
        <v>36754.028088235296</v>
      </c>
      <c r="F18" s="336">
        <f>'E) Fact soc'!G23</f>
        <v>742974.07606904092</v>
      </c>
      <c r="G18" s="333">
        <f>'H) Péréquation directe'!I28</f>
        <v>-309550.10468791029</v>
      </c>
      <c r="H18" s="336">
        <f>+'I) Dépenses thématiques'!O17</f>
        <v>-41267.831470588222</v>
      </c>
      <c r="I18" s="333">
        <f>'K) Plafonnement aide'!J17</f>
        <v>0</v>
      </c>
      <c r="J18" s="336">
        <f>'J) Plafonnement effort'!I17</f>
        <v>0</v>
      </c>
      <c r="K18" s="333">
        <f>'L) Plafonnement taux'!Q18</f>
        <v>0</v>
      </c>
      <c r="L18" s="331">
        <f t="shared" si="0"/>
        <v>392156.13991054241</v>
      </c>
      <c r="M18" s="244">
        <f>'M) Police'!O18</f>
        <v>113756.84906024564</v>
      </c>
      <c r="N18" s="244">
        <f t="shared" si="1"/>
        <v>505912.98897078808</v>
      </c>
      <c r="P18" s="339"/>
    </row>
    <row r="19" spans="1:16" s="163" customFormat="1" x14ac:dyDescent="0.25">
      <c r="A19" s="160">
        <f>'B) D RI'!A20</f>
        <v>5414</v>
      </c>
      <c r="B19" s="161" t="str">
        <f>'B) D RI'!B20</f>
        <v>Villeneuve</v>
      </c>
      <c r="C19" s="334">
        <f>'B) D RI'!S20</f>
        <v>69</v>
      </c>
      <c r="D19" s="162">
        <f>'B) D RI'!AA20</f>
        <v>5672</v>
      </c>
      <c r="E19" s="332">
        <f>'D) Ecrêtage'!C18</f>
        <v>161374.0856521739</v>
      </c>
      <c r="F19" s="336">
        <f>'E) Fact soc'!G24</f>
        <v>3509024.4457131131</v>
      </c>
      <c r="G19" s="333">
        <f>'H) Péréquation directe'!I29</f>
        <v>-774410.0178169678</v>
      </c>
      <c r="H19" s="336">
        <f>+'I) Dépenses thématiques'!O18</f>
        <v>-1630592.4218478263</v>
      </c>
      <c r="I19" s="333">
        <f>'K) Plafonnement aide'!J18</f>
        <v>0</v>
      </c>
      <c r="J19" s="336">
        <f>'J) Plafonnement effort'!I18</f>
        <v>0</v>
      </c>
      <c r="K19" s="333">
        <f>'L) Plafonnement taux'!Q19</f>
        <v>0</v>
      </c>
      <c r="L19" s="331">
        <f t="shared" si="0"/>
        <v>1104022.0060483189</v>
      </c>
      <c r="M19" s="244">
        <f>'M) Police'!O19</f>
        <v>498244.98458386352</v>
      </c>
      <c r="N19" s="244">
        <f t="shared" si="1"/>
        <v>1602266.9906321825</v>
      </c>
      <c r="P19" s="339"/>
    </row>
    <row r="20" spans="1:16" s="163" customFormat="1" x14ac:dyDescent="0.25">
      <c r="A20" s="160">
        <f>'B) D RI'!A21</f>
        <v>5415</v>
      </c>
      <c r="B20" s="161" t="str">
        <f>'B) D RI'!B21</f>
        <v>Yvorne</v>
      </c>
      <c r="C20" s="334">
        <f>'B) D RI'!S21</f>
        <v>71.5</v>
      </c>
      <c r="D20" s="162">
        <f>'B) D RI'!AA21</f>
        <v>1057</v>
      </c>
      <c r="E20" s="332">
        <f>'D) Ecrêtage'!C19</f>
        <v>34416.914731934739</v>
      </c>
      <c r="F20" s="336">
        <f>'E) Fact soc'!G25</f>
        <v>668783.356899512</v>
      </c>
      <c r="G20" s="333">
        <f>'H) Péréquation directe'!I30</f>
        <v>273260.81168724352</v>
      </c>
      <c r="H20" s="336">
        <f>+'I) Dépenses thématiques'!O19</f>
        <v>-105626.07555944051</v>
      </c>
      <c r="I20" s="333">
        <f>'K) Plafonnement aide'!J19</f>
        <v>0</v>
      </c>
      <c r="J20" s="336">
        <f>'J) Plafonnement effort'!I19</f>
        <v>0</v>
      </c>
      <c r="K20" s="333">
        <f>'L) Plafonnement taux'!Q20</f>
        <v>0</v>
      </c>
      <c r="L20" s="331">
        <f t="shared" si="0"/>
        <v>836418.09302731499</v>
      </c>
      <c r="M20" s="244">
        <f>'M) Police'!O20</f>
        <v>107238.5126686835</v>
      </c>
      <c r="N20" s="244">
        <f t="shared" si="1"/>
        <v>943656.60569599853</v>
      </c>
      <c r="P20" s="339"/>
    </row>
    <row r="21" spans="1:16" s="163" customFormat="1" x14ac:dyDescent="0.25">
      <c r="A21" s="160">
        <f>'B) D RI'!A22</f>
        <v>5421</v>
      </c>
      <c r="B21" s="161" t="str">
        <f>'B) D RI'!B22</f>
        <v>Apples</v>
      </c>
      <c r="C21" s="334">
        <f>'B) D RI'!S22</f>
        <v>76</v>
      </c>
      <c r="D21" s="162">
        <f>'B) D RI'!AA22</f>
        <v>1437</v>
      </c>
      <c r="E21" s="332">
        <f>'D) Ecrêtage'!C20</f>
        <v>58623.163421052632</v>
      </c>
      <c r="F21" s="336">
        <f>'E) Fact soc'!G26</f>
        <v>1054709.0505615911</v>
      </c>
      <c r="G21" s="333">
        <f>'H) Péréquation directe'!I31</f>
        <v>752382.98951016122</v>
      </c>
      <c r="H21" s="336">
        <f>+'I) Dépenses thématiques'!O20</f>
        <v>-178638.39690789473</v>
      </c>
      <c r="I21" s="333">
        <f>'K) Plafonnement aide'!J20</f>
        <v>0</v>
      </c>
      <c r="J21" s="336">
        <f>'J) Plafonnement effort'!I20</f>
        <v>0</v>
      </c>
      <c r="K21" s="333">
        <f>'L) Plafonnement taux'!Q21</f>
        <v>0</v>
      </c>
      <c r="L21" s="331">
        <f t="shared" si="0"/>
        <v>1628453.6431638577</v>
      </c>
      <c r="M21" s="244">
        <f>'M) Police'!O21</f>
        <v>185713.85020110515</v>
      </c>
      <c r="N21" s="244">
        <f t="shared" si="1"/>
        <v>1814167.493364963</v>
      </c>
      <c r="P21" s="339"/>
    </row>
    <row r="22" spans="1:16" s="163" customFormat="1" x14ac:dyDescent="0.25">
      <c r="A22" s="160">
        <f>'B) D RI'!A23</f>
        <v>5422</v>
      </c>
      <c r="B22" s="161" t="str">
        <f>'B) D RI'!B23</f>
        <v>Aubonne</v>
      </c>
      <c r="C22" s="334">
        <f>'B) D RI'!S23</f>
        <v>68</v>
      </c>
      <c r="D22" s="162">
        <f>'B) D RI'!AA23</f>
        <v>3269</v>
      </c>
      <c r="E22" s="332">
        <f>'D) Ecrêtage'!C21</f>
        <v>244308.18220588236</v>
      </c>
      <c r="F22" s="336">
        <f>'E) Fact soc'!G27</f>
        <v>6476211.17927917</v>
      </c>
      <c r="G22" s="333">
        <f>'H) Péréquation directe'!I32</f>
        <v>3941242.0209387159</v>
      </c>
      <c r="H22" s="336">
        <f>+'I) Dépenses thématiques'!O21</f>
        <v>-19934.65676470584</v>
      </c>
      <c r="I22" s="333">
        <f>'K) Plafonnement aide'!J21</f>
        <v>0</v>
      </c>
      <c r="J22" s="336">
        <f>'J) Plafonnement effort'!I21</f>
        <v>0</v>
      </c>
      <c r="K22" s="333">
        <f>'L) Plafonnement taux'!Q22</f>
        <v>0</v>
      </c>
      <c r="L22" s="331">
        <f t="shared" si="0"/>
        <v>10397518.543453179</v>
      </c>
      <c r="M22" s="244">
        <f>'M) Police'!O22</f>
        <v>591605.43120644067</v>
      </c>
      <c r="N22" s="244">
        <f t="shared" si="1"/>
        <v>10989123.97465962</v>
      </c>
      <c r="P22" s="339"/>
    </row>
    <row r="23" spans="1:16" s="163" customFormat="1" x14ac:dyDescent="0.25">
      <c r="A23" s="160">
        <f>'B) D RI'!A24</f>
        <v>5423</v>
      </c>
      <c r="B23" s="161" t="str">
        <f>'B) D RI'!B24</f>
        <v>Ballens</v>
      </c>
      <c r="C23" s="334">
        <f>'B) D RI'!S24</f>
        <v>69</v>
      </c>
      <c r="D23" s="162">
        <f>'B) D RI'!AA24</f>
        <v>527</v>
      </c>
      <c r="E23" s="332">
        <f>'D) Ecrêtage'!C22</f>
        <v>16828.247681159421</v>
      </c>
      <c r="F23" s="336">
        <f>'E) Fact soc'!G28</f>
        <v>335806.84638763225</v>
      </c>
      <c r="G23" s="333">
        <f>'H) Péréquation directe'!I33</f>
        <v>138976.58046150155</v>
      </c>
      <c r="H23" s="336">
        <f>+'I) Dépenses thématiques'!O22</f>
        <v>-55608.763913043476</v>
      </c>
      <c r="I23" s="333">
        <f>'K) Plafonnement aide'!J22</f>
        <v>0</v>
      </c>
      <c r="J23" s="336">
        <f>'J) Plafonnement effort'!I22</f>
        <v>0</v>
      </c>
      <c r="K23" s="333">
        <f>'L) Plafonnement taux'!Q23</f>
        <v>0</v>
      </c>
      <c r="L23" s="331">
        <f t="shared" si="0"/>
        <v>419174.66293609032</v>
      </c>
      <c r="M23" s="244">
        <f>'M) Police'!O23</f>
        <v>53222.478883660981</v>
      </c>
      <c r="N23" s="244">
        <f t="shared" si="1"/>
        <v>472397.1418197513</v>
      </c>
      <c r="P23" s="339"/>
    </row>
    <row r="24" spans="1:16" s="163" customFormat="1" x14ac:dyDescent="0.25">
      <c r="A24" s="160">
        <f>'B) D RI'!A25</f>
        <v>5424</v>
      </c>
      <c r="B24" s="161" t="str">
        <f>'B) D RI'!B25</f>
        <v>Berolle</v>
      </c>
      <c r="C24" s="334">
        <f>'B) D RI'!S25</f>
        <v>77</v>
      </c>
      <c r="D24" s="162">
        <f>'B) D RI'!AA25</f>
        <v>301</v>
      </c>
      <c r="E24" s="332">
        <f>'D) Ecrêtage'!C23</f>
        <v>11334.098571428574</v>
      </c>
      <c r="F24" s="336">
        <f>'E) Fact soc'!G29</f>
        <v>199018.47413455893</v>
      </c>
      <c r="G24" s="333">
        <f>'H) Péréquation directe'!I34</f>
        <v>135904.14504975994</v>
      </c>
      <c r="H24" s="336">
        <f>+'I) Dépenses thématiques'!O23</f>
        <v>-11932.658571428554</v>
      </c>
      <c r="I24" s="333">
        <f>'K) Plafonnement aide'!J23</f>
        <v>0</v>
      </c>
      <c r="J24" s="336">
        <f>'J) Plafonnement effort'!I23</f>
        <v>0</v>
      </c>
      <c r="K24" s="333">
        <f>'L) Plafonnement taux'!Q24</f>
        <v>0</v>
      </c>
      <c r="L24" s="331">
        <f t="shared" si="0"/>
        <v>322989.96061289031</v>
      </c>
      <c r="M24" s="244">
        <f>'M) Police'!O24</f>
        <v>36083.194691089506</v>
      </c>
      <c r="N24" s="244">
        <f t="shared" si="1"/>
        <v>359073.15530397982</v>
      </c>
      <c r="P24" s="339"/>
    </row>
    <row r="25" spans="1:16" s="163" customFormat="1" x14ac:dyDescent="0.25">
      <c r="A25" s="160">
        <f>'B) D RI'!A26</f>
        <v>5425</v>
      </c>
      <c r="B25" s="161" t="str">
        <f>'B) D RI'!B26</f>
        <v>Bière</v>
      </c>
      <c r="C25" s="334">
        <f>'B) D RI'!S26</f>
        <v>68</v>
      </c>
      <c r="D25" s="162">
        <f>'B) D RI'!AA26</f>
        <v>1577</v>
      </c>
      <c r="E25" s="332">
        <f>'D) Ecrêtage'!C24</f>
        <v>40579.487849898578</v>
      </c>
      <c r="F25" s="336">
        <f>'E) Fact soc'!G30</f>
        <v>717890.92395219684</v>
      </c>
      <c r="G25" s="333">
        <f>'H) Péréquation directe'!I35</f>
        <v>-76584.76092835865</v>
      </c>
      <c r="H25" s="336">
        <f>+'I) Dépenses thématiques'!O24</f>
        <v>-568584.45701318467</v>
      </c>
      <c r="I25" s="333">
        <f>'K) Plafonnement aide'!J24</f>
        <v>0</v>
      </c>
      <c r="J25" s="336">
        <f>'J) Plafonnement effort'!I24</f>
        <v>0</v>
      </c>
      <c r="K25" s="333">
        <f>'L) Plafonnement taux'!Q25</f>
        <v>0</v>
      </c>
      <c r="L25" s="331">
        <f t="shared" si="0"/>
        <v>72721.706010653521</v>
      </c>
      <c r="M25" s="244">
        <f>'M) Police'!O25</f>
        <v>127757.48068986094</v>
      </c>
      <c r="N25" s="244">
        <f t="shared" si="1"/>
        <v>200479.18670051446</v>
      </c>
      <c r="P25" s="339"/>
    </row>
    <row r="26" spans="1:16" s="163" customFormat="1" x14ac:dyDescent="0.25">
      <c r="A26" s="160">
        <f>'B) D RI'!A27</f>
        <v>5426</v>
      </c>
      <c r="B26" s="161" t="str">
        <f>'B) D RI'!B27</f>
        <v>Bougy-Villars</v>
      </c>
      <c r="C26" s="334">
        <f>'B) D RI'!S27</f>
        <v>66</v>
      </c>
      <c r="D26" s="162">
        <f>'B) D RI'!AA27</f>
        <v>483</v>
      </c>
      <c r="E26" s="332">
        <f>'D) Ecrêtage'!C25</f>
        <v>47833.150252525251</v>
      </c>
      <c r="F26" s="336">
        <f>'E) Fact soc'!G31</f>
        <v>1785797.3225186598</v>
      </c>
      <c r="G26" s="333">
        <f>'H) Péréquation directe'!I36</f>
        <v>897603.24565412349</v>
      </c>
      <c r="H26" s="336">
        <f>+'I) Dépenses thématiques'!O25</f>
        <v>0</v>
      </c>
      <c r="I26" s="333">
        <f>'K) Plafonnement aide'!J25</f>
        <v>0</v>
      </c>
      <c r="J26" s="336">
        <f>'J) Plafonnement effort'!I25</f>
        <v>-530908.806809147</v>
      </c>
      <c r="K26" s="333">
        <f>'L) Plafonnement taux'!Q26</f>
        <v>0</v>
      </c>
      <c r="L26" s="331">
        <f t="shared" si="0"/>
        <v>2152491.7613636362</v>
      </c>
      <c r="M26" s="244">
        <f>'M) Police'!O26</f>
        <v>102640.57040271439</v>
      </c>
      <c r="N26" s="244">
        <f t="shared" si="1"/>
        <v>2255132.3317663507</v>
      </c>
      <c r="P26" s="339"/>
    </row>
    <row r="27" spans="1:16" s="163" customFormat="1" x14ac:dyDescent="0.25">
      <c r="A27" s="160">
        <f>'B) D RI'!A28</f>
        <v>5427</v>
      </c>
      <c r="B27" s="161" t="str">
        <f>'B) D RI'!B28</f>
        <v>Féchy</v>
      </c>
      <c r="C27" s="334">
        <f>'B) D RI'!S28</f>
        <v>64</v>
      </c>
      <c r="D27" s="162">
        <f>'B) D RI'!AA28</f>
        <v>895</v>
      </c>
      <c r="E27" s="332">
        <f>'D) Ecrêtage'!C26</f>
        <v>79308.783786057698</v>
      </c>
      <c r="F27" s="336">
        <f>'E) Fact soc'!G32</f>
        <v>2308867.4121355424</v>
      </c>
      <c r="G27" s="333">
        <f>'H) Péréquation directe'!I37</f>
        <v>1476623.4938480882</v>
      </c>
      <c r="H27" s="336">
        <f>+'I) Dépenses thématiques'!O26</f>
        <v>0</v>
      </c>
      <c r="I27" s="333">
        <f>'K) Plafonnement aide'!J26</f>
        <v>0</v>
      </c>
      <c r="J27" s="336">
        <f>'J) Plafonnement effort'!I26</f>
        <v>-216595.63561103464</v>
      </c>
      <c r="K27" s="333">
        <f>'L) Plafonnement taux'!Q27</f>
        <v>0</v>
      </c>
      <c r="L27" s="331">
        <f t="shared" si="0"/>
        <v>3568895.2703725961</v>
      </c>
      <c r="M27" s="244">
        <f>'M) Police'!O27</f>
        <v>178090.79718156173</v>
      </c>
      <c r="N27" s="244">
        <f t="shared" si="1"/>
        <v>3746986.0675541577</v>
      </c>
      <c r="P27" s="339"/>
    </row>
    <row r="28" spans="1:16" s="163" customFormat="1" x14ac:dyDescent="0.25">
      <c r="A28" s="160">
        <f>'B) D RI'!A29</f>
        <v>5428</v>
      </c>
      <c r="B28" s="161" t="str">
        <f>'B) D RI'!B29</f>
        <v>Gimel</v>
      </c>
      <c r="C28" s="334">
        <f>'B) D RI'!S29</f>
        <v>71.5</v>
      </c>
      <c r="D28" s="162">
        <f>'B) D RI'!AA29</f>
        <v>2016</v>
      </c>
      <c r="E28" s="332">
        <f>'D) Ecrêtage'!C27</f>
        <v>61728.526853146868</v>
      </c>
      <c r="F28" s="336">
        <f>'E) Fact soc'!G33</f>
        <v>1395752.4673956931</v>
      </c>
      <c r="G28" s="333">
        <f>'H) Péréquation directe'!I38</f>
        <v>161524.87549947225</v>
      </c>
      <c r="H28" s="336">
        <f>+'I) Dépenses thématiques'!O27</f>
        <v>-549697.6937412587</v>
      </c>
      <c r="I28" s="333">
        <f>'K) Plafonnement aide'!J27</f>
        <v>0</v>
      </c>
      <c r="J28" s="336">
        <f>'J) Plafonnement effort'!I27</f>
        <v>0</v>
      </c>
      <c r="K28" s="333">
        <f>'L) Plafonnement taux'!Q28</f>
        <v>0</v>
      </c>
      <c r="L28" s="331">
        <f t="shared" si="0"/>
        <v>1007579.6491539066</v>
      </c>
      <c r="M28" s="244">
        <f>'M) Police'!O28</f>
        <v>194259.12103132423</v>
      </c>
      <c r="N28" s="244">
        <f t="shared" si="1"/>
        <v>1201838.7701852308</v>
      </c>
      <c r="P28" s="339"/>
    </row>
    <row r="29" spans="1:16" s="163" customFormat="1" x14ac:dyDescent="0.25">
      <c r="A29" s="160">
        <f>'B) D RI'!A30</f>
        <v>5429</v>
      </c>
      <c r="B29" s="161" t="str">
        <f>'B) D RI'!B30</f>
        <v>Longirod</v>
      </c>
      <c r="C29" s="334">
        <f>'B) D RI'!S30</f>
        <v>81</v>
      </c>
      <c r="D29" s="162">
        <f>'B) D RI'!AA30</f>
        <v>469</v>
      </c>
      <c r="E29" s="332">
        <f>'D) Ecrêtage'!C28</f>
        <v>14939.782716049382</v>
      </c>
      <c r="F29" s="336">
        <f>'E) Fact soc'!G34</f>
        <v>277231.17984570767</v>
      </c>
      <c r="G29" s="333">
        <f>'H) Péréquation directe'!I39</f>
        <v>77348.620483825885</v>
      </c>
      <c r="H29" s="336">
        <f>+'I) Dépenses thématiques'!O28</f>
        <v>-99008.216666666674</v>
      </c>
      <c r="I29" s="333">
        <f>'K) Plafonnement aide'!J28</f>
        <v>0</v>
      </c>
      <c r="J29" s="336">
        <f>'J) Plafonnement effort'!I28</f>
        <v>0</v>
      </c>
      <c r="K29" s="333">
        <f>'L) Plafonnement taux'!Q29</f>
        <v>0</v>
      </c>
      <c r="L29" s="331">
        <f t="shared" si="0"/>
        <v>255571.58366286685</v>
      </c>
      <c r="M29" s="244">
        <f>'M) Police'!O29</f>
        <v>46952.097236386064</v>
      </c>
      <c r="N29" s="244">
        <f t="shared" si="1"/>
        <v>302523.68089925288</v>
      </c>
      <c r="P29" s="339"/>
    </row>
    <row r="30" spans="1:16" s="163" customFormat="1" x14ac:dyDescent="0.25">
      <c r="A30" s="160">
        <f>'B) D RI'!A31</f>
        <v>5430</v>
      </c>
      <c r="B30" s="161" t="str">
        <f>'B) D RI'!B31</f>
        <v>Marchissy</v>
      </c>
      <c r="C30" s="334">
        <f>'B) D RI'!S31</f>
        <v>79</v>
      </c>
      <c r="D30" s="162">
        <f>'B) D RI'!AA31</f>
        <v>455</v>
      </c>
      <c r="E30" s="332">
        <f>'D) Ecrêtage'!C29</f>
        <v>13613.731392405061</v>
      </c>
      <c r="F30" s="336">
        <f>'E) Fact soc'!G35</f>
        <v>266851.32569194498</v>
      </c>
      <c r="G30" s="333">
        <f>'H) Péréquation directe'!I40</f>
        <v>43310.691440965689</v>
      </c>
      <c r="H30" s="336">
        <f>+'I) Dépenses thématiques'!O29</f>
        <v>-210097.81310126581</v>
      </c>
      <c r="I30" s="333">
        <f>'K) Plafonnement aide'!J29</f>
        <v>0</v>
      </c>
      <c r="J30" s="336">
        <f>'J) Plafonnement effort'!I29</f>
        <v>0</v>
      </c>
      <c r="K30" s="333">
        <f>'L) Plafonnement taux'!Q30</f>
        <v>0</v>
      </c>
      <c r="L30" s="331">
        <f t="shared" si="0"/>
        <v>100064.20403164485</v>
      </c>
      <c r="M30" s="244">
        <f>'M) Police'!O30</f>
        <v>42841.323568471322</v>
      </c>
      <c r="N30" s="244">
        <f t="shared" si="1"/>
        <v>142905.52760011618</v>
      </c>
      <c r="P30" s="339"/>
    </row>
    <row r="31" spans="1:16" s="163" customFormat="1" x14ac:dyDescent="0.25">
      <c r="A31" s="160">
        <f>'B) D RI'!A32</f>
        <v>5431</v>
      </c>
      <c r="B31" s="161" t="str">
        <f>'B) D RI'!B32</f>
        <v>Mollens</v>
      </c>
      <c r="C31" s="334">
        <f>'B) D RI'!S32</f>
        <v>74</v>
      </c>
      <c r="D31" s="162">
        <f>'B) D RI'!AA32</f>
        <v>301</v>
      </c>
      <c r="E31" s="332">
        <f>'D) Ecrêtage'!C30</f>
        <v>8973.9812162162179</v>
      </c>
      <c r="F31" s="336">
        <f>'E) Fact soc'!G36</f>
        <v>156068.84000146328</v>
      </c>
      <c r="G31" s="333">
        <f>'H) Péréquation directe'!I41</f>
        <v>41336.469007001433</v>
      </c>
      <c r="H31" s="336">
        <f>+'I) Dépenses thématiques'!O30</f>
        <v>-22244.264087837837</v>
      </c>
      <c r="I31" s="333">
        <f>'K) Plafonnement aide'!J30</f>
        <v>0</v>
      </c>
      <c r="J31" s="336">
        <f>'J) Plafonnement effort'!I30</f>
        <v>0</v>
      </c>
      <c r="K31" s="333">
        <f>'L) Plafonnement taux'!Q31</f>
        <v>0</v>
      </c>
      <c r="L31" s="331">
        <f t="shared" si="0"/>
        <v>175161.04492062688</v>
      </c>
      <c r="M31" s="244">
        <f>'M) Police'!O31</f>
        <v>28284.342635283861</v>
      </c>
      <c r="N31" s="244">
        <f t="shared" si="1"/>
        <v>203445.38755591074</v>
      </c>
      <c r="P31" s="339"/>
    </row>
    <row r="32" spans="1:16" s="163" customFormat="1" x14ac:dyDescent="0.25">
      <c r="A32" s="160">
        <f>'B) D RI'!A33</f>
        <v>5432</v>
      </c>
      <c r="B32" s="161" t="str">
        <f>'B) D RI'!B33</f>
        <v>Montherod</v>
      </c>
      <c r="C32" s="334">
        <f>'B) D RI'!S33</f>
        <v>78</v>
      </c>
      <c r="D32" s="162">
        <f>'B) D RI'!AA33</f>
        <v>534</v>
      </c>
      <c r="E32" s="332">
        <f>'D) Ecrêtage'!C31</f>
        <v>17887.262179487177</v>
      </c>
      <c r="F32" s="336">
        <f>'E) Fact soc'!G37</f>
        <v>342329.80258299096</v>
      </c>
      <c r="G32" s="333">
        <f>'H) Péréquation directe'!I42</f>
        <v>140406.4294611584</v>
      </c>
      <c r="H32" s="336">
        <f>+'I) Dépenses thématiques'!O31</f>
        <v>0</v>
      </c>
      <c r="I32" s="333">
        <f>'K) Plafonnement aide'!J31</f>
        <v>0</v>
      </c>
      <c r="J32" s="336">
        <f>'J) Plafonnement effort'!I31</f>
        <v>0</v>
      </c>
      <c r="K32" s="333">
        <f>'L) Plafonnement taux'!Q32</f>
        <v>0</v>
      </c>
      <c r="L32" s="331">
        <f t="shared" si="0"/>
        <v>482736.23204414936</v>
      </c>
      <c r="M32" s="244">
        <f>'M) Police'!O32</f>
        <v>56477.878317787967</v>
      </c>
      <c r="N32" s="244">
        <f t="shared" si="1"/>
        <v>539214.11036193732</v>
      </c>
      <c r="P32" s="339"/>
    </row>
    <row r="33" spans="1:16" s="163" customFormat="1" x14ac:dyDescent="0.25">
      <c r="A33" s="160">
        <f>'B) D RI'!A34</f>
        <v>5434</v>
      </c>
      <c r="B33" s="161" t="str">
        <f>'B) D RI'!B34</f>
        <v>Saint-George</v>
      </c>
      <c r="C33" s="334">
        <f>'B) D RI'!S34</f>
        <v>71</v>
      </c>
      <c r="D33" s="162">
        <f>'B) D RI'!AA34</f>
        <v>1031</v>
      </c>
      <c r="E33" s="332">
        <f>'D) Ecrêtage'!C32</f>
        <v>37133.404507042258</v>
      </c>
      <c r="F33" s="336">
        <f>'E) Fact soc'!G38</f>
        <v>810705.39238630771</v>
      </c>
      <c r="G33" s="333">
        <f>'H) Péréquation directe'!I43</f>
        <v>418507.69918393821</v>
      </c>
      <c r="H33" s="336">
        <f>+'I) Dépenses thématiques'!O32</f>
        <v>-66292.019577464758</v>
      </c>
      <c r="I33" s="333">
        <f>'K) Plafonnement aide'!J32</f>
        <v>0</v>
      </c>
      <c r="J33" s="336">
        <f>'J) Plafonnement effort'!I32</f>
        <v>0</v>
      </c>
      <c r="K33" s="333">
        <f>'L) Plafonnement taux'!Q33</f>
        <v>0</v>
      </c>
      <c r="L33" s="331">
        <f t="shared" si="0"/>
        <v>1162921.0719927812</v>
      </c>
      <c r="M33" s="244">
        <f>'M) Police'!O33</f>
        <v>116425.20210741446</v>
      </c>
      <c r="N33" s="244">
        <f t="shared" si="1"/>
        <v>1279346.2741001956</v>
      </c>
      <c r="P33" s="339"/>
    </row>
    <row r="34" spans="1:16" s="163" customFormat="1" x14ac:dyDescent="0.25">
      <c r="A34" s="160">
        <f>'B) D RI'!A35</f>
        <v>5435</v>
      </c>
      <c r="B34" s="161" t="str">
        <f>'B) D RI'!B35</f>
        <v>Saint-Livres</v>
      </c>
      <c r="C34" s="334">
        <f>'B) D RI'!S35</f>
        <v>69</v>
      </c>
      <c r="D34" s="162">
        <f>'B) D RI'!AA35</f>
        <v>683</v>
      </c>
      <c r="E34" s="332">
        <f>'D) Ecrêtage'!C33</f>
        <v>25639.681014492751</v>
      </c>
      <c r="F34" s="336">
        <f>'E) Fact soc'!G39</f>
        <v>408900.86859545729</v>
      </c>
      <c r="G34" s="333">
        <f>'H) Péréquation directe'!I44</f>
        <v>329344.63311408029</v>
      </c>
      <c r="H34" s="336">
        <f>+'I) Dépenses thématiques'!O33</f>
        <v>-39647.663913043492</v>
      </c>
      <c r="I34" s="333">
        <f>'K) Plafonnement aide'!J33</f>
        <v>0</v>
      </c>
      <c r="J34" s="336">
        <f>'J) Plafonnement effort'!I33</f>
        <v>0</v>
      </c>
      <c r="K34" s="333">
        <f>'L) Plafonnement taux'!Q34</f>
        <v>0</v>
      </c>
      <c r="L34" s="331">
        <f t="shared" si="0"/>
        <v>698597.83779649413</v>
      </c>
      <c r="M34" s="244">
        <f>'M) Police'!O34</f>
        <v>81048.046556921894</v>
      </c>
      <c r="N34" s="244">
        <f t="shared" si="1"/>
        <v>779645.88435341604</v>
      </c>
      <c r="P34" s="339"/>
    </row>
    <row r="35" spans="1:16" s="163" customFormat="1" x14ac:dyDescent="0.25">
      <c r="A35" s="160">
        <f>'B) D RI'!A36</f>
        <v>5436</v>
      </c>
      <c r="B35" s="161" t="str">
        <f>'B) D RI'!B36</f>
        <v>Saint-Oyens</v>
      </c>
      <c r="C35" s="334">
        <f>'B) D RI'!S36</f>
        <v>81</v>
      </c>
      <c r="D35" s="162">
        <f>'B) D RI'!AA36</f>
        <v>366</v>
      </c>
      <c r="E35" s="332">
        <f>'D) Ecrêtage'!C34</f>
        <v>11326.600185185187</v>
      </c>
      <c r="F35" s="336">
        <f>'E) Fact soc'!G40</f>
        <v>264974.57832952251</v>
      </c>
      <c r="G35" s="333">
        <f>'H) Péréquation directe'!I45</f>
        <v>45039.635059031803</v>
      </c>
      <c r="H35" s="336">
        <f>+'I) Dépenses thématiques'!O34</f>
        <v>-129393.44875</v>
      </c>
      <c r="I35" s="333">
        <f>'K) Plafonnement aide'!J34</f>
        <v>0</v>
      </c>
      <c r="J35" s="336">
        <f>'J) Plafonnement effort'!I34</f>
        <v>0</v>
      </c>
      <c r="K35" s="333">
        <f>'L) Plafonnement taux'!Q35</f>
        <v>0</v>
      </c>
      <c r="L35" s="331">
        <f t="shared" si="0"/>
        <v>180620.7646385543</v>
      </c>
      <c r="M35" s="244">
        <f>'M) Police'!O35</f>
        <v>35844.787170963871</v>
      </c>
      <c r="N35" s="244">
        <f t="shared" si="1"/>
        <v>216465.55180951819</v>
      </c>
      <c r="P35" s="339"/>
    </row>
    <row r="36" spans="1:16" s="163" customFormat="1" x14ac:dyDescent="0.25">
      <c r="A36" s="160">
        <f>'B) D RI'!A37</f>
        <v>5437</v>
      </c>
      <c r="B36" s="161" t="str">
        <f>'B) D RI'!B37</f>
        <v>Saubraz</v>
      </c>
      <c r="C36" s="334">
        <f>'B) D RI'!S37</f>
        <v>80</v>
      </c>
      <c r="D36" s="162">
        <f>'B) D RI'!AA37</f>
        <v>420</v>
      </c>
      <c r="E36" s="332">
        <f>'D) Ecrêtage'!C35</f>
        <v>9913.9082500000004</v>
      </c>
      <c r="F36" s="336">
        <f>'E) Fact soc'!G41</f>
        <v>178704.08728703755</v>
      </c>
      <c r="G36" s="333">
        <f>'H) Péréquation directe'!I46</f>
        <v>-84747.052622707793</v>
      </c>
      <c r="H36" s="336">
        <f>+'I) Dépenses thématiques'!O35</f>
        <v>-68885.869312499999</v>
      </c>
      <c r="I36" s="333">
        <f>'K) Plafonnement aide'!J35</f>
        <v>0</v>
      </c>
      <c r="J36" s="336">
        <f>'J) Plafonnement effort'!I35</f>
        <v>0</v>
      </c>
      <c r="K36" s="333">
        <f>'L) Plafonnement taux'!Q36</f>
        <v>0</v>
      </c>
      <c r="L36" s="331">
        <f t="shared" si="0"/>
        <v>25071.165351829753</v>
      </c>
      <c r="M36" s="244">
        <f>'M) Police'!O36</f>
        <v>31076.018164413425</v>
      </c>
      <c r="N36" s="244">
        <f t="shared" si="1"/>
        <v>56147.183516243182</v>
      </c>
      <c r="P36" s="339"/>
    </row>
    <row r="37" spans="1:16" s="163" customFormat="1" x14ac:dyDescent="0.25">
      <c r="A37" s="160">
        <f>'B) D RI'!A38</f>
        <v>5451</v>
      </c>
      <c r="B37" s="161" t="str">
        <f>'B) D RI'!B38</f>
        <v>Avenches</v>
      </c>
      <c r="C37" s="334">
        <f>'B) D RI'!S38</f>
        <v>68</v>
      </c>
      <c r="D37" s="162">
        <f>'B) D RI'!AA38</f>
        <v>4210</v>
      </c>
      <c r="E37" s="332">
        <f>'D) Ecrêtage'!C36</f>
        <v>95537.476225490187</v>
      </c>
      <c r="F37" s="336">
        <f>'E) Fact soc'!G42</f>
        <v>1960522.3403253183</v>
      </c>
      <c r="G37" s="333">
        <f>'H) Péréquation directe'!I47</f>
        <v>-1246429.8479932167</v>
      </c>
      <c r="H37" s="336">
        <f>+'I) Dépenses thématiques'!O36</f>
        <v>-1617973.2854779414</v>
      </c>
      <c r="I37" s="333">
        <f>'K) Plafonnement aide'!J36</f>
        <v>0</v>
      </c>
      <c r="J37" s="336">
        <f>'J) Plafonnement effort'!I36</f>
        <v>0</v>
      </c>
      <c r="K37" s="333">
        <f>'L) Plafonnement taux'!Q37</f>
        <v>0</v>
      </c>
      <c r="L37" s="331">
        <f t="shared" si="0"/>
        <v>-903880.79314583982</v>
      </c>
      <c r="M37" s="244">
        <f>'M) Police'!O37</f>
        <v>288356.29978047207</v>
      </c>
      <c r="N37" s="244">
        <f t="shared" si="1"/>
        <v>-615524.49336536776</v>
      </c>
      <c r="P37" s="339"/>
    </row>
    <row r="38" spans="1:16" s="163" customFormat="1" x14ac:dyDescent="0.25">
      <c r="A38" s="160">
        <f>'B) D RI'!A39</f>
        <v>5456</v>
      </c>
      <c r="B38" s="161" t="str">
        <f>'B) D RI'!B39</f>
        <v>Cudrefin</v>
      </c>
      <c r="C38" s="334">
        <f>'B) D RI'!S39</f>
        <v>59</v>
      </c>
      <c r="D38" s="162">
        <f>'B) D RI'!AA39</f>
        <v>1589</v>
      </c>
      <c r="E38" s="332">
        <f>'D) Ecrêtage'!C37</f>
        <v>54725.941638418088</v>
      </c>
      <c r="F38" s="336">
        <f>'E) Fact soc'!G43</f>
        <v>1051967.5679419441</v>
      </c>
      <c r="G38" s="333">
        <f>'H) Péréquation directe'!I48</f>
        <v>530686.97544716264</v>
      </c>
      <c r="H38" s="336">
        <f>+'I) Dépenses thématiques'!O37</f>
        <v>-310279.10016949149</v>
      </c>
      <c r="I38" s="333">
        <f>'K) Plafonnement aide'!J37</f>
        <v>0</v>
      </c>
      <c r="J38" s="336">
        <f>'J) Plafonnement effort'!I37</f>
        <v>0</v>
      </c>
      <c r="K38" s="333">
        <f>'L) Plafonnement taux'!Q38</f>
        <v>0</v>
      </c>
      <c r="L38" s="331">
        <f t="shared" si="0"/>
        <v>1272375.4432196151</v>
      </c>
      <c r="M38" s="244">
        <f>'M) Police'!O38</f>
        <v>170269.57568892764</v>
      </c>
      <c r="N38" s="244">
        <f t="shared" si="1"/>
        <v>1442645.0189085428</v>
      </c>
      <c r="P38" s="339"/>
    </row>
    <row r="39" spans="1:16" s="163" customFormat="1" x14ac:dyDescent="0.25">
      <c r="A39" s="160">
        <f>'B) D RI'!A40</f>
        <v>5458</v>
      </c>
      <c r="B39" s="161" t="str">
        <f>'B) D RI'!B40</f>
        <v>Faoug</v>
      </c>
      <c r="C39" s="334">
        <f>'B) D RI'!S40</f>
        <v>64</v>
      </c>
      <c r="D39" s="162">
        <f>'B) D RI'!AA40</f>
        <v>893</v>
      </c>
      <c r="E39" s="332">
        <f>'D) Ecrêtage'!C38</f>
        <v>34607.593906250004</v>
      </c>
      <c r="F39" s="336">
        <f>'E) Fact soc'!G44</f>
        <v>675667.18368759542</v>
      </c>
      <c r="G39" s="333">
        <f>'H) Péréquation directe'!I49</f>
        <v>488150.13346520677</v>
      </c>
      <c r="H39" s="336">
        <f>+'I) Dépenses thématiques'!O38</f>
        <v>-88921.686562499977</v>
      </c>
      <c r="I39" s="333">
        <f>'K) Plafonnement aide'!J38</f>
        <v>0</v>
      </c>
      <c r="J39" s="336">
        <f>'J) Plafonnement effort'!I38</f>
        <v>0</v>
      </c>
      <c r="K39" s="333">
        <f>'L) Plafonnement taux'!Q39</f>
        <v>0</v>
      </c>
      <c r="L39" s="331">
        <f t="shared" si="0"/>
        <v>1074895.6305903022</v>
      </c>
      <c r="M39" s="244">
        <f>'M) Police'!O39</f>
        <v>108850.80188367241</v>
      </c>
      <c r="N39" s="244">
        <f t="shared" si="1"/>
        <v>1183746.4324739745</v>
      </c>
      <c r="P39" s="339"/>
    </row>
    <row r="40" spans="1:16" s="163" customFormat="1" x14ac:dyDescent="0.25">
      <c r="A40" s="160">
        <f>'B) D RI'!A41</f>
        <v>5464</v>
      </c>
      <c r="B40" s="161" t="str">
        <f>'B) D RI'!B41</f>
        <v>Vully-les-Lacs</v>
      </c>
      <c r="C40" s="334">
        <f>'B) D RI'!S41</f>
        <v>67</v>
      </c>
      <c r="D40" s="162">
        <f>'B) D RI'!AA41</f>
        <v>3080</v>
      </c>
      <c r="E40" s="332">
        <f>'D) Ecrêtage'!C39</f>
        <v>98727.295671641783</v>
      </c>
      <c r="F40" s="336">
        <f>'E) Fact soc'!G45</f>
        <v>1858423.0044700846</v>
      </c>
      <c r="G40" s="333">
        <f>'H) Péréquation directe'!I50</f>
        <v>396595.0971990223</v>
      </c>
      <c r="H40" s="336">
        <f>+'I) Dépenses thématiques'!O39</f>
        <v>-482041.22597014927</v>
      </c>
      <c r="I40" s="333">
        <f>'K) Plafonnement aide'!J39</f>
        <v>0</v>
      </c>
      <c r="J40" s="336">
        <f>'J) Plafonnement effort'!I39</f>
        <v>0</v>
      </c>
      <c r="K40" s="333">
        <f>'L) Plafonnement taux'!Q40</f>
        <v>0</v>
      </c>
      <c r="L40" s="331">
        <f t="shared" si="0"/>
        <v>1772976.8756989574</v>
      </c>
      <c r="M40" s="244">
        <f>'M) Police'!O40</f>
        <v>307655.52137256664</v>
      </c>
      <c r="N40" s="244">
        <f t="shared" si="1"/>
        <v>2080632.3970715241</v>
      </c>
      <c r="P40" s="339"/>
    </row>
    <row r="41" spans="1:16" s="163" customFormat="1" x14ac:dyDescent="0.25">
      <c r="A41" s="160">
        <f>'B) D RI'!A42</f>
        <v>5471</v>
      </c>
      <c r="B41" s="161" t="str">
        <f>'B) D RI'!B42</f>
        <v>Bettens</v>
      </c>
      <c r="C41" s="334">
        <f>'B) D RI'!S42</f>
        <v>70</v>
      </c>
      <c r="D41" s="162">
        <f>'B) D RI'!AA42</f>
        <v>574</v>
      </c>
      <c r="E41" s="332">
        <f>'D) Ecrêtage'!C40</f>
        <v>19145.941571428568</v>
      </c>
      <c r="F41" s="336">
        <f>'E) Fact soc'!G46</f>
        <v>409407.08578839659</v>
      </c>
      <c r="G41" s="333">
        <f>'H) Péréquation directe'!I51</f>
        <v>179430.9702132027</v>
      </c>
      <c r="H41" s="336">
        <f>+'I) Dépenses thématiques'!O40</f>
        <v>0</v>
      </c>
      <c r="I41" s="333">
        <f>'K) Plafonnement aide'!J40</f>
        <v>0</v>
      </c>
      <c r="J41" s="336">
        <f>'J) Plafonnement effort'!I40</f>
        <v>0</v>
      </c>
      <c r="K41" s="333">
        <f>'L) Plafonnement taux'!Q41</f>
        <v>0</v>
      </c>
      <c r="L41" s="331">
        <f t="shared" si="0"/>
        <v>588838.0560015993</v>
      </c>
      <c r="M41" s="244">
        <f>'M) Police'!O41</f>
        <v>59921.949264877243</v>
      </c>
      <c r="N41" s="244">
        <f t="shared" si="1"/>
        <v>648760.00526647654</v>
      </c>
      <c r="P41" s="339"/>
    </row>
    <row r="42" spans="1:16" s="163" customFormat="1" x14ac:dyDescent="0.25">
      <c r="A42" s="160">
        <f>'B) D RI'!A43</f>
        <v>5472</v>
      </c>
      <c r="B42" s="161" t="str">
        <f>'B) D RI'!B43</f>
        <v>Bournens</v>
      </c>
      <c r="C42" s="334">
        <f>'B) D RI'!S43</f>
        <v>80</v>
      </c>
      <c r="D42" s="162">
        <f>'B) D RI'!AA43</f>
        <v>419</v>
      </c>
      <c r="E42" s="332">
        <f>'D) Ecrêtage'!C41</f>
        <v>14770.012375000002</v>
      </c>
      <c r="F42" s="336">
        <f>'E) Fact soc'!G47</f>
        <v>258360.25433487468</v>
      </c>
      <c r="G42" s="333">
        <f>'H) Péréquation directe'!I52</f>
        <v>137417.41991360459</v>
      </c>
      <c r="H42" s="336">
        <f>+'I) Dépenses thématiques'!O41</f>
        <v>-37033.490718749992</v>
      </c>
      <c r="I42" s="333">
        <f>'K) Plafonnement aide'!J41</f>
        <v>0</v>
      </c>
      <c r="J42" s="336">
        <f>'J) Plafonnement effort'!I41</f>
        <v>0</v>
      </c>
      <c r="K42" s="333">
        <f>'L) Plafonnement taux'!Q42</f>
        <v>0</v>
      </c>
      <c r="L42" s="331">
        <f t="shared" si="0"/>
        <v>358744.18352972931</v>
      </c>
      <c r="M42" s="244">
        <f>'M) Police'!O42</f>
        <v>46763.075748580392</v>
      </c>
      <c r="N42" s="244">
        <f t="shared" si="1"/>
        <v>405507.25927830971</v>
      </c>
      <c r="P42" s="339"/>
    </row>
    <row r="43" spans="1:16" s="163" customFormat="1" x14ac:dyDescent="0.25">
      <c r="A43" s="160">
        <f>'B) D RI'!A44</f>
        <v>5473</v>
      </c>
      <c r="B43" s="161" t="str">
        <f>'B) D RI'!B44</f>
        <v>Boussens</v>
      </c>
      <c r="C43" s="334">
        <f>'B) D RI'!S44</f>
        <v>69</v>
      </c>
      <c r="D43" s="162">
        <f>'B) D RI'!AA44</f>
        <v>982</v>
      </c>
      <c r="E43" s="332">
        <f>'D) Ecrêtage'!C42</f>
        <v>33002.569420289859</v>
      </c>
      <c r="F43" s="336">
        <f>'E) Fact soc'!G48</f>
        <v>567525.3469113647</v>
      </c>
      <c r="G43" s="333">
        <f>'H) Péréquation directe'!I53</f>
        <v>323067.34049442405</v>
      </c>
      <c r="H43" s="336">
        <f>+'I) Dépenses thématiques'!O42</f>
        <v>0</v>
      </c>
      <c r="I43" s="333">
        <f>'K) Plafonnement aide'!J42</f>
        <v>0</v>
      </c>
      <c r="J43" s="336">
        <f>'J) Plafonnement effort'!I42</f>
        <v>0</v>
      </c>
      <c r="K43" s="333">
        <f>'L) Plafonnement taux'!Q43</f>
        <v>0</v>
      </c>
      <c r="L43" s="331">
        <f t="shared" si="0"/>
        <v>890592.68740578881</v>
      </c>
      <c r="M43" s="244">
        <f>'M) Police'!O43</f>
        <v>103964.26114654257</v>
      </c>
      <c r="N43" s="244">
        <f t="shared" si="1"/>
        <v>994556.94855233142</v>
      </c>
      <c r="P43" s="339"/>
    </row>
    <row r="44" spans="1:16" s="163" customFormat="1" x14ac:dyDescent="0.25">
      <c r="A44" s="160">
        <f>'B) D RI'!A45</f>
        <v>5474</v>
      </c>
      <c r="B44" s="161" t="str">
        <f>'B) D RI'!B45</f>
        <v>La Chaux (Cossonay)</v>
      </c>
      <c r="C44" s="334">
        <f>'B) D RI'!S45</f>
        <v>77</v>
      </c>
      <c r="D44" s="162">
        <f>'B) D RI'!AA45</f>
        <v>420</v>
      </c>
      <c r="E44" s="332">
        <f>'D) Ecrêtage'!C43</f>
        <v>13388.045367965367</v>
      </c>
      <c r="F44" s="336">
        <f>'E) Fact soc'!G49</f>
        <v>319101.56493679166</v>
      </c>
      <c r="G44" s="333">
        <f>'H) Péréquation directe'!I54</f>
        <v>83788.171441548679</v>
      </c>
      <c r="H44" s="336">
        <f>+'I) Dépenses thématiques'!O43</f>
        <v>-104095.19376623377</v>
      </c>
      <c r="I44" s="333">
        <f>'K) Plafonnement aide'!J43</f>
        <v>0</v>
      </c>
      <c r="J44" s="336">
        <f>'J) Plafonnement effort'!I43</f>
        <v>0</v>
      </c>
      <c r="K44" s="333">
        <f>'L) Plafonnement taux'!Q44</f>
        <v>0</v>
      </c>
      <c r="L44" s="331">
        <f t="shared" si="0"/>
        <v>298794.54261210654</v>
      </c>
      <c r="M44" s="244">
        <f>'M) Police'!O44</f>
        <v>42361.919813145068</v>
      </c>
      <c r="N44" s="244">
        <f t="shared" si="1"/>
        <v>341156.46242525161</v>
      </c>
      <c r="P44" s="339"/>
    </row>
    <row r="45" spans="1:16" s="163" customFormat="1" x14ac:dyDescent="0.25">
      <c r="A45" s="160">
        <f>'B) D RI'!A46</f>
        <v>5475</v>
      </c>
      <c r="B45" s="161" t="str">
        <f>'B) D RI'!B46</f>
        <v>Chavannes-le-Veyron</v>
      </c>
      <c r="C45" s="334">
        <f>'B) D RI'!S46</f>
        <v>77</v>
      </c>
      <c r="D45" s="162">
        <f>'B) D RI'!AA46</f>
        <v>141</v>
      </c>
      <c r="E45" s="332">
        <f>'D) Ecrêtage'!C44</f>
        <v>3775.6794805194804</v>
      </c>
      <c r="F45" s="336">
        <f>'E) Fact soc'!G50</f>
        <v>62315.755778641287</v>
      </c>
      <c r="G45" s="333">
        <f>'H) Péréquation directe'!I55</f>
        <v>-3222.9207428403024</v>
      </c>
      <c r="H45" s="336">
        <f>+'I) Dépenses thématiques'!O44</f>
        <v>-42795.663506493511</v>
      </c>
      <c r="I45" s="333">
        <f>'K) Plafonnement aide'!J44</f>
        <v>0</v>
      </c>
      <c r="J45" s="336">
        <f>'J) Plafonnement effort'!I44</f>
        <v>0</v>
      </c>
      <c r="K45" s="333">
        <f>'L) Plafonnement taux'!Q45</f>
        <v>0</v>
      </c>
      <c r="L45" s="331">
        <f t="shared" si="0"/>
        <v>16297.171529307474</v>
      </c>
      <c r="M45" s="244">
        <f>'M) Police'!O45</f>
        <v>11864.57693031061</v>
      </c>
      <c r="N45" s="244">
        <f t="shared" si="1"/>
        <v>28161.748459618084</v>
      </c>
      <c r="P45" s="339"/>
    </row>
    <row r="46" spans="1:16" s="163" customFormat="1" x14ac:dyDescent="0.25">
      <c r="A46" s="160">
        <f>'B) D RI'!A47</f>
        <v>5476</v>
      </c>
      <c r="B46" s="161" t="str">
        <f>'B) D RI'!B47</f>
        <v>Chevilly</v>
      </c>
      <c r="C46" s="334">
        <f>'B) D RI'!S47</f>
        <v>74</v>
      </c>
      <c r="D46" s="162">
        <f>'B) D RI'!AA47</f>
        <v>298</v>
      </c>
      <c r="E46" s="332">
        <f>'D) Ecrêtage'!C45</f>
        <v>10077.570765765768</v>
      </c>
      <c r="F46" s="336">
        <f>'E) Fact soc'!G51</f>
        <v>161190.05471687892</v>
      </c>
      <c r="G46" s="333">
        <f>'H) Péréquation directe'!I56</f>
        <v>90803.891962322115</v>
      </c>
      <c r="H46" s="336">
        <f>+'I) Dépenses thématiques'!O45</f>
        <v>-33827.575405405398</v>
      </c>
      <c r="I46" s="333">
        <f>'K) Plafonnement aide'!J45</f>
        <v>0</v>
      </c>
      <c r="J46" s="336">
        <f>'J) Plafonnement effort'!I45</f>
        <v>0</v>
      </c>
      <c r="K46" s="333">
        <f>'L) Plafonnement taux'!Q46</f>
        <v>0</v>
      </c>
      <c r="L46" s="331">
        <f t="shared" si="0"/>
        <v>218166.37127379564</v>
      </c>
      <c r="M46" s="244">
        <f>'M) Police'!O46</f>
        <v>31699.77846012692</v>
      </c>
      <c r="N46" s="244">
        <f t="shared" si="1"/>
        <v>249866.14973392256</v>
      </c>
      <c r="P46" s="339"/>
    </row>
    <row r="47" spans="1:16" s="163" customFormat="1" x14ac:dyDescent="0.25">
      <c r="A47" s="160">
        <f>'B) D RI'!A48</f>
        <v>5477</v>
      </c>
      <c r="B47" s="161" t="str">
        <f>'B) D RI'!B48</f>
        <v>Cossonay</v>
      </c>
      <c r="C47" s="334">
        <f>'B) D RI'!S48</f>
        <v>71</v>
      </c>
      <c r="D47" s="162">
        <f>'B) D RI'!AA48</f>
        <v>3808</v>
      </c>
      <c r="E47" s="332">
        <f>'D) Ecrêtage'!C46</f>
        <v>123540.83633802818</v>
      </c>
      <c r="F47" s="336">
        <f>'E) Fact soc'!G52</f>
        <v>2537209.5937090432</v>
      </c>
      <c r="G47" s="333">
        <f>'H) Péréquation directe'!I57</f>
        <v>281787.74057461787</v>
      </c>
      <c r="H47" s="336">
        <f>+'I) Dépenses thématiques'!O46</f>
        <v>-570147.98197183094</v>
      </c>
      <c r="I47" s="333">
        <f>'K) Plafonnement aide'!J46</f>
        <v>0</v>
      </c>
      <c r="J47" s="336">
        <f>'J) Plafonnement effort'!I46</f>
        <v>0</v>
      </c>
      <c r="K47" s="333">
        <f>'L) Plafonnement taux'!Q47</f>
        <v>0</v>
      </c>
      <c r="L47" s="331">
        <f t="shared" si="0"/>
        <v>2248849.35231183</v>
      </c>
      <c r="M47" s="244">
        <f>'M) Police'!O47</f>
        <v>390469.46463392104</v>
      </c>
      <c r="N47" s="244">
        <f t="shared" si="1"/>
        <v>2639318.8169457512</v>
      </c>
      <c r="P47" s="339"/>
    </row>
    <row r="48" spans="1:16" s="163" customFormat="1" x14ac:dyDescent="0.25">
      <c r="A48" s="160">
        <f>'B) D RI'!A49</f>
        <v>5478</v>
      </c>
      <c r="B48" s="161" t="str">
        <f>'B) D RI'!B49</f>
        <v>Cottens</v>
      </c>
      <c r="C48" s="334">
        <f>'B) D RI'!S49</f>
        <v>74</v>
      </c>
      <c r="D48" s="162">
        <f>'B) D RI'!AA49</f>
        <v>477</v>
      </c>
      <c r="E48" s="332">
        <f>'D) Ecrêtage'!C47</f>
        <v>16872.928378378379</v>
      </c>
      <c r="F48" s="336">
        <f>'E) Fact soc'!G53</f>
        <v>306544.61159674445</v>
      </c>
      <c r="G48" s="333">
        <f>'H) Péréquation directe'!I58</f>
        <v>176371.59070813164</v>
      </c>
      <c r="H48" s="336">
        <f>+'I) Dépenses thématiques'!O47</f>
        <v>-30362.679729729723</v>
      </c>
      <c r="I48" s="333">
        <f>'K) Plafonnement aide'!J47</f>
        <v>0</v>
      </c>
      <c r="J48" s="336">
        <f>'J) Plafonnement effort'!I47</f>
        <v>0</v>
      </c>
      <c r="K48" s="333">
        <f>'L) Plafonnement taux'!Q48</f>
        <v>0</v>
      </c>
      <c r="L48" s="331">
        <f t="shared" si="0"/>
        <v>452553.52257514634</v>
      </c>
      <c r="M48" s="244">
        <f>'M) Police'!O48</f>
        <v>53524.752501237177</v>
      </c>
      <c r="N48" s="244">
        <f t="shared" si="1"/>
        <v>506078.27507638349</v>
      </c>
      <c r="P48" s="339"/>
    </row>
    <row r="49" spans="1:16" s="163" customFormat="1" x14ac:dyDescent="0.25">
      <c r="A49" s="160">
        <f>'B) D RI'!A50</f>
        <v>5479</v>
      </c>
      <c r="B49" s="161" t="str">
        <f>'B) D RI'!B50</f>
        <v>Cuarnens</v>
      </c>
      <c r="C49" s="334">
        <f>'B) D RI'!S50</f>
        <v>77</v>
      </c>
      <c r="D49" s="162">
        <f>'B) D RI'!AA50</f>
        <v>479</v>
      </c>
      <c r="E49" s="332">
        <f>'D) Ecrêtage'!C48</f>
        <v>15098.323116883119</v>
      </c>
      <c r="F49" s="336">
        <f>'E) Fact soc'!G54</f>
        <v>300845.77992718021</v>
      </c>
      <c r="G49" s="333">
        <f>'H) Péréquation directe'!I59</f>
        <v>88125.871772687271</v>
      </c>
      <c r="H49" s="336">
        <f>+'I) Dépenses thématiques'!O48</f>
        <v>-141085.56896103895</v>
      </c>
      <c r="I49" s="333">
        <f>'K) Plafonnement aide'!J48</f>
        <v>0</v>
      </c>
      <c r="J49" s="336">
        <f>'J) Plafonnement effort'!I48</f>
        <v>0</v>
      </c>
      <c r="K49" s="333">
        <f>'L) Plafonnement taux'!Q49</f>
        <v>0</v>
      </c>
      <c r="L49" s="331">
        <f t="shared" si="0"/>
        <v>247886.0827388285</v>
      </c>
      <c r="M49" s="244">
        <f>'M) Police'!O49</f>
        <v>47468.865688915059</v>
      </c>
      <c r="N49" s="244">
        <f t="shared" si="1"/>
        <v>295354.94842774357</v>
      </c>
      <c r="P49" s="339"/>
    </row>
    <row r="50" spans="1:16" s="163" customFormat="1" x14ac:dyDescent="0.25">
      <c r="A50" s="160">
        <f>'B) D RI'!A51</f>
        <v>5480</v>
      </c>
      <c r="B50" s="161" t="str">
        <f>'B) D RI'!B51</f>
        <v>Daillens</v>
      </c>
      <c r="C50" s="334">
        <f>'B) D RI'!S51</f>
        <v>71</v>
      </c>
      <c r="D50" s="162">
        <f>'B) D RI'!AA51</f>
        <v>998</v>
      </c>
      <c r="E50" s="332">
        <f>'D) Ecrêtage'!C49</f>
        <v>41105.758873239436</v>
      </c>
      <c r="F50" s="336">
        <f>'E) Fact soc'!G55</f>
        <v>725059.14930590941</v>
      </c>
      <c r="G50" s="333">
        <f>'H) Péréquation directe'!I60</f>
        <v>618618.86310063582</v>
      </c>
      <c r="H50" s="336">
        <f>+'I) Dépenses thématiques'!O49</f>
        <v>-131968.44676056338</v>
      </c>
      <c r="I50" s="333">
        <f>'K) Plafonnement aide'!J49</f>
        <v>0</v>
      </c>
      <c r="J50" s="336">
        <f>'J) Plafonnement effort'!I49</f>
        <v>0</v>
      </c>
      <c r="K50" s="333">
        <f>'L) Plafonnement taux'!Q50</f>
        <v>0</v>
      </c>
      <c r="L50" s="331">
        <f t="shared" si="0"/>
        <v>1211709.5656459818</v>
      </c>
      <c r="M50" s="244">
        <f>'M) Police'!O50</f>
        <v>127466.03191448745</v>
      </c>
      <c r="N50" s="244">
        <f t="shared" si="1"/>
        <v>1339175.5975604693</v>
      </c>
      <c r="P50" s="339"/>
    </row>
    <row r="51" spans="1:16" s="163" customFormat="1" x14ac:dyDescent="0.25">
      <c r="A51" s="160">
        <f>'B) D RI'!A52</f>
        <v>5481</v>
      </c>
      <c r="B51" s="161" t="str">
        <f>'B) D RI'!B52</f>
        <v>Dizy</v>
      </c>
      <c r="C51" s="334">
        <f>'B) D RI'!S52</f>
        <v>79</v>
      </c>
      <c r="D51" s="162">
        <f>'B) D RI'!AA52</f>
        <v>229</v>
      </c>
      <c r="E51" s="332">
        <f>'D) Ecrêtage'!C50</f>
        <v>8417.6035443037963</v>
      </c>
      <c r="F51" s="336">
        <f>'E) Fact soc'!G56</f>
        <v>141609.25708618216</v>
      </c>
      <c r="G51" s="333">
        <f>'H) Péréquation directe'!I61</f>
        <v>92033.079672482243</v>
      </c>
      <c r="H51" s="336">
        <f>+'I) Dépenses thématiques'!O50</f>
        <v>-7394.3787341772222</v>
      </c>
      <c r="I51" s="333">
        <f>'K) Plafonnement aide'!J50</f>
        <v>0</v>
      </c>
      <c r="J51" s="336">
        <f>'J) Plafonnement effort'!I50</f>
        <v>0</v>
      </c>
      <c r="K51" s="333">
        <f>'L) Plafonnement taux'!Q51</f>
        <v>0</v>
      </c>
      <c r="L51" s="331">
        <f t="shared" si="0"/>
        <v>226247.95802448719</v>
      </c>
      <c r="M51" s="244">
        <f>'M) Police'!O51</f>
        <v>26817.194493648185</v>
      </c>
      <c r="N51" s="244">
        <f t="shared" si="1"/>
        <v>253065.15251813538</v>
      </c>
      <c r="P51" s="339"/>
    </row>
    <row r="52" spans="1:16" s="163" customFormat="1" x14ac:dyDescent="0.25">
      <c r="A52" s="160">
        <f>'B) D RI'!A53</f>
        <v>5482</v>
      </c>
      <c r="B52" s="161" t="str">
        <f>'B) D RI'!B53</f>
        <v>Eclépens</v>
      </c>
      <c r="C52" s="334">
        <f>'B) D RI'!S53</f>
        <v>46</v>
      </c>
      <c r="D52" s="162">
        <f>'B) D RI'!AA53</f>
        <v>1091</v>
      </c>
      <c r="E52" s="332">
        <f>'D) Ecrêtage'!C51</f>
        <v>48921.463913043473</v>
      </c>
      <c r="F52" s="336">
        <f>'E) Fact soc'!G57</f>
        <v>1037336.5091505434</v>
      </c>
      <c r="G52" s="333">
        <f>'H) Péréquation directe'!I62</f>
        <v>820581.22515894542</v>
      </c>
      <c r="H52" s="336">
        <f>+'I) Dépenses thématiques'!O51</f>
        <v>-97768.368586956552</v>
      </c>
      <c r="I52" s="333">
        <f>'K) Plafonnement aide'!J51</f>
        <v>0</v>
      </c>
      <c r="J52" s="336">
        <f>'J) Plafonnement effort'!I51</f>
        <v>0</v>
      </c>
      <c r="K52" s="333">
        <f>'L) Plafonnement taux'!Q52</f>
        <v>0</v>
      </c>
      <c r="L52" s="331">
        <f t="shared" si="0"/>
        <v>1760149.3657225324</v>
      </c>
      <c r="M52" s="244">
        <f>'M) Police'!O52</f>
        <v>142676.65025942068</v>
      </c>
      <c r="N52" s="244">
        <f t="shared" si="1"/>
        <v>1902826.0159819531</v>
      </c>
      <c r="P52" s="339"/>
    </row>
    <row r="53" spans="1:16" s="163" customFormat="1" x14ac:dyDescent="0.25">
      <c r="A53" s="160">
        <f>'B) D RI'!A54</f>
        <v>5483</v>
      </c>
      <c r="B53" s="161" t="str">
        <f>'B) D RI'!B54</f>
        <v>Ferreyres</v>
      </c>
      <c r="C53" s="334">
        <f>'B) D RI'!S54</f>
        <v>76</v>
      </c>
      <c r="D53" s="162">
        <f>'B) D RI'!AA54</f>
        <v>322</v>
      </c>
      <c r="E53" s="332">
        <f>'D) Ecrêtage'!C52</f>
        <v>12338.918289473684</v>
      </c>
      <c r="F53" s="336">
        <f>'E) Fact soc'!G58</f>
        <v>207761.33934303792</v>
      </c>
      <c r="G53" s="333">
        <f>'H) Péréquation directe'!I63</f>
        <v>156075.14291977254</v>
      </c>
      <c r="H53" s="336">
        <f>+'I) Dépenses thématiques'!O52</f>
        <v>-7018.2402631578952</v>
      </c>
      <c r="I53" s="333">
        <f>'K) Plafonnement aide'!J52</f>
        <v>0</v>
      </c>
      <c r="J53" s="336">
        <f>'J) Plafonnement effort'!I52</f>
        <v>0</v>
      </c>
      <c r="K53" s="333">
        <f>'L) Plafonnement taux'!Q53</f>
        <v>0</v>
      </c>
      <c r="L53" s="331">
        <f t="shared" si="0"/>
        <v>356818.24199965259</v>
      </c>
      <c r="M53" s="244">
        <f>'M) Police'!O53</f>
        <v>39317.015521193702</v>
      </c>
      <c r="N53" s="244">
        <f t="shared" si="1"/>
        <v>396135.25752084627</v>
      </c>
      <c r="P53" s="339"/>
    </row>
    <row r="54" spans="1:16" s="163" customFormat="1" x14ac:dyDescent="0.25">
      <c r="A54" s="160">
        <f>'B) D RI'!A55</f>
        <v>5484</v>
      </c>
      <c r="B54" s="161" t="str">
        <f>'B) D RI'!B55</f>
        <v>Gollion</v>
      </c>
      <c r="C54" s="334">
        <f>'B) D RI'!S55</f>
        <v>74</v>
      </c>
      <c r="D54" s="162">
        <f>'B) D RI'!AA55</f>
        <v>918</v>
      </c>
      <c r="E54" s="332">
        <f>'D) Ecrêtage'!C53</f>
        <v>33965.841756756759</v>
      </c>
      <c r="F54" s="336">
        <f>'E) Fact soc'!G59</f>
        <v>711244.30862631998</v>
      </c>
      <c r="G54" s="333">
        <f>'H) Péréquation directe'!I64</f>
        <v>401870.21024870686</v>
      </c>
      <c r="H54" s="336">
        <f>+'I) Dépenses thématiques'!O53</f>
        <v>-138547.81814189188</v>
      </c>
      <c r="I54" s="333">
        <f>'K) Plafonnement aide'!J53</f>
        <v>0</v>
      </c>
      <c r="J54" s="336">
        <f>'J) Plafonnement effort'!I53</f>
        <v>0</v>
      </c>
      <c r="K54" s="333">
        <f>'L) Plafonnement taux'!Q54</f>
        <v>0</v>
      </c>
      <c r="L54" s="331">
        <f t="shared" si="0"/>
        <v>974566.70073313499</v>
      </c>
      <c r="M54" s="244">
        <f>'M) Police'!O54</f>
        <v>107550.37994636002</v>
      </c>
      <c r="N54" s="244">
        <f t="shared" si="1"/>
        <v>1082117.0806794949</v>
      </c>
      <c r="P54" s="339"/>
    </row>
    <row r="55" spans="1:16" s="163" customFormat="1" x14ac:dyDescent="0.25">
      <c r="A55" s="160">
        <f>'B) D RI'!A56</f>
        <v>5485</v>
      </c>
      <c r="B55" s="161" t="str">
        <f>'B) D RI'!B56</f>
        <v>Grancy</v>
      </c>
      <c r="C55" s="334">
        <f>'B) D RI'!S56</f>
        <v>70</v>
      </c>
      <c r="D55" s="162">
        <f>'B) D RI'!AA56</f>
        <v>403</v>
      </c>
      <c r="E55" s="332">
        <f>'D) Ecrêtage'!C54</f>
        <v>17740.37528571429</v>
      </c>
      <c r="F55" s="336">
        <f>'E) Fact soc'!G60</f>
        <v>324283.47019281017</v>
      </c>
      <c r="G55" s="333">
        <f>'H) Péréquation directe'!I65</f>
        <v>295825.18758214347</v>
      </c>
      <c r="H55" s="336">
        <f>+'I) Dépenses thématiques'!O54</f>
        <v>-35374.218535714281</v>
      </c>
      <c r="I55" s="333">
        <f>'K) Plafonnement aide'!J54</f>
        <v>0</v>
      </c>
      <c r="J55" s="336">
        <f>'J) Plafonnement effort'!I54</f>
        <v>0</v>
      </c>
      <c r="K55" s="333">
        <f>'L) Plafonnement taux'!Q55</f>
        <v>0</v>
      </c>
      <c r="L55" s="331">
        <f t="shared" si="0"/>
        <v>584734.43923923932</v>
      </c>
      <c r="M55" s="244">
        <f>'M) Police'!O55</f>
        <v>56490.17631333803</v>
      </c>
      <c r="N55" s="244">
        <f t="shared" si="1"/>
        <v>641224.61555257731</v>
      </c>
      <c r="P55" s="339"/>
    </row>
    <row r="56" spans="1:16" s="163" customFormat="1" x14ac:dyDescent="0.25">
      <c r="A56" s="160">
        <f>'B) D RI'!A57</f>
        <v>5486</v>
      </c>
      <c r="B56" s="161" t="str">
        <f>'B) D RI'!B57</f>
        <v>L'Isle</v>
      </c>
      <c r="C56" s="334">
        <f>'B) D RI'!S57</f>
        <v>76</v>
      </c>
      <c r="D56" s="162">
        <f>'B) D RI'!AA57</f>
        <v>1005</v>
      </c>
      <c r="E56" s="332">
        <f>'D) Ecrêtage'!C55</f>
        <v>25696.695921052633</v>
      </c>
      <c r="F56" s="336">
        <f>'E) Fact soc'!G61</f>
        <v>512848.55536974658</v>
      </c>
      <c r="G56" s="333">
        <f>'H) Péréquation directe'!I66</f>
        <v>-65046.732840988843</v>
      </c>
      <c r="H56" s="336">
        <f>+'I) Dépenses thématiques'!O55</f>
        <v>-332238.55253289471</v>
      </c>
      <c r="I56" s="333">
        <f>'K) Plafonnement aide'!J55</f>
        <v>0</v>
      </c>
      <c r="J56" s="336">
        <f>'J) Plafonnement effort'!I55</f>
        <v>0</v>
      </c>
      <c r="K56" s="333">
        <f>'L) Plafonnement taux'!Q56</f>
        <v>0</v>
      </c>
      <c r="L56" s="331">
        <f t="shared" si="0"/>
        <v>115563.26999586303</v>
      </c>
      <c r="M56" s="244">
        <f>'M) Police'!O56</f>
        <v>79814.374971604324</v>
      </c>
      <c r="N56" s="244">
        <f t="shared" si="1"/>
        <v>195377.64496746735</v>
      </c>
      <c r="P56" s="339"/>
    </row>
    <row r="57" spans="1:16" s="163" customFormat="1" x14ac:dyDescent="0.25">
      <c r="A57" s="160">
        <f>'B) D RI'!A58</f>
        <v>5487</v>
      </c>
      <c r="B57" s="161" t="str">
        <f>'B) D RI'!B58</f>
        <v>Lussery-Villars</v>
      </c>
      <c r="C57" s="334">
        <f>'B) D RI'!S58</f>
        <v>72</v>
      </c>
      <c r="D57" s="162">
        <f>'B) D RI'!AA58</f>
        <v>459</v>
      </c>
      <c r="E57" s="332">
        <f>'D) Ecrêtage'!C56</f>
        <v>14347.116805555555</v>
      </c>
      <c r="F57" s="336">
        <f>'E) Fact soc'!G62</f>
        <v>271507.03756311414</v>
      </c>
      <c r="G57" s="333">
        <f>'H) Péréquation directe'!I67</f>
        <v>98184.195766918885</v>
      </c>
      <c r="H57" s="336">
        <f>+'I) Dépenses thématiques'!O56</f>
        <v>-12657.049166666668</v>
      </c>
      <c r="I57" s="333">
        <f>'K) Plafonnement aide'!J56</f>
        <v>0</v>
      </c>
      <c r="J57" s="336">
        <f>'J) Plafonnement effort'!I56</f>
        <v>0</v>
      </c>
      <c r="K57" s="333">
        <f>'L) Plafonnement taux'!Q57</f>
        <v>0</v>
      </c>
      <c r="L57" s="331">
        <f t="shared" si="0"/>
        <v>357034.18416336633</v>
      </c>
      <c r="M57" s="244">
        <f>'M) Police'!O57</f>
        <v>45283.751738333493</v>
      </c>
      <c r="N57" s="244">
        <f t="shared" si="1"/>
        <v>402317.93590169982</v>
      </c>
      <c r="P57" s="339"/>
    </row>
    <row r="58" spans="1:16" s="163" customFormat="1" x14ac:dyDescent="0.25">
      <c r="A58" s="160">
        <f>'B) D RI'!A59</f>
        <v>5488</v>
      </c>
      <c r="B58" s="161" t="str">
        <f>'B) D RI'!B59</f>
        <v>Mauraz</v>
      </c>
      <c r="C58" s="334">
        <f>'B) D RI'!S59</f>
        <v>74</v>
      </c>
      <c r="D58" s="162">
        <f>'B) D RI'!AA59</f>
        <v>60</v>
      </c>
      <c r="E58" s="332">
        <f>'D) Ecrêtage'!C57</f>
        <v>1636.236081081081</v>
      </c>
      <c r="F58" s="336">
        <f>'E) Fact soc'!G63</f>
        <v>25813.536160772615</v>
      </c>
      <c r="G58" s="333">
        <f>'H) Péréquation directe'!I68</f>
        <v>1859.8872718858765</v>
      </c>
      <c r="H58" s="336">
        <f>+'I) Dépenses thématiques'!O57</f>
        <v>-1945.5835135135139</v>
      </c>
      <c r="I58" s="333">
        <f>'K) Plafonnement aide'!J57</f>
        <v>0</v>
      </c>
      <c r="J58" s="336">
        <f>'J) Plafonnement effort'!I57</f>
        <v>0</v>
      </c>
      <c r="K58" s="333">
        <f>'L) Plafonnement taux'!Q58</f>
        <v>0</v>
      </c>
      <c r="L58" s="331">
        <f t="shared" si="0"/>
        <v>25727.839919144979</v>
      </c>
      <c r="M58" s="244">
        <f>'M) Police'!O58</f>
        <v>5166.7635989701757</v>
      </c>
      <c r="N58" s="244">
        <f t="shared" si="1"/>
        <v>30894.603518115153</v>
      </c>
      <c r="P58" s="339"/>
    </row>
    <row r="59" spans="1:16" s="163" customFormat="1" x14ac:dyDescent="0.25">
      <c r="A59" s="160">
        <f>'B) D RI'!A60</f>
        <v>5489</v>
      </c>
      <c r="B59" s="161" t="str">
        <f>'B) D RI'!B60</f>
        <v>Mex</v>
      </c>
      <c r="C59" s="334">
        <f>'B) D RI'!S60</f>
        <v>61</v>
      </c>
      <c r="D59" s="162">
        <f>'B) D RI'!AA60</f>
        <v>718</v>
      </c>
      <c r="E59" s="332">
        <f>'D) Ecrêtage'!C58</f>
        <v>52928.292459016397</v>
      </c>
      <c r="F59" s="336">
        <f>'E) Fact soc'!G64</f>
        <v>1352429.8752463115</v>
      </c>
      <c r="G59" s="333">
        <f>'H) Péréquation directe'!I69</f>
        <v>970548.17685105151</v>
      </c>
      <c r="H59" s="336">
        <f>+'I) Dépenses thématiques'!O58</f>
        <v>0</v>
      </c>
      <c r="I59" s="333">
        <f>'K) Plafonnement aide'!J58</f>
        <v>0</v>
      </c>
      <c r="J59" s="336">
        <f>'J) Plafonnement effort'!I58</f>
        <v>0</v>
      </c>
      <c r="K59" s="333">
        <f>'L) Plafonnement taux'!Q59</f>
        <v>0</v>
      </c>
      <c r="L59" s="331">
        <f t="shared" si="0"/>
        <v>2322978.0520973629</v>
      </c>
      <c r="M59" s="244">
        <f>'M) Police'!O59</f>
        <v>128990.62161186524</v>
      </c>
      <c r="N59" s="244">
        <f t="shared" si="1"/>
        <v>2451968.6737092282</v>
      </c>
      <c r="P59" s="339"/>
    </row>
    <row r="60" spans="1:16" s="163" customFormat="1" x14ac:dyDescent="0.25">
      <c r="A60" s="160">
        <f>'B) D RI'!A61</f>
        <v>5490</v>
      </c>
      <c r="B60" s="161" t="str">
        <f>'B) D RI'!B61</f>
        <v>Moiry</v>
      </c>
      <c r="C60" s="334">
        <f>'B) D RI'!S61</f>
        <v>81</v>
      </c>
      <c r="D60" s="162">
        <f>'B) D RI'!AA61</f>
        <v>316</v>
      </c>
      <c r="E60" s="332">
        <f>'D) Ecrêtage'!C59</f>
        <v>8175.9358024691346</v>
      </c>
      <c r="F60" s="336">
        <f>'E) Fact soc'!G65</f>
        <v>135586.31606409713</v>
      </c>
      <c r="G60" s="333">
        <f>'H) Péréquation directe'!I70</f>
        <v>-35070.568735520152</v>
      </c>
      <c r="H60" s="336">
        <f>+'I) Dépenses thématiques'!O59</f>
        <v>-44848.885185185194</v>
      </c>
      <c r="I60" s="333">
        <f>'K) Plafonnement aide'!J59</f>
        <v>0</v>
      </c>
      <c r="J60" s="336">
        <f>'J) Plafonnement effort'!I59</f>
        <v>0</v>
      </c>
      <c r="K60" s="333">
        <f>'L) Plafonnement taux'!Q60</f>
        <v>0</v>
      </c>
      <c r="L60" s="331">
        <f t="shared" si="0"/>
        <v>55666.862143391787</v>
      </c>
      <c r="M60" s="244">
        <f>'M) Police'!O60</f>
        <v>25929.646972220078</v>
      </c>
      <c r="N60" s="244">
        <f t="shared" si="1"/>
        <v>81596.509115611872</v>
      </c>
      <c r="P60" s="339"/>
    </row>
    <row r="61" spans="1:16" s="163" customFormat="1" x14ac:dyDescent="0.25">
      <c r="A61" s="160">
        <f>'B) D RI'!A62</f>
        <v>5491</v>
      </c>
      <c r="B61" s="161" t="str">
        <f>'B) D RI'!B62</f>
        <v>Mont-la-Ville</v>
      </c>
      <c r="C61" s="334">
        <f>'B) D RI'!S62</f>
        <v>76</v>
      </c>
      <c r="D61" s="162">
        <f>'B) D RI'!AA62</f>
        <v>417</v>
      </c>
      <c r="E61" s="332">
        <f>'D) Ecrêtage'!C60</f>
        <v>10544.805394736843</v>
      </c>
      <c r="F61" s="336">
        <f>'E) Fact soc'!G66</f>
        <v>190078.08196394314</v>
      </c>
      <c r="G61" s="333">
        <f>'H) Péréquation directe'!I71</f>
        <v>-31577.195196352608</v>
      </c>
      <c r="H61" s="336">
        <f>+'I) Dépenses thématiques'!O60</f>
        <v>-95571.563585526324</v>
      </c>
      <c r="I61" s="333">
        <f>'K) Plafonnement aide'!J60</f>
        <v>0</v>
      </c>
      <c r="J61" s="336">
        <f>'J) Plafonnement effort'!I60</f>
        <v>0</v>
      </c>
      <c r="K61" s="333">
        <f>'L) Plafonnement taux'!Q61</f>
        <v>0</v>
      </c>
      <c r="L61" s="331">
        <f t="shared" si="0"/>
        <v>62929.32318206421</v>
      </c>
      <c r="M61" s="244">
        <f>'M) Police'!O61</f>
        <v>32928.598264300424</v>
      </c>
      <c r="N61" s="244">
        <f t="shared" si="1"/>
        <v>95857.921446364635</v>
      </c>
      <c r="P61" s="339"/>
    </row>
    <row r="62" spans="1:16" s="163" customFormat="1" x14ac:dyDescent="0.25">
      <c r="A62" s="160">
        <f>'B) D RI'!A63</f>
        <v>5492</v>
      </c>
      <c r="B62" s="161" t="str">
        <f>'B) D RI'!B63</f>
        <v>Montricher</v>
      </c>
      <c r="C62" s="334">
        <f>'B) D RI'!S63</f>
        <v>64</v>
      </c>
      <c r="D62" s="162">
        <f>'B) D RI'!AA63</f>
        <v>986</v>
      </c>
      <c r="E62" s="332">
        <f>'D) Ecrêtage'!C61</f>
        <v>222873.70244791667</v>
      </c>
      <c r="F62" s="336">
        <f>'E) Fact soc'!G67</f>
        <v>9388061.3140610047</v>
      </c>
      <c r="G62" s="333">
        <f>'H) Péréquation directe'!I72</f>
        <v>4338444.0956662009</v>
      </c>
      <c r="H62" s="336">
        <f>+'I) Dépenses thématiques'!O61</f>
        <v>-94016.473164062496</v>
      </c>
      <c r="I62" s="333">
        <f>'K) Plafonnement aide'!J61</f>
        <v>0</v>
      </c>
      <c r="J62" s="336">
        <f>'J) Plafonnement effort'!I61</f>
        <v>-3603172.3264068929</v>
      </c>
      <c r="K62" s="333">
        <f>'L) Plafonnement taux'!Q62</f>
        <v>0</v>
      </c>
      <c r="L62" s="331">
        <f t="shared" ref="L62:L116" si="2">F62+G62+H62+I62+J62+K62</f>
        <v>10029316.610156249</v>
      </c>
      <c r="M62" s="244">
        <f>'M) Police'!O62</f>
        <v>372036.07873155503</v>
      </c>
      <c r="N62" s="244">
        <f t="shared" si="1"/>
        <v>10401352.688887805</v>
      </c>
      <c r="P62" s="339"/>
    </row>
    <row r="63" spans="1:16" s="163" customFormat="1" x14ac:dyDescent="0.25">
      <c r="A63" s="160">
        <f>'B) D RI'!A64</f>
        <v>5493</v>
      </c>
      <c r="B63" s="161" t="str">
        <f>'B) D RI'!B64</f>
        <v>Orny</v>
      </c>
      <c r="C63" s="334">
        <f>'B) D RI'!S64</f>
        <v>73</v>
      </c>
      <c r="D63" s="162">
        <f>'B) D RI'!AA64</f>
        <v>356</v>
      </c>
      <c r="E63" s="332">
        <f>'D) Ecrêtage'!C62</f>
        <v>9896.3592518440455</v>
      </c>
      <c r="F63" s="336">
        <f>'E) Fact soc'!G68</f>
        <v>211566.73633469554</v>
      </c>
      <c r="G63" s="333">
        <f>'H) Péréquation directe'!I73</f>
        <v>22525.547086444625</v>
      </c>
      <c r="H63" s="336">
        <f>+'I) Dépenses thématiques'!O62</f>
        <v>-328559.07505005272</v>
      </c>
      <c r="I63" s="333">
        <f>'K) Plafonnement aide'!J62</f>
        <v>0</v>
      </c>
      <c r="J63" s="336">
        <f>'J) Plafonnement effort'!I62</f>
        <v>0</v>
      </c>
      <c r="K63" s="333">
        <f>'L) Plafonnement taux'!Q63</f>
        <v>0</v>
      </c>
      <c r="L63" s="331">
        <f t="shared" si="2"/>
        <v>-94466.791628912557</v>
      </c>
      <c r="M63" s="244">
        <f>'M) Police'!O63</f>
        <v>31136.404557598478</v>
      </c>
      <c r="N63" s="244">
        <f t="shared" si="1"/>
        <v>-63330.387071314079</v>
      </c>
      <c r="P63" s="339"/>
    </row>
    <row r="64" spans="1:16" s="163" customFormat="1" x14ac:dyDescent="0.25">
      <c r="A64" s="160">
        <f>'B) D RI'!A65</f>
        <v>5494</v>
      </c>
      <c r="B64" s="161" t="str">
        <f>'B) D RI'!B65</f>
        <v>Pampigny</v>
      </c>
      <c r="C64" s="334">
        <f>'B) D RI'!S65</f>
        <v>75</v>
      </c>
      <c r="D64" s="162">
        <f>'B) D RI'!AA65</f>
        <v>1124</v>
      </c>
      <c r="E64" s="332">
        <f>'D) Ecrêtage'!C63</f>
        <v>36998.378139682543</v>
      </c>
      <c r="F64" s="336">
        <f>'E) Fact soc'!G69</f>
        <v>613347.13865960867</v>
      </c>
      <c r="G64" s="333">
        <f>'H) Péréquation directe'!I74</f>
        <v>264405.51762064977</v>
      </c>
      <c r="H64" s="336">
        <f>+'I) Dépenses thématiques'!O63</f>
        <v>-227719.19755714285</v>
      </c>
      <c r="I64" s="333">
        <f>'K) Plafonnement aide'!J63</f>
        <v>0</v>
      </c>
      <c r="J64" s="336">
        <f>'J) Plafonnement effort'!I63</f>
        <v>0</v>
      </c>
      <c r="K64" s="333">
        <f>'L) Plafonnement taux'!Q64</f>
        <v>0</v>
      </c>
      <c r="L64" s="331">
        <f t="shared" si="2"/>
        <v>650033.45872311562</v>
      </c>
      <c r="M64" s="244">
        <f>'M) Police'!O64</f>
        <v>116262.13498563446</v>
      </c>
      <c r="N64" s="244">
        <f t="shared" si="1"/>
        <v>766295.59370875009</v>
      </c>
      <c r="P64" s="339"/>
    </row>
    <row r="65" spans="1:16" s="163" customFormat="1" x14ac:dyDescent="0.25">
      <c r="A65" s="160">
        <f>'B) D RI'!A66</f>
        <v>5495</v>
      </c>
      <c r="B65" s="161" t="str">
        <f>'B) D RI'!B66</f>
        <v>Penthalaz</v>
      </c>
      <c r="C65" s="334">
        <f>'B) D RI'!S66</f>
        <v>74</v>
      </c>
      <c r="D65" s="162">
        <f>'B) D RI'!AA66</f>
        <v>3282</v>
      </c>
      <c r="E65" s="332">
        <f>'D) Ecrêtage'!C64</f>
        <v>92865.132567567576</v>
      </c>
      <c r="F65" s="336">
        <f>'E) Fact soc'!G70</f>
        <v>1844483.8964229277</v>
      </c>
      <c r="G65" s="333">
        <f>'H) Péréquation directe'!I75</f>
        <v>-306700.53122765385</v>
      </c>
      <c r="H65" s="336">
        <f>+'I) Dépenses thématiques'!O64</f>
        <v>-490731.60516891885</v>
      </c>
      <c r="I65" s="333">
        <f>'K) Plafonnement aide'!J64</f>
        <v>0</v>
      </c>
      <c r="J65" s="336">
        <f>'J) Plafonnement effort'!I64</f>
        <v>0</v>
      </c>
      <c r="K65" s="333">
        <f>'L) Plafonnement taux'!Q65</f>
        <v>0</v>
      </c>
      <c r="L65" s="331">
        <f t="shared" si="2"/>
        <v>1047051.760026355</v>
      </c>
      <c r="M65" s="244">
        <f>'M) Police'!O65</f>
        <v>290455.00562187738</v>
      </c>
      <c r="N65" s="244">
        <f t="shared" si="1"/>
        <v>1337506.7656482323</v>
      </c>
      <c r="P65" s="339"/>
    </row>
    <row r="66" spans="1:16" s="163" customFormat="1" x14ac:dyDescent="0.25">
      <c r="A66" s="160">
        <f>'B) D RI'!A67</f>
        <v>5496</v>
      </c>
      <c r="B66" s="161" t="str">
        <f>'B) D RI'!B67</f>
        <v>Penthaz</v>
      </c>
      <c r="C66" s="334">
        <f>'B) D RI'!S67</f>
        <v>71</v>
      </c>
      <c r="D66" s="162">
        <f>'B) D RI'!AA67</f>
        <v>1726</v>
      </c>
      <c r="E66" s="332">
        <f>'D) Ecrêtage'!C65</f>
        <v>54824.850845070439</v>
      </c>
      <c r="F66" s="336">
        <f>'E) Fact soc'!G71</f>
        <v>1010185.6412547021</v>
      </c>
      <c r="G66" s="333">
        <f>'H) Péréquation directe'!I76</f>
        <v>256602.54118853505</v>
      </c>
      <c r="H66" s="336">
        <f>+'I) Dépenses thématiques'!O65</f>
        <v>-245027.39492957736</v>
      </c>
      <c r="I66" s="333">
        <f>'K) Plafonnement aide'!J65</f>
        <v>0</v>
      </c>
      <c r="J66" s="336">
        <f>'J) Plafonnement effort'!I65</f>
        <v>0</v>
      </c>
      <c r="K66" s="333">
        <f>'L) Plafonnement taux'!Q66</f>
        <v>0</v>
      </c>
      <c r="L66" s="331">
        <f t="shared" si="2"/>
        <v>1021760.7875136598</v>
      </c>
      <c r="M66" s="244">
        <f>'M) Police'!O66</f>
        <v>172100.64994307529</v>
      </c>
      <c r="N66" s="244">
        <f t="shared" si="1"/>
        <v>1193861.4374567352</v>
      </c>
      <c r="P66" s="339"/>
    </row>
    <row r="67" spans="1:16" s="163" customFormat="1" x14ac:dyDescent="0.25">
      <c r="A67" s="160">
        <f>'B) D RI'!A68</f>
        <v>5497</v>
      </c>
      <c r="B67" s="161" t="str">
        <f>'B) D RI'!B68</f>
        <v>Pompaples</v>
      </c>
      <c r="C67" s="334">
        <f>'B) D RI'!S68</f>
        <v>66</v>
      </c>
      <c r="D67" s="162">
        <f>'B) D RI'!AA68</f>
        <v>854</v>
      </c>
      <c r="E67" s="332">
        <f>'D) Ecrêtage'!C66</f>
        <v>21718.90772727273</v>
      </c>
      <c r="F67" s="336">
        <f>'E) Fact soc'!G72</f>
        <v>594317.2284704675</v>
      </c>
      <c r="G67" s="333">
        <f>'H) Péréquation directe'!I77</f>
        <v>36164.494617570483</v>
      </c>
      <c r="H67" s="336">
        <f>+'I) Dépenses thématiques'!O66</f>
        <v>-181483.30363636362</v>
      </c>
      <c r="I67" s="333">
        <f>'K) Plafonnement aide'!J66</f>
        <v>0</v>
      </c>
      <c r="J67" s="336">
        <f>'J) Plafonnement effort'!I66</f>
        <v>0</v>
      </c>
      <c r="K67" s="333">
        <f>'L) Plafonnement taux'!Q67</f>
        <v>0</v>
      </c>
      <c r="L67" s="331">
        <f t="shared" si="2"/>
        <v>448998.41945167433</v>
      </c>
      <c r="M67" s="244">
        <f>'M) Police'!O67</f>
        <v>68110.863406595832</v>
      </c>
      <c r="N67" s="244">
        <f t="shared" si="1"/>
        <v>517109.28285827016</v>
      </c>
      <c r="P67" s="339"/>
    </row>
    <row r="68" spans="1:16" s="163" customFormat="1" x14ac:dyDescent="0.25">
      <c r="A68" s="160">
        <f>'B) D RI'!A69</f>
        <v>5498</v>
      </c>
      <c r="B68" s="161" t="str">
        <f>'B) D RI'!B69</f>
        <v>La Sarraz</v>
      </c>
      <c r="C68" s="334">
        <f>'B) D RI'!S69</f>
        <v>66</v>
      </c>
      <c r="D68" s="162">
        <f>'B) D RI'!AA69</f>
        <v>2609</v>
      </c>
      <c r="E68" s="332">
        <f>'D) Ecrêtage'!C67</f>
        <v>70914.560303030303</v>
      </c>
      <c r="F68" s="336">
        <f>'E) Fact soc'!G73</f>
        <v>1550261.7191714572</v>
      </c>
      <c r="G68" s="333">
        <f>'H) Péréquation directe'!I78</f>
        <v>-76755.829706127988</v>
      </c>
      <c r="H68" s="336">
        <f>+'I) Dépenses thématiques'!O67</f>
        <v>-611300.63818181818</v>
      </c>
      <c r="I68" s="333">
        <f>'K) Plafonnement aide'!J67</f>
        <v>0</v>
      </c>
      <c r="J68" s="336">
        <f>'J) Plafonnement effort'!I67</f>
        <v>0</v>
      </c>
      <c r="K68" s="333">
        <f>'L) Plafonnement taux'!Q68</f>
        <v>0</v>
      </c>
      <c r="L68" s="331">
        <f t="shared" si="2"/>
        <v>862205.25128351105</v>
      </c>
      <c r="M68" s="244">
        <f>'M) Police'!O68</f>
        <v>221947.60925247098</v>
      </c>
      <c r="N68" s="244">
        <f t="shared" si="1"/>
        <v>1084152.8605359821</v>
      </c>
      <c r="P68" s="339"/>
    </row>
    <row r="69" spans="1:16" s="163" customFormat="1" x14ac:dyDescent="0.25">
      <c r="A69" s="160">
        <f>'B) D RI'!A70</f>
        <v>5499</v>
      </c>
      <c r="B69" s="161" t="str">
        <f>'B) D RI'!B70</f>
        <v>Senarclens</v>
      </c>
      <c r="C69" s="334">
        <f>'B) D RI'!S70</f>
        <v>68.5</v>
      </c>
      <c r="D69" s="162">
        <f>'B) D RI'!AA70</f>
        <v>505</v>
      </c>
      <c r="E69" s="332">
        <f>'D) Ecrêtage'!C68</f>
        <v>20155.097956204383</v>
      </c>
      <c r="F69" s="336">
        <f>'E) Fact soc'!G74</f>
        <v>495413.38698205317</v>
      </c>
      <c r="G69" s="333">
        <f>'H) Péréquation directe'!I79</f>
        <v>290904.49174391729</v>
      </c>
      <c r="H69" s="336">
        <f>+'I) Dépenses thématiques'!O68</f>
        <v>-24164.412262773702</v>
      </c>
      <c r="I69" s="333">
        <f>'K) Plafonnement aide'!J68</f>
        <v>0</v>
      </c>
      <c r="J69" s="336">
        <f>'J) Plafonnement effort'!I68</f>
        <v>0</v>
      </c>
      <c r="K69" s="333">
        <f>'L) Plafonnement taux'!Q69</f>
        <v>0</v>
      </c>
      <c r="L69" s="331">
        <f t="shared" si="2"/>
        <v>762153.46646319667</v>
      </c>
      <c r="M69" s="244">
        <f>'M) Police'!O69</f>
        <v>63865.980724374283</v>
      </c>
      <c r="N69" s="244">
        <f t="shared" si="1"/>
        <v>826019.44718757097</v>
      </c>
      <c r="P69" s="339"/>
    </row>
    <row r="70" spans="1:16" s="163" customFormat="1" x14ac:dyDescent="0.25">
      <c r="A70" s="160">
        <f>'B) D RI'!A71</f>
        <v>5500</v>
      </c>
      <c r="B70" s="161" t="str">
        <f>'B) D RI'!B71</f>
        <v>Sévery</v>
      </c>
      <c r="C70" s="334">
        <f>'B) D RI'!S71</f>
        <v>75</v>
      </c>
      <c r="D70" s="162">
        <f>'B) D RI'!AA71</f>
        <v>233</v>
      </c>
      <c r="E70" s="332">
        <f>'D) Ecrêtage'!C69</f>
        <v>8930.8127555555548</v>
      </c>
      <c r="F70" s="336">
        <f>'E) Fact soc'!G75</f>
        <v>157305.0520911435</v>
      </c>
      <c r="G70" s="333">
        <f>'H) Péréquation directe'!I80</f>
        <v>114002.08857105684</v>
      </c>
      <c r="H70" s="336">
        <f>+'I) Dépenses thématiques'!O69</f>
        <v>-7147.1234666666714</v>
      </c>
      <c r="I70" s="333">
        <f>'K) Plafonnement aide'!J69</f>
        <v>0</v>
      </c>
      <c r="J70" s="336">
        <f>'J) Plafonnement effort'!I69</f>
        <v>0</v>
      </c>
      <c r="K70" s="333">
        <f>'L) Plafonnement taux'!Q70</f>
        <v>0</v>
      </c>
      <c r="L70" s="331">
        <f t="shared" si="2"/>
        <v>264160.01719553367</v>
      </c>
      <c r="M70" s="244">
        <f>'M) Police'!O70</f>
        <v>28373.447787856796</v>
      </c>
      <c r="N70" s="244">
        <f t="shared" si="1"/>
        <v>292533.46498339047</v>
      </c>
      <c r="P70" s="339"/>
    </row>
    <row r="71" spans="1:16" s="163" customFormat="1" x14ac:dyDescent="0.25">
      <c r="A71" s="160">
        <f>'B) D RI'!A72</f>
        <v>5501</v>
      </c>
      <c r="B71" s="161" t="str">
        <f>'B) D RI'!B72</f>
        <v>Sullens</v>
      </c>
      <c r="C71" s="334">
        <f>'B) D RI'!S72</f>
        <v>70</v>
      </c>
      <c r="D71" s="162">
        <f>'B) D RI'!AA72</f>
        <v>1005</v>
      </c>
      <c r="E71" s="332">
        <f>'D) Ecrêtage'!C70</f>
        <v>34225.937428571429</v>
      </c>
      <c r="F71" s="336">
        <f>'E) Fact soc'!G76</f>
        <v>630444.8717773247</v>
      </c>
      <c r="G71" s="333">
        <f>'H) Péréquation directe'!I81</f>
        <v>340863.07383103506</v>
      </c>
      <c r="H71" s="336">
        <f>+'I) Dépenses thématiques'!O70</f>
        <v>-62653.922357142852</v>
      </c>
      <c r="I71" s="333">
        <f>'K) Plafonnement aide'!J70</f>
        <v>0</v>
      </c>
      <c r="J71" s="336">
        <f>'J) Plafonnement effort'!I70</f>
        <v>0</v>
      </c>
      <c r="K71" s="333">
        <f>'L) Plafonnement taux'!Q71</f>
        <v>0</v>
      </c>
      <c r="L71" s="331">
        <f t="shared" si="2"/>
        <v>908654.02325121686</v>
      </c>
      <c r="M71" s="244">
        <f>'M) Police'!O71</f>
        <v>106890.16457332985</v>
      </c>
      <c r="N71" s="244">
        <f t="shared" ref="N71:N134" si="3">L71+M71</f>
        <v>1015544.1878245467</v>
      </c>
      <c r="P71" s="339"/>
    </row>
    <row r="72" spans="1:16" s="163" customFormat="1" x14ac:dyDescent="0.25">
      <c r="A72" s="160">
        <f>'B) D RI'!A73</f>
        <v>5503</v>
      </c>
      <c r="B72" s="161" t="str">
        <f>'B) D RI'!B73</f>
        <v>Vufflens-la-Ville</v>
      </c>
      <c r="C72" s="334">
        <f>'B) D RI'!S73</f>
        <v>67</v>
      </c>
      <c r="D72" s="162">
        <f>'B) D RI'!AA73</f>
        <v>1284</v>
      </c>
      <c r="E72" s="332">
        <f>'D) Ecrêtage'!C71</f>
        <v>64516.192437810947</v>
      </c>
      <c r="F72" s="336">
        <f>'E) Fact soc'!G77</f>
        <v>1246859.7064182421</v>
      </c>
      <c r="G72" s="333">
        <f>'H) Péréquation directe'!I82</f>
        <v>1069423.7811553748</v>
      </c>
      <c r="H72" s="336">
        <f>+'I) Dépenses thématiques'!O71</f>
        <v>0</v>
      </c>
      <c r="I72" s="333">
        <f>'K) Plafonnement aide'!J71</f>
        <v>0</v>
      </c>
      <c r="J72" s="336">
        <f>'J) Plafonnement effort'!I71</f>
        <v>0</v>
      </c>
      <c r="K72" s="333">
        <f>'L) Plafonnement taux'!Q72</f>
        <v>0</v>
      </c>
      <c r="L72" s="331">
        <f t="shared" si="2"/>
        <v>2316283.4875736171</v>
      </c>
      <c r="M72" s="244">
        <f>'M) Police'!O72</f>
        <v>191567.63800961489</v>
      </c>
      <c r="N72" s="244">
        <f t="shared" si="3"/>
        <v>2507851.1255832319</v>
      </c>
      <c r="P72" s="339"/>
    </row>
    <row r="73" spans="1:16" s="163" customFormat="1" x14ac:dyDescent="0.25">
      <c r="A73" s="160">
        <f>'B) D RI'!A74</f>
        <v>5511</v>
      </c>
      <c r="B73" s="161" t="str">
        <f>'B) D RI'!B74</f>
        <v>Assens</v>
      </c>
      <c r="C73" s="334">
        <f>'B) D RI'!S74</f>
        <v>70</v>
      </c>
      <c r="D73" s="162">
        <f>'B) D RI'!AA74</f>
        <v>1070</v>
      </c>
      <c r="E73" s="332">
        <f>'D) Ecrêtage'!C72</f>
        <v>48081.721857142853</v>
      </c>
      <c r="F73" s="336">
        <f>'E) Fact soc'!G78</f>
        <v>802942.24195966311</v>
      </c>
      <c r="G73" s="333">
        <f>'H) Péréquation directe'!I83</f>
        <v>808587.28085418988</v>
      </c>
      <c r="H73" s="336">
        <f>+'I) Dépenses thématiques'!O72</f>
        <v>-136517.41885714288</v>
      </c>
      <c r="I73" s="333">
        <f>'K) Plafonnement aide'!J72</f>
        <v>0</v>
      </c>
      <c r="J73" s="336">
        <f>'J) Plafonnement effort'!I72</f>
        <v>0</v>
      </c>
      <c r="K73" s="333">
        <f>'L) Plafonnement taux'!Q73</f>
        <v>0</v>
      </c>
      <c r="L73" s="331">
        <f t="shared" si="2"/>
        <v>1475012.1039567101</v>
      </c>
      <c r="M73" s="244">
        <f>'M) Police'!O73</f>
        <v>152188.523775087</v>
      </c>
      <c r="N73" s="244">
        <f t="shared" si="3"/>
        <v>1627200.6277317971</v>
      </c>
      <c r="P73" s="339"/>
    </row>
    <row r="74" spans="1:16" s="163" customFormat="1" x14ac:dyDescent="0.25">
      <c r="A74" s="160">
        <f>'B) D RI'!A75</f>
        <v>5512</v>
      </c>
      <c r="B74" s="161" t="str">
        <f>'B) D RI'!B75</f>
        <v>Bercher</v>
      </c>
      <c r="C74" s="334">
        <f>'B) D RI'!S75</f>
        <v>79</v>
      </c>
      <c r="D74" s="162">
        <f>'B) D RI'!AA75</f>
        <v>1221</v>
      </c>
      <c r="E74" s="332">
        <f>'D) Ecrêtage'!C73</f>
        <v>37529.742911392401</v>
      </c>
      <c r="F74" s="336">
        <f>'E) Fact soc'!G79</f>
        <v>711948.40384601115</v>
      </c>
      <c r="G74" s="333">
        <f>'H) Péréquation directe'!I84</f>
        <v>111822.83738725516</v>
      </c>
      <c r="H74" s="336">
        <f>+'I) Dépenses thématiques'!O73</f>
        <v>-176800.54253164559</v>
      </c>
      <c r="I74" s="333">
        <f>'K) Plafonnement aide'!J73</f>
        <v>0</v>
      </c>
      <c r="J74" s="336">
        <f>'J) Plafonnement effort'!I73</f>
        <v>0</v>
      </c>
      <c r="K74" s="333">
        <f>'L) Plafonnement taux'!Q74</f>
        <v>0</v>
      </c>
      <c r="L74" s="331">
        <f t="shared" si="2"/>
        <v>646970.69870162068</v>
      </c>
      <c r="M74" s="244">
        <f>'M) Police'!O74</f>
        <v>117954.59043333883</v>
      </c>
      <c r="N74" s="244">
        <f t="shared" si="3"/>
        <v>764925.28913495946</v>
      </c>
      <c r="P74" s="339"/>
    </row>
    <row r="75" spans="1:16" s="163" customFormat="1" x14ac:dyDescent="0.25">
      <c r="A75" s="160">
        <f>'B) D RI'!A76</f>
        <v>5513</v>
      </c>
      <c r="B75" s="161" t="str">
        <f>'B) D RI'!B76</f>
        <v>Bioley-Orjulaz</v>
      </c>
      <c r="C75" s="334">
        <f>'B) D RI'!S76</f>
        <v>68</v>
      </c>
      <c r="D75" s="162">
        <f>'B) D RI'!AA76</f>
        <v>499</v>
      </c>
      <c r="E75" s="332">
        <f>'D) Ecrêtage'!C74</f>
        <v>21045.596470588232</v>
      </c>
      <c r="F75" s="336">
        <f>'E) Fact soc'!G80</f>
        <v>545741.01661566447</v>
      </c>
      <c r="G75" s="333">
        <f>'H) Péréquation directe'!I85</f>
        <v>331578.61753175507</v>
      </c>
      <c r="H75" s="336">
        <f>+'I) Dépenses thématiques'!O74</f>
        <v>-26545.671176470605</v>
      </c>
      <c r="I75" s="333">
        <f>'K) Plafonnement aide'!J74</f>
        <v>0</v>
      </c>
      <c r="J75" s="336">
        <f>'J) Plafonnement effort'!I74</f>
        <v>0</v>
      </c>
      <c r="K75" s="333">
        <f>'L) Plafonnement taux'!Q75</f>
        <v>0</v>
      </c>
      <c r="L75" s="331">
        <f t="shared" si="2"/>
        <v>850773.96297094901</v>
      </c>
      <c r="M75" s="244">
        <f>'M) Police'!O75</f>
        <v>66339.699481571195</v>
      </c>
      <c r="N75" s="244">
        <f t="shared" si="3"/>
        <v>917113.66245252022</v>
      </c>
      <c r="P75" s="339"/>
    </row>
    <row r="76" spans="1:16" s="163" customFormat="1" x14ac:dyDescent="0.25">
      <c r="A76" s="160">
        <f>'B) D RI'!A77</f>
        <v>5514</v>
      </c>
      <c r="B76" s="161" t="str">
        <f>'B) D RI'!B77</f>
        <v>Bottens</v>
      </c>
      <c r="C76" s="334">
        <f>'B) D RI'!S77</f>
        <v>69</v>
      </c>
      <c r="D76" s="162">
        <f>'B) D RI'!AA77</f>
        <v>1263</v>
      </c>
      <c r="E76" s="332">
        <f>'D) Ecrêtage'!C75</f>
        <v>40912.963623188407</v>
      </c>
      <c r="F76" s="336">
        <f>'E) Fact soc'!G81</f>
        <v>707740.76395040832</v>
      </c>
      <c r="G76" s="333">
        <f>'H) Péréquation directe'!I86</f>
        <v>297310.16540482023</v>
      </c>
      <c r="H76" s="336">
        <f>+'I) Dépenses thématiques'!O75</f>
        <v>0</v>
      </c>
      <c r="I76" s="333">
        <f>'K) Plafonnement aide'!J75</f>
        <v>0</v>
      </c>
      <c r="J76" s="336">
        <f>'J) Plafonnement effort'!I75</f>
        <v>0</v>
      </c>
      <c r="K76" s="333">
        <f>'L) Plafonnement taux'!Q76</f>
        <v>0</v>
      </c>
      <c r="L76" s="331">
        <f t="shared" si="2"/>
        <v>1005050.9293552286</v>
      </c>
      <c r="M76" s="244">
        <f>'M) Police'!O76</f>
        <v>128671.18445133006</v>
      </c>
      <c r="N76" s="244">
        <f t="shared" si="3"/>
        <v>1133722.1138065585</v>
      </c>
      <c r="P76" s="339"/>
    </row>
    <row r="77" spans="1:16" s="163" customFormat="1" x14ac:dyDescent="0.25">
      <c r="A77" s="160">
        <f>'B) D RI'!A78</f>
        <v>5515</v>
      </c>
      <c r="B77" s="161" t="str">
        <f>'B) D RI'!B78</f>
        <v>Bretigny-sur-Morrens</v>
      </c>
      <c r="C77" s="334">
        <f>'B) D RI'!S78</f>
        <v>73</v>
      </c>
      <c r="D77" s="162">
        <f>'B) D RI'!AA78</f>
        <v>825</v>
      </c>
      <c r="E77" s="332">
        <f>'D) Ecrêtage'!C76</f>
        <v>27693.425342465755</v>
      </c>
      <c r="F77" s="336">
        <f>'E) Fact soc'!G82</f>
        <v>492610.2702195067</v>
      </c>
      <c r="G77" s="333">
        <f>'H) Péréquation directe'!I87</f>
        <v>248403.80612372211</v>
      </c>
      <c r="H77" s="336">
        <f>+'I) Dépenses thématiques'!O76</f>
        <v>-45630.447945205473</v>
      </c>
      <c r="I77" s="333">
        <f>'K) Plafonnement aide'!J76</f>
        <v>0</v>
      </c>
      <c r="J77" s="336">
        <f>'J) Plafonnement effort'!I76</f>
        <v>0</v>
      </c>
      <c r="K77" s="333">
        <f>'L) Plafonnement taux'!Q77</f>
        <v>0</v>
      </c>
      <c r="L77" s="331">
        <f t="shared" si="2"/>
        <v>695383.62839802331</v>
      </c>
      <c r="M77" s="244">
        <f>'M) Police'!O77</f>
        <v>87217.671627561009</v>
      </c>
      <c r="N77" s="244">
        <f t="shared" si="3"/>
        <v>782601.30002558429</v>
      </c>
      <c r="P77" s="339"/>
    </row>
    <row r="78" spans="1:16" s="163" customFormat="1" x14ac:dyDescent="0.25">
      <c r="A78" s="160">
        <f>'B) D RI'!A79</f>
        <v>5516</v>
      </c>
      <c r="B78" s="161" t="str">
        <f>'B) D RI'!B79</f>
        <v>Cugy</v>
      </c>
      <c r="C78" s="334">
        <f>'B) D RI'!S79</f>
        <v>70</v>
      </c>
      <c r="D78" s="162">
        <f>'B) D RI'!AA79</f>
        <v>2744</v>
      </c>
      <c r="E78" s="332">
        <f>'D) Ecrêtage'!C77</f>
        <v>110018.3817142857</v>
      </c>
      <c r="F78" s="336">
        <f>'E) Fact soc'!G83</f>
        <v>2041788.3407018781</v>
      </c>
      <c r="G78" s="333">
        <f>'H) Péréquation directe'!I88</f>
        <v>1200817.4192753404</v>
      </c>
      <c r="H78" s="336">
        <f>+'I) Dépenses thématiques'!O77</f>
        <v>-267938.9597142858</v>
      </c>
      <c r="I78" s="333">
        <f>'K) Plafonnement aide'!J77</f>
        <v>0</v>
      </c>
      <c r="J78" s="336">
        <f>'J) Plafonnement effort'!I77</f>
        <v>0</v>
      </c>
      <c r="K78" s="333">
        <f>'L) Plafonnement taux'!Q78</f>
        <v>0</v>
      </c>
      <c r="L78" s="331">
        <f t="shared" si="2"/>
        <v>2974666.8002629327</v>
      </c>
      <c r="M78" s="244">
        <f>'M) Police'!O78</f>
        <v>346362.42978312902</v>
      </c>
      <c r="N78" s="244">
        <f t="shared" si="3"/>
        <v>3321029.2300460618</v>
      </c>
      <c r="P78" s="339"/>
    </row>
    <row r="79" spans="1:16" s="163" customFormat="1" x14ac:dyDescent="0.25">
      <c r="A79" s="160">
        <f>'B) D RI'!A80</f>
        <v>5518</v>
      </c>
      <c r="B79" s="161" t="str">
        <f>'B) D RI'!B80</f>
        <v>Echallens</v>
      </c>
      <c r="C79" s="334">
        <f>'B) D RI'!S80</f>
        <v>74</v>
      </c>
      <c r="D79" s="162">
        <f>'B) D RI'!AA80</f>
        <v>5728</v>
      </c>
      <c r="E79" s="332">
        <f>'D) Ecrêtage'!C78</f>
        <v>186251.15094594596</v>
      </c>
      <c r="F79" s="336">
        <f>'E) Fact soc'!G84</f>
        <v>3257131.7251791549</v>
      </c>
      <c r="G79" s="333">
        <f>'H) Péréquation directe'!I89</f>
        <v>-93424.372788166627</v>
      </c>
      <c r="H79" s="336">
        <f>+'I) Dépenses thématiques'!O78</f>
        <v>-1070341.3443243243</v>
      </c>
      <c r="I79" s="333">
        <f>'K) Plafonnement aide'!J78</f>
        <v>0</v>
      </c>
      <c r="J79" s="336">
        <f>'J) Plafonnement effort'!I78</f>
        <v>0</v>
      </c>
      <c r="K79" s="333">
        <f>'L) Plafonnement taux'!Q79</f>
        <v>0</v>
      </c>
      <c r="L79" s="331">
        <f t="shared" si="2"/>
        <v>2093366.008066664</v>
      </c>
      <c r="M79" s="244">
        <f>'M) Police'!O79</f>
        <v>585695.27568938129</v>
      </c>
      <c r="N79" s="244">
        <f t="shared" si="3"/>
        <v>2679061.2837560452</v>
      </c>
      <c r="P79" s="339"/>
    </row>
    <row r="80" spans="1:16" s="163" customFormat="1" x14ac:dyDescent="0.25">
      <c r="A80" s="160">
        <f>'B) D RI'!A81</f>
        <v>5520</v>
      </c>
      <c r="B80" s="161" t="str">
        <f>'B) D RI'!B81</f>
        <v>Essertines-sur-Yverdon</v>
      </c>
      <c r="C80" s="334">
        <f>'B) D RI'!S81</f>
        <v>73</v>
      </c>
      <c r="D80" s="162">
        <f>'B) D RI'!AA81</f>
        <v>981</v>
      </c>
      <c r="E80" s="332">
        <f>'D) Ecrêtage'!C79</f>
        <v>32026.22082191781</v>
      </c>
      <c r="F80" s="336">
        <f>'E) Fact soc'!G85</f>
        <v>606787.84688492515</v>
      </c>
      <c r="G80" s="333">
        <f>'H) Péréquation directe'!I90</f>
        <v>258117.431541192</v>
      </c>
      <c r="H80" s="336">
        <f>+'I) Dépenses thématiques'!O79</f>
        <v>-233360.2594520548</v>
      </c>
      <c r="I80" s="333">
        <f>'K) Plafonnement aide'!J79</f>
        <v>0</v>
      </c>
      <c r="J80" s="336">
        <f>'J) Plafonnement effort'!I79</f>
        <v>0</v>
      </c>
      <c r="K80" s="333">
        <f>'L) Plafonnement taux'!Q80</f>
        <v>0</v>
      </c>
      <c r="L80" s="331">
        <f t="shared" si="2"/>
        <v>631545.01897406229</v>
      </c>
      <c r="M80" s="244">
        <f>'M) Police'!O80</f>
        <v>100822.66618831355</v>
      </c>
      <c r="N80" s="244">
        <f t="shared" si="3"/>
        <v>732367.6851623758</v>
      </c>
      <c r="P80" s="339"/>
    </row>
    <row r="81" spans="1:16" s="163" customFormat="1" x14ac:dyDescent="0.25">
      <c r="A81" s="160">
        <f>'B) D RI'!A82</f>
        <v>5521</v>
      </c>
      <c r="B81" s="161" t="str">
        <f>'B) D RI'!B82</f>
        <v>Etagnières</v>
      </c>
      <c r="C81" s="334">
        <f>'B) D RI'!S82</f>
        <v>73</v>
      </c>
      <c r="D81" s="162">
        <f>'B) D RI'!AA82</f>
        <v>1119</v>
      </c>
      <c r="E81" s="332">
        <f>'D) Ecrêtage'!C80</f>
        <v>40939.440821917808</v>
      </c>
      <c r="F81" s="336">
        <f>'E) Fact soc'!G86</f>
        <v>734797.13769961626</v>
      </c>
      <c r="G81" s="333">
        <f>'H) Péréquation directe'!I91</f>
        <v>449690.62604889914</v>
      </c>
      <c r="H81" s="336">
        <f>+'I) Dépenses thématiques'!O80</f>
        <v>-1057.1050684931542</v>
      </c>
      <c r="I81" s="333">
        <f>'K) Plafonnement aide'!J80</f>
        <v>0</v>
      </c>
      <c r="J81" s="336">
        <f>'J) Plafonnement effort'!I80</f>
        <v>0</v>
      </c>
      <c r="K81" s="333">
        <f>'L) Plafonnement taux'!Q81</f>
        <v>0</v>
      </c>
      <c r="L81" s="331">
        <f t="shared" si="2"/>
        <v>1183430.6586800222</v>
      </c>
      <c r="M81" s="244">
        <f>'M) Police'!O81</f>
        <v>128295.97286869753</v>
      </c>
      <c r="N81" s="244">
        <f t="shared" si="3"/>
        <v>1311726.6315487197</v>
      </c>
      <c r="P81" s="339"/>
    </row>
    <row r="82" spans="1:16" s="163" customFormat="1" x14ac:dyDescent="0.25">
      <c r="A82" s="160">
        <f>'B) D RI'!A83</f>
        <v>5522</v>
      </c>
      <c r="B82" s="161" t="str">
        <f>'B) D RI'!B83</f>
        <v>Fey</v>
      </c>
      <c r="C82" s="334">
        <f>'B) D RI'!S83</f>
        <v>75</v>
      </c>
      <c r="D82" s="162">
        <f>'B) D RI'!AA83</f>
        <v>703</v>
      </c>
      <c r="E82" s="332">
        <f>'D) Ecrêtage'!C81</f>
        <v>20215.813200000001</v>
      </c>
      <c r="F82" s="336">
        <f>'E) Fact soc'!G87</f>
        <v>387871.38590017043</v>
      </c>
      <c r="G82" s="333">
        <f>'H) Péréquation directe'!I92</f>
        <v>58599.922475964122</v>
      </c>
      <c r="H82" s="336">
        <f>+'I) Dépenses thématiques'!O81</f>
        <v>-19259.010899999997</v>
      </c>
      <c r="I82" s="333">
        <f>'K) Plafonnement aide'!J81</f>
        <v>0</v>
      </c>
      <c r="J82" s="336">
        <f>'J) Plafonnement effort'!I81</f>
        <v>0</v>
      </c>
      <c r="K82" s="333">
        <f>'L) Plafonnement taux'!Q82</f>
        <v>0</v>
      </c>
      <c r="L82" s="331">
        <f t="shared" si="2"/>
        <v>427212.29747613455</v>
      </c>
      <c r="M82" s="244">
        <f>'M) Police'!O82</f>
        <v>63443.382428183759</v>
      </c>
      <c r="N82" s="244">
        <f t="shared" si="3"/>
        <v>490655.6799043183</v>
      </c>
      <c r="P82" s="339"/>
    </row>
    <row r="83" spans="1:16" s="163" customFormat="1" x14ac:dyDescent="0.25">
      <c r="A83" s="160">
        <f>'B) D RI'!A84</f>
        <v>5523</v>
      </c>
      <c r="B83" s="161" t="str">
        <f>'B) D RI'!B84</f>
        <v>Froideville</v>
      </c>
      <c r="C83" s="334">
        <f>'B) D RI'!S84</f>
        <v>76</v>
      </c>
      <c r="D83" s="162">
        <f>'B) D RI'!AA84</f>
        <v>2561</v>
      </c>
      <c r="E83" s="332">
        <f>'D) Ecrêtage'!C82</f>
        <v>83831.156184210529</v>
      </c>
      <c r="F83" s="336">
        <f>'E) Fact soc'!G88</f>
        <v>1466957.1175540036</v>
      </c>
      <c r="G83" s="333">
        <f>'H) Péréquation directe'!I93</f>
        <v>279169.34988435032</v>
      </c>
      <c r="H83" s="336">
        <f>+'I) Dépenses thématiques'!O82</f>
        <v>-148738.31289473682</v>
      </c>
      <c r="I83" s="333">
        <f>'K) Plafonnement aide'!J82</f>
        <v>0</v>
      </c>
      <c r="J83" s="336">
        <f>'J) Plafonnement effort'!I82</f>
        <v>0</v>
      </c>
      <c r="K83" s="333">
        <f>'L) Plafonnement taux'!Q83</f>
        <v>0</v>
      </c>
      <c r="L83" s="331">
        <f t="shared" si="2"/>
        <v>1597388.154543617</v>
      </c>
      <c r="M83" s="244">
        <f>'M) Police'!O83</f>
        <v>263191.04679156066</v>
      </c>
      <c r="N83" s="244">
        <f t="shared" si="3"/>
        <v>1860579.2013351778</v>
      </c>
      <c r="P83" s="339"/>
    </row>
    <row r="84" spans="1:16" s="163" customFormat="1" x14ac:dyDescent="0.25">
      <c r="A84" s="160">
        <f>'B) D RI'!A85</f>
        <v>5527</v>
      </c>
      <c r="B84" s="161" t="str">
        <f>'B) D RI'!B85</f>
        <v>Morrens</v>
      </c>
      <c r="C84" s="334">
        <f>'B) D RI'!S85</f>
        <v>71</v>
      </c>
      <c r="D84" s="162">
        <f>'B) D RI'!AA85</f>
        <v>1092</v>
      </c>
      <c r="E84" s="332">
        <f>'D) Ecrêtage'!C83</f>
        <v>39666.797042253522</v>
      </c>
      <c r="F84" s="336">
        <f>'E) Fact soc'!G89</f>
        <v>707541.3049601547</v>
      </c>
      <c r="G84" s="333">
        <f>'H) Péréquation directe'!I94</f>
        <v>443598.03938878147</v>
      </c>
      <c r="H84" s="336">
        <f>+'I) Dépenses thématiques'!O83</f>
        <v>-29794.967746478869</v>
      </c>
      <c r="I84" s="333">
        <f>'K) Plafonnement aide'!J83</f>
        <v>0</v>
      </c>
      <c r="J84" s="336">
        <f>'J) Plafonnement effort'!I83</f>
        <v>0</v>
      </c>
      <c r="K84" s="333">
        <f>'L) Plafonnement taux'!Q84</f>
        <v>0</v>
      </c>
      <c r="L84" s="331">
        <f t="shared" si="2"/>
        <v>1121344.3766024571</v>
      </c>
      <c r="M84" s="244">
        <f>'M) Police'!O84</f>
        <v>124700.42758516516</v>
      </c>
      <c r="N84" s="244">
        <f t="shared" si="3"/>
        <v>1246044.8041876224</v>
      </c>
      <c r="P84" s="339"/>
    </row>
    <row r="85" spans="1:16" s="163" customFormat="1" x14ac:dyDescent="0.25">
      <c r="A85" s="160">
        <f>'B) D RI'!A86</f>
        <v>5529</v>
      </c>
      <c r="B85" s="161" t="str">
        <f>'B) D RI'!B86</f>
        <v>Oulens-sous-Echallens</v>
      </c>
      <c r="C85" s="334">
        <f>'B) D RI'!S86</f>
        <v>71</v>
      </c>
      <c r="D85" s="162">
        <f>'B) D RI'!AA86</f>
        <v>577</v>
      </c>
      <c r="E85" s="332">
        <f>'D) Ecrêtage'!C84</f>
        <v>20224.362535211272</v>
      </c>
      <c r="F85" s="336">
        <f>'E) Fact soc'!G90</f>
        <v>371904.30165323464</v>
      </c>
      <c r="G85" s="333">
        <f>'H) Péréquation directe'!I95</f>
        <v>215736.30532588216</v>
      </c>
      <c r="H85" s="336">
        <f>+'I) Dépenses thématiques'!O84</f>
        <v>-122687.05288732391</v>
      </c>
      <c r="I85" s="333">
        <f>'K) Plafonnement aide'!J84</f>
        <v>0</v>
      </c>
      <c r="J85" s="336">
        <f>'J) Plafonnement effort'!I84</f>
        <v>0</v>
      </c>
      <c r="K85" s="333">
        <f>'L) Plafonnement taux'!Q85</f>
        <v>0</v>
      </c>
      <c r="L85" s="331">
        <f t="shared" si="2"/>
        <v>464953.5540917929</v>
      </c>
      <c r="M85" s="244">
        <f>'M) Police'!O85</f>
        <v>63721.319402211157</v>
      </c>
      <c r="N85" s="244">
        <f t="shared" si="3"/>
        <v>528674.87349400402</v>
      </c>
      <c r="P85" s="339"/>
    </row>
    <row r="86" spans="1:16" s="163" customFormat="1" x14ac:dyDescent="0.25">
      <c r="A86" s="160">
        <f>'B) D RI'!A87</f>
        <v>5530</v>
      </c>
      <c r="B86" s="161" t="str">
        <f>'B) D RI'!B87</f>
        <v>Pailly</v>
      </c>
      <c r="C86" s="334">
        <f>'B) D RI'!S87</f>
        <v>77.5</v>
      </c>
      <c r="D86" s="162">
        <f>'B) D RI'!AA87</f>
        <v>543</v>
      </c>
      <c r="E86" s="332">
        <f>'D) Ecrêtage'!C85</f>
        <v>16275.145870967741</v>
      </c>
      <c r="F86" s="336">
        <f>'E) Fact soc'!G91</f>
        <v>307845.01901892002</v>
      </c>
      <c r="G86" s="333">
        <f>'H) Péréquation directe'!I96</f>
        <v>60699.069452316035</v>
      </c>
      <c r="H86" s="336">
        <f>+'I) Dépenses thématiques'!O85</f>
        <v>-544113.5153709678</v>
      </c>
      <c r="I86" s="333">
        <f>'K) Plafonnement aide'!J85</f>
        <v>0</v>
      </c>
      <c r="J86" s="336">
        <f>'J) Plafonnement effort'!I85</f>
        <v>0</v>
      </c>
      <c r="K86" s="333">
        <f>'L) Plafonnement taux'!Q86</f>
        <v>0</v>
      </c>
      <c r="L86" s="331">
        <f t="shared" si="2"/>
        <v>-175569.42689973174</v>
      </c>
      <c r="M86" s="244">
        <f>'M) Police'!O86</f>
        <v>51673.690503563841</v>
      </c>
      <c r="N86" s="244">
        <f t="shared" si="3"/>
        <v>-123895.73639616789</v>
      </c>
      <c r="P86" s="339"/>
    </row>
    <row r="87" spans="1:16" s="163" customFormat="1" x14ac:dyDescent="0.25">
      <c r="A87" s="160">
        <f>'B) D RI'!A88</f>
        <v>5531</v>
      </c>
      <c r="B87" s="161" t="str">
        <f>'B) D RI'!B88</f>
        <v>Penthéréaz</v>
      </c>
      <c r="C87" s="334">
        <f>'B) D RI'!S88</f>
        <v>78</v>
      </c>
      <c r="D87" s="162">
        <f>'B) D RI'!AA88</f>
        <v>418</v>
      </c>
      <c r="E87" s="332">
        <f>'D) Ecrêtage'!C86</f>
        <v>13115.607307692309</v>
      </c>
      <c r="F87" s="336">
        <f>'E) Fact soc'!G92</f>
        <v>235717.82118547428</v>
      </c>
      <c r="G87" s="333">
        <f>'H) Péréquation directe'!I97</f>
        <v>70717.772886958788</v>
      </c>
      <c r="H87" s="336">
        <f>+'I) Dépenses thématiques'!O86</f>
        <v>-60532.900673076911</v>
      </c>
      <c r="I87" s="333">
        <f>'K) Plafonnement aide'!J86</f>
        <v>0</v>
      </c>
      <c r="J87" s="336">
        <f>'J) Plafonnement effort'!I86</f>
        <v>0</v>
      </c>
      <c r="K87" s="333">
        <f>'L) Plafonnement taux'!Q87</f>
        <v>0</v>
      </c>
      <c r="L87" s="331">
        <f t="shared" si="2"/>
        <v>245902.69339935615</v>
      </c>
      <c r="M87" s="244">
        <f>'M) Police'!O87</f>
        <v>41402.089599504325</v>
      </c>
      <c r="N87" s="244">
        <f t="shared" si="3"/>
        <v>287304.78299886046</v>
      </c>
      <c r="P87" s="339"/>
    </row>
    <row r="88" spans="1:16" s="163" customFormat="1" x14ac:dyDescent="0.25">
      <c r="A88" s="160">
        <f>'B) D RI'!A89</f>
        <v>5533</v>
      </c>
      <c r="B88" s="161" t="str">
        <f>'B) D RI'!B89</f>
        <v>Poliez-Pittet</v>
      </c>
      <c r="C88" s="334">
        <f>'B) D RI'!S89</f>
        <v>71</v>
      </c>
      <c r="D88" s="162">
        <f>'B) D RI'!AA89</f>
        <v>849</v>
      </c>
      <c r="E88" s="332">
        <f>'D) Ecrêtage'!C87</f>
        <v>27509.250422535213</v>
      </c>
      <c r="F88" s="336">
        <f>'E) Fact soc'!G93</f>
        <v>452738.69064472208</v>
      </c>
      <c r="G88" s="333">
        <f>'H) Péréquation directe'!I98</f>
        <v>227302.7822520574</v>
      </c>
      <c r="H88" s="336">
        <f>+'I) Dépenses thématiques'!O87</f>
        <v>-45970.309647887312</v>
      </c>
      <c r="I88" s="333">
        <f>'K) Plafonnement aide'!J87</f>
        <v>0</v>
      </c>
      <c r="J88" s="336">
        <f>'J) Plafonnement effort'!I87</f>
        <v>0</v>
      </c>
      <c r="K88" s="333">
        <f>'L) Plafonnement taux'!Q88</f>
        <v>0</v>
      </c>
      <c r="L88" s="331">
        <f t="shared" si="2"/>
        <v>634071.16324889206</v>
      </c>
      <c r="M88" s="244">
        <f>'M) Police'!O88</f>
        <v>86681.065542338853</v>
      </c>
      <c r="N88" s="244">
        <f t="shared" si="3"/>
        <v>720752.22879123094</v>
      </c>
      <c r="P88" s="339"/>
    </row>
    <row r="89" spans="1:16" s="163" customFormat="1" x14ac:dyDescent="0.25">
      <c r="A89" s="160">
        <f>'B) D RI'!A90</f>
        <v>5534</v>
      </c>
      <c r="B89" s="161" t="str">
        <f>'B) D RI'!B90</f>
        <v>Rueyres</v>
      </c>
      <c r="C89" s="334">
        <f>'B) D RI'!S90</f>
        <v>73</v>
      </c>
      <c r="D89" s="162">
        <f>'B) D RI'!AA90</f>
        <v>257</v>
      </c>
      <c r="E89" s="332">
        <f>'D) Ecrêtage'!C88</f>
        <v>9282.5224657534254</v>
      </c>
      <c r="F89" s="336">
        <f>'E) Fact soc'!G94</f>
        <v>158002.46375087873</v>
      </c>
      <c r="G89" s="333">
        <f>'H) Péréquation directe'!I99</f>
        <v>104407.94560335319</v>
      </c>
      <c r="H89" s="336">
        <f>+'I) Dépenses thématiques'!O88</f>
        <v>-21396.973356164377</v>
      </c>
      <c r="I89" s="333">
        <f>'K) Plafonnement aide'!J88</f>
        <v>0</v>
      </c>
      <c r="J89" s="336">
        <f>'J) Plafonnement effort'!I88</f>
        <v>0</v>
      </c>
      <c r="K89" s="333">
        <f>'L) Plafonnement taux'!Q89</f>
        <v>0</v>
      </c>
      <c r="L89" s="331">
        <f t="shared" si="2"/>
        <v>241013.43599806752</v>
      </c>
      <c r="M89" s="244">
        <f>'M) Police'!O89</f>
        <v>28624.236058257462</v>
      </c>
      <c r="N89" s="244">
        <f t="shared" si="3"/>
        <v>269637.67205632501</v>
      </c>
      <c r="P89" s="339"/>
    </row>
    <row r="90" spans="1:16" s="163" customFormat="1" x14ac:dyDescent="0.25">
      <c r="A90" s="160">
        <f>'B) D RI'!A91</f>
        <v>5535</v>
      </c>
      <c r="B90" s="161" t="str">
        <f>'B) D RI'!B91</f>
        <v>Saint-Barthélemy</v>
      </c>
      <c r="C90" s="334">
        <f>'B) D RI'!S91</f>
        <v>77</v>
      </c>
      <c r="D90" s="162">
        <f>'B) D RI'!AA91</f>
        <v>769</v>
      </c>
      <c r="E90" s="332">
        <f>'D) Ecrêtage'!C89</f>
        <v>23206.167922077926</v>
      </c>
      <c r="F90" s="336">
        <f>'E) Fact soc'!G95</f>
        <v>392366.78594328585</v>
      </c>
      <c r="G90" s="333">
        <f>'H) Péréquation directe'!I100</f>
        <v>96423.973687032238</v>
      </c>
      <c r="H90" s="336">
        <f>+'I) Dépenses thématiques'!O89</f>
        <v>0</v>
      </c>
      <c r="I90" s="333">
        <f>'K) Plafonnement aide'!J89</f>
        <v>0</v>
      </c>
      <c r="J90" s="336">
        <f>'J) Plafonnement effort'!I89</f>
        <v>0</v>
      </c>
      <c r="K90" s="333">
        <f>'L) Plafonnement taux'!Q90</f>
        <v>0</v>
      </c>
      <c r="L90" s="331">
        <f t="shared" si="2"/>
        <v>488790.75963031809</v>
      </c>
      <c r="M90" s="244">
        <f>'M) Police'!O90</f>
        <v>72906.764251880551</v>
      </c>
      <c r="N90" s="244">
        <f t="shared" si="3"/>
        <v>561697.52388219861</v>
      </c>
      <c r="P90" s="339"/>
    </row>
    <row r="91" spans="1:16" s="163" customFormat="1" x14ac:dyDescent="0.25">
      <c r="A91" s="160">
        <f>'B) D RI'!A92</f>
        <v>5537</v>
      </c>
      <c r="B91" s="161" t="str">
        <f>'B) D RI'!B92</f>
        <v>Villars-le-Terroir</v>
      </c>
      <c r="C91" s="334">
        <f>'B) D RI'!S92</f>
        <v>73</v>
      </c>
      <c r="D91" s="162">
        <f>'B) D RI'!AA92</f>
        <v>1150</v>
      </c>
      <c r="E91" s="332">
        <f>'D) Ecrêtage'!C90</f>
        <v>33504.625479452057</v>
      </c>
      <c r="F91" s="336">
        <f>'E) Fact soc'!G96</f>
        <v>601175.68290938344</v>
      </c>
      <c r="G91" s="333">
        <f>'H) Péréquation directe'!I101</f>
        <v>102744.42813620029</v>
      </c>
      <c r="H91" s="336">
        <f>+'I) Dépenses thématiques'!O90</f>
        <v>-47666.247123287656</v>
      </c>
      <c r="I91" s="333">
        <f>'K) Plafonnement aide'!J90</f>
        <v>0</v>
      </c>
      <c r="J91" s="336">
        <f>'J) Plafonnement effort'!I90</f>
        <v>0</v>
      </c>
      <c r="K91" s="333">
        <f>'L) Plafonnement taux'!Q91</f>
        <v>0</v>
      </c>
      <c r="L91" s="331">
        <f t="shared" si="2"/>
        <v>656253.86392229609</v>
      </c>
      <c r="M91" s="244">
        <f>'M) Police'!O91</f>
        <v>104872.80457728842</v>
      </c>
      <c r="N91" s="244">
        <f t="shared" si="3"/>
        <v>761126.66849958454</v>
      </c>
      <c r="P91" s="339"/>
    </row>
    <row r="92" spans="1:16" s="163" customFormat="1" x14ac:dyDescent="0.25">
      <c r="A92" s="160">
        <f>'B) D RI'!A93</f>
        <v>5539</v>
      </c>
      <c r="B92" s="161" t="str">
        <f>'B) D RI'!B93</f>
        <v>Vuarrens</v>
      </c>
      <c r="C92" s="334">
        <f>'B) D RI'!S93</f>
        <v>75</v>
      </c>
      <c r="D92" s="162">
        <f>'B) D RI'!AA93</f>
        <v>1003</v>
      </c>
      <c r="E92" s="332">
        <f>'D) Ecrêtage'!C91</f>
        <v>26926.432233333333</v>
      </c>
      <c r="F92" s="336">
        <f>'E) Fact soc'!G97</f>
        <v>472556.58767281123</v>
      </c>
      <c r="G92" s="333">
        <f>'H) Péréquation directe'!I102</f>
        <v>1683.8890555804828</v>
      </c>
      <c r="H92" s="336">
        <f>+'I) Dépenses thématiques'!O91</f>
        <v>-40618.175824999998</v>
      </c>
      <c r="I92" s="333">
        <f>'K) Plafonnement aide'!J91</f>
        <v>0</v>
      </c>
      <c r="J92" s="336">
        <f>'J) Plafonnement effort'!I91</f>
        <v>0</v>
      </c>
      <c r="K92" s="333">
        <f>'L) Plafonnement taux'!Q92</f>
        <v>0</v>
      </c>
      <c r="L92" s="331">
        <f t="shared" si="2"/>
        <v>433622.30090339173</v>
      </c>
      <c r="M92" s="244">
        <f>'M) Police'!O92</f>
        <v>84164.078878750908</v>
      </c>
      <c r="N92" s="244">
        <f t="shared" si="3"/>
        <v>517786.37978214264</v>
      </c>
      <c r="P92" s="339"/>
    </row>
    <row r="93" spans="1:16" s="163" customFormat="1" x14ac:dyDescent="0.25">
      <c r="A93" s="160">
        <f>'B) D RI'!A94</f>
        <v>5540</v>
      </c>
      <c r="B93" s="161" t="str">
        <f>'B) D RI'!B94</f>
        <v>Montilliez</v>
      </c>
      <c r="C93" s="334">
        <f>'B) D RI'!S94</f>
        <v>74</v>
      </c>
      <c r="D93" s="162">
        <f>'B) D RI'!AA94</f>
        <v>1731</v>
      </c>
      <c r="E93" s="332">
        <f>'D) Ecrêtage'!C92</f>
        <v>56983.650067567571</v>
      </c>
      <c r="F93" s="336">
        <f>'E) Fact soc'!G98</f>
        <v>1004555.4315990731</v>
      </c>
      <c r="G93" s="333">
        <f>'H) Péréquation directe'!I103</f>
        <v>299986.53126579977</v>
      </c>
      <c r="H93" s="336">
        <f>+'I) Dépenses thématiques'!O92</f>
        <v>-298500.11204391887</v>
      </c>
      <c r="I93" s="333">
        <f>'K) Plafonnement aide'!J92</f>
        <v>0</v>
      </c>
      <c r="J93" s="336">
        <f>'J) Plafonnement effort'!I92</f>
        <v>0</v>
      </c>
      <c r="K93" s="333">
        <f>'L) Plafonnement taux'!Q93</f>
        <v>0</v>
      </c>
      <c r="L93" s="331">
        <f>F93+G93+H93+I93+J93+K93</f>
        <v>1006041.8508209542</v>
      </c>
      <c r="M93" s="244">
        <f>'M) Police'!O93</f>
        <v>179411.79185122761</v>
      </c>
      <c r="N93" s="244">
        <f t="shared" si="3"/>
        <v>1185453.6426721818</v>
      </c>
      <c r="P93" s="339"/>
    </row>
    <row r="94" spans="1:16" s="163" customFormat="1" x14ac:dyDescent="0.25">
      <c r="A94" s="160">
        <f>'B) D RI'!A95</f>
        <v>5541</v>
      </c>
      <c r="B94" s="161" t="str">
        <f>'B) D RI'!B95</f>
        <v>Goumoëns</v>
      </c>
      <c r="C94" s="334">
        <f>'B) D RI'!S95</f>
        <v>77</v>
      </c>
      <c r="D94" s="162">
        <f>'B) D RI'!AA95</f>
        <v>1110</v>
      </c>
      <c r="E94" s="332">
        <f>'D) Ecrêtage'!C93</f>
        <v>38548.273636363643</v>
      </c>
      <c r="F94" s="336">
        <f>'E) Fact soc'!G99</f>
        <v>680243.53621039551</v>
      </c>
      <c r="G94" s="333">
        <f>'H) Péréquation directe'!I104</f>
        <v>335046.657367095</v>
      </c>
      <c r="H94" s="336">
        <f>+'I) Dépenses thématiques'!O93</f>
        <v>-20407.358181818141</v>
      </c>
      <c r="I94" s="333">
        <f>'K) Plafonnement aide'!J93</f>
        <v>0</v>
      </c>
      <c r="J94" s="336">
        <f>'J) Plafonnement effort'!I93</f>
        <v>0</v>
      </c>
      <c r="K94" s="333">
        <f>'L) Plafonnement taux'!Q94</f>
        <v>0</v>
      </c>
      <c r="L94" s="331">
        <f>F94+G94+H94+I94+J94+K94</f>
        <v>994882.83539567236</v>
      </c>
      <c r="M94" s="244">
        <f>'M) Police'!O94</f>
        <v>122082.08963125703</v>
      </c>
      <c r="N94" s="244">
        <f t="shared" si="3"/>
        <v>1116964.9250269295</v>
      </c>
      <c r="P94" s="339"/>
    </row>
    <row r="95" spans="1:16" s="163" customFormat="1" x14ac:dyDescent="0.25">
      <c r="A95" s="160">
        <f>'B) D RI'!A96</f>
        <v>5551</v>
      </c>
      <c r="B95" s="161" t="str">
        <f>'B) D RI'!B96</f>
        <v>Bonvillars</v>
      </c>
      <c r="C95" s="334">
        <f>'B) D RI'!S96</f>
        <v>55</v>
      </c>
      <c r="D95" s="162">
        <f>'B) D RI'!AA96</f>
        <v>495</v>
      </c>
      <c r="E95" s="332">
        <f>'D) Ecrêtage'!C94</f>
        <v>18775.330727272729</v>
      </c>
      <c r="F95" s="336">
        <f>'E) Fact soc'!G100</f>
        <v>357303.53665403894</v>
      </c>
      <c r="G95" s="333">
        <f>'H) Péréquation directe'!I105</f>
        <v>271153.65264892223</v>
      </c>
      <c r="H95" s="336">
        <f>+'I) Dépenses thématiques'!O94</f>
        <v>-78309.01759090909</v>
      </c>
      <c r="I95" s="333">
        <f>'K) Plafonnement aide'!J94</f>
        <v>0</v>
      </c>
      <c r="J95" s="336">
        <f>'J) Plafonnement effort'!I94</f>
        <v>0</v>
      </c>
      <c r="K95" s="333">
        <f>'L) Plafonnement taux'!Q95</f>
        <v>0</v>
      </c>
      <c r="L95" s="331">
        <f t="shared" si="2"/>
        <v>550148.17171205208</v>
      </c>
      <c r="M95" s="244">
        <f>'M) Police'!O95</f>
        <v>57971.287413141348</v>
      </c>
      <c r="N95" s="244">
        <f t="shared" si="3"/>
        <v>608119.45912519342</v>
      </c>
      <c r="P95" s="339"/>
    </row>
    <row r="96" spans="1:16" s="163" customFormat="1" x14ac:dyDescent="0.25">
      <c r="A96" s="160">
        <f>'B) D RI'!A97</f>
        <v>5552</v>
      </c>
      <c r="B96" s="161" t="str">
        <f>'B) D RI'!B97</f>
        <v>Bullet</v>
      </c>
      <c r="C96" s="334">
        <f>'B) D RI'!S97</f>
        <v>70</v>
      </c>
      <c r="D96" s="162">
        <f>'B) D RI'!AA97</f>
        <v>644</v>
      </c>
      <c r="E96" s="332">
        <f>'D) Ecrêtage'!C95</f>
        <v>17788.918428571429</v>
      </c>
      <c r="F96" s="336">
        <f>'E) Fact soc'!G101</f>
        <v>339815.95499522641</v>
      </c>
      <c r="G96" s="333">
        <f>'H) Péréquation directe'!I106</f>
        <v>55422.946009918465</v>
      </c>
      <c r="H96" s="336">
        <f>+'I) Dépenses thématiques'!O95</f>
        <v>-204510.55060714285</v>
      </c>
      <c r="I96" s="333">
        <f>'K) Plafonnement aide'!J95</f>
        <v>0</v>
      </c>
      <c r="J96" s="336">
        <f>'J) Plafonnement effort'!I95</f>
        <v>0</v>
      </c>
      <c r="K96" s="333">
        <f>'L) Plafonnement taux'!Q96</f>
        <v>0</v>
      </c>
      <c r="L96" s="331">
        <f t="shared" si="2"/>
        <v>190728.35039800202</v>
      </c>
      <c r="M96" s="244">
        <f>'M) Police'!O96</f>
        <v>55406.543433781248</v>
      </c>
      <c r="N96" s="244">
        <f t="shared" si="3"/>
        <v>246134.89383178327</v>
      </c>
      <c r="P96" s="339"/>
    </row>
    <row r="97" spans="1:16" s="163" customFormat="1" x14ac:dyDescent="0.25">
      <c r="A97" s="160">
        <f>'B) D RI'!A98</f>
        <v>5553</v>
      </c>
      <c r="B97" s="161" t="str">
        <f>'B) D RI'!B98</f>
        <v>Champagne</v>
      </c>
      <c r="C97" s="334">
        <f>'B) D RI'!S98</f>
        <v>65</v>
      </c>
      <c r="D97" s="162">
        <f>'B) D RI'!AA98</f>
        <v>1027</v>
      </c>
      <c r="E97" s="332">
        <f>'D) Ecrêtage'!C96</f>
        <v>34060.380307692314</v>
      </c>
      <c r="F97" s="336">
        <f>'E) Fact soc'!G102</f>
        <v>643127.52473792806</v>
      </c>
      <c r="G97" s="333">
        <f>'H) Péréquation directe'!I107</f>
        <v>340576.32142981305</v>
      </c>
      <c r="H97" s="336">
        <f>+'I) Dépenses thématiques'!O96</f>
        <v>-253039.93292307688</v>
      </c>
      <c r="I97" s="333">
        <f>'K) Plafonnement aide'!J96</f>
        <v>0</v>
      </c>
      <c r="J97" s="336">
        <f>'J) Plafonnement effort'!I96</f>
        <v>0</v>
      </c>
      <c r="K97" s="333">
        <f>'L) Plafonnement taux'!Q97</f>
        <v>0</v>
      </c>
      <c r="L97" s="331">
        <f t="shared" si="2"/>
        <v>730663.9132446642</v>
      </c>
      <c r="M97" s="244">
        <f>'M) Police'!O97</f>
        <v>105436.17521949958</v>
      </c>
      <c r="N97" s="244">
        <f t="shared" si="3"/>
        <v>836100.08846416383</v>
      </c>
      <c r="P97" s="339"/>
    </row>
    <row r="98" spans="1:16" s="163" customFormat="1" x14ac:dyDescent="0.25">
      <c r="A98" s="160">
        <f>'B) D RI'!A99</f>
        <v>5554</v>
      </c>
      <c r="B98" s="161" t="str">
        <f>'B) D RI'!B99</f>
        <v>Concise</v>
      </c>
      <c r="C98" s="334">
        <f>'B) D RI'!S99</f>
        <v>75</v>
      </c>
      <c r="D98" s="162">
        <f>'B) D RI'!AA99</f>
        <v>969</v>
      </c>
      <c r="E98" s="332">
        <f>'D) Ecrêtage'!C97</f>
        <v>31701.023466666669</v>
      </c>
      <c r="F98" s="336">
        <f>'E) Fact soc'!G103</f>
        <v>559223.32860480715</v>
      </c>
      <c r="G98" s="333">
        <f>'H) Péréquation directe'!I108</f>
        <v>243426.46496225125</v>
      </c>
      <c r="H98" s="336">
        <f>+'I) Dépenses thématiques'!O97</f>
        <v>-151243.34159999999</v>
      </c>
      <c r="I98" s="333">
        <f>'K) Plafonnement aide'!J97</f>
        <v>0</v>
      </c>
      <c r="J98" s="336">
        <f>'J) Plafonnement effort'!I97</f>
        <v>0</v>
      </c>
      <c r="K98" s="333">
        <f>'L) Plafonnement taux'!Q98</f>
        <v>0</v>
      </c>
      <c r="L98" s="331">
        <f t="shared" si="2"/>
        <v>651406.45196705847</v>
      </c>
      <c r="M98" s="244">
        <f>'M) Police'!O98</f>
        <v>99901.836150412826</v>
      </c>
      <c r="N98" s="244">
        <f t="shared" si="3"/>
        <v>751308.28811747127</v>
      </c>
      <c r="P98" s="339"/>
    </row>
    <row r="99" spans="1:16" s="163" customFormat="1" x14ac:dyDescent="0.25">
      <c r="A99" s="160">
        <f>'B) D RI'!A100</f>
        <v>5555</v>
      </c>
      <c r="B99" s="161" t="str">
        <f>'B) D RI'!B100</f>
        <v>Corcelles-près-Concise</v>
      </c>
      <c r="C99" s="334">
        <f>'B) D RI'!S100</f>
        <v>71</v>
      </c>
      <c r="D99" s="162">
        <f>'B) D RI'!AA100</f>
        <v>377</v>
      </c>
      <c r="E99" s="332">
        <f>'D) Ecrêtage'!C98</f>
        <v>13631.876197183097</v>
      </c>
      <c r="F99" s="336">
        <f>'E) Fact soc'!G104</f>
        <v>277011.77618996485</v>
      </c>
      <c r="G99" s="333">
        <f>'H) Péréquation directe'!I109</f>
        <v>157697.71318760669</v>
      </c>
      <c r="H99" s="336">
        <f>+'I) Dépenses thématiques'!O98</f>
        <v>-101880.08566901409</v>
      </c>
      <c r="I99" s="333">
        <f>'K) Plafonnement aide'!J98</f>
        <v>0</v>
      </c>
      <c r="J99" s="336">
        <f>'J) Plafonnement effort'!I98</f>
        <v>0</v>
      </c>
      <c r="K99" s="333">
        <f>'L) Plafonnement taux'!Q99</f>
        <v>0</v>
      </c>
      <c r="L99" s="331">
        <f t="shared" si="2"/>
        <v>332829.40370855742</v>
      </c>
      <c r="M99" s="244">
        <f>'M) Police'!O99</f>
        <v>42601.224807761762</v>
      </c>
      <c r="N99" s="244">
        <f t="shared" si="3"/>
        <v>375430.62851631921</v>
      </c>
      <c r="P99" s="339"/>
    </row>
    <row r="100" spans="1:16" s="163" customFormat="1" x14ac:dyDescent="0.25">
      <c r="A100" s="160">
        <f>'B) D RI'!A101</f>
        <v>5556</v>
      </c>
      <c r="B100" s="161" t="str">
        <f>'B) D RI'!B101</f>
        <v>Fiez</v>
      </c>
      <c r="C100" s="334">
        <f>'B) D RI'!S101</f>
        <v>69</v>
      </c>
      <c r="D100" s="162">
        <f>'B) D RI'!AA101</f>
        <v>425</v>
      </c>
      <c r="E100" s="332">
        <f>'D) Ecrêtage'!C99</f>
        <v>12908.608502415458</v>
      </c>
      <c r="F100" s="336">
        <f>'E) Fact soc'!G105</f>
        <v>440921.40814908559</v>
      </c>
      <c r="G100" s="333">
        <f>'H) Péréquation directe'!I110</f>
        <v>86262.612250024365</v>
      </c>
      <c r="H100" s="336">
        <f>+'I) Dépenses thématiques'!O99</f>
        <v>-120560.64260869565</v>
      </c>
      <c r="I100" s="333">
        <f>'K) Plafonnement aide'!J99</f>
        <v>0</v>
      </c>
      <c r="J100" s="336">
        <f>'J) Plafonnement effort'!I99</f>
        <v>0</v>
      </c>
      <c r="K100" s="333">
        <f>'L) Plafonnement taux'!Q100</f>
        <v>0</v>
      </c>
      <c r="L100" s="331">
        <f t="shared" si="2"/>
        <v>406623.37779041426</v>
      </c>
      <c r="M100" s="244">
        <f>'M) Police'!O100</f>
        <v>40602.076289087665</v>
      </c>
      <c r="N100" s="244">
        <f t="shared" si="3"/>
        <v>447225.45407950191</v>
      </c>
      <c r="P100" s="339"/>
    </row>
    <row r="101" spans="1:16" s="163" customFormat="1" x14ac:dyDescent="0.25">
      <c r="A101" s="160">
        <f>'B) D RI'!A102</f>
        <v>5557</v>
      </c>
      <c r="B101" s="161" t="str">
        <f>'B) D RI'!B102</f>
        <v>Fontaines-sur-Grandson</v>
      </c>
      <c r="C101" s="334">
        <f>'B) D RI'!S102</f>
        <v>69</v>
      </c>
      <c r="D101" s="162">
        <f>'B) D RI'!AA102</f>
        <v>210</v>
      </c>
      <c r="E101" s="332">
        <f>'D) Ecrêtage'!C100</f>
        <v>4431.6020289855087</v>
      </c>
      <c r="F101" s="336">
        <f>'E) Fact soc'!G106</f>
        <v>85227.400442168684</v>
      </c>
      <c r="G101" s="333">
        <f>'H) Péréquation directe'!I111</f>
        <v>-33228.059961546474</v>
      </c>
      <c r="H101" s="336">
        <f>+'I) Dépenses thématiques'!O100</f>
        <v>-38115.436304347815</v>
      </c>
      <c r="I101" s="333">
        <f>'K) Plafonnement aide'!J100</f>
        <v>0</v>
      </c>
      <c r="J101" s="336">
        <f>'J) Plafonnement effort'!I100</f>
        <v>0</v>
      </c>
      <c r="K101" s="333">
        <f>'L) Plafonnement taux'!Q101</f>
        <v>0</v>
      </c>
      <c r="L101" s="331">
        <f t="shared" si="2"/>
        <v>13883.904176274395</v>
      </c>
      <c r="M101" s="244">
        <f>'M) Police'!O101</f>
        <v>13706.878207583712</v>
      </c>
      <c r="N101" s="244">
        <f t="shared" si="3"/>
        <v>27590.782383858106</v>
      </c>
      <c r="P101" s="339"/>
    </row>
    <row r="102" spans="1:16" s="163" customFormat="1" x14ac:dyDescent="0.25">
      <c r="A102" s="160">
        <f>'B) D RI'!A103</f>
        <v>5559</v>
      </c>
      <c r="B102" s="161" t="str">
        <f>'B) D RI'!B103</f>
        <v>Giez</v>
      </c>
      <c r="C102" s="334">
        <f>'B) D RI'!S103</f>
        <v>66</v>
      </c>
      <c r="D102" s="162">
        <f>'B) D RI'!AA103</f>
        <v>421</v>
      </c>
      <c r="E102" s="332">
        <f>'D) Ecrêtage'!C101</f>
        <v>15789.686212121214</v>
      </c>
      <c r="F102" s="336">
        <f>'E) Fact soc'!G107</f>
        <v>283307.13062917918</v>
      </c>
      <c r="G102" s="333">
        <f>'H) Péréquation directe'!I112</f>
        <v>207676.31826669342</v>
      </c>
      <c r="H102" s="336">
        <f>+'I) Dépenses thématiques'!O101</f>
        <v>-17421.382727272714</v>
      </c>
      <c r="I102" s="333">
        <f>'K) Plafonnement aide'!J101</f>
        <v>0</v>
      </c>
      <c r="J102" s="336">
        <f>'J) Plafonnement effort'!I101</f>
        <v>0</v>
      </c>
      <c r="K102" s="333">
        <f>'L) Plafonnement taux'!Q102</f>
        <v>0</v>
      </c>
      <c r="L102" s="331">
        <f t="shared" si="2"/>
        <v>473562.06616859988</v>
      </c>
      <c r="M102" s="244">
        <f>'M) Police'!O102</f>
        <v>49392.099959648476</v>
      </c>
      <c r="N102" s="244">
        <f t="shared" si="3"/>
        <v>522954.16612824833</v>
      </c>
      <c r="P102" s="339"/>
    </row>
    <row r="103" spans="1:16" s="163" customFormat="1" x14ac:dyDescent="0.25">
      <c r="A103" s="160">
        <f>'B) D RI'!A104</f>
        <v>5560</v>
      </c>
      <c r="B103" s="161" t="str">
        <f>'B) D RI'!B104</f>
        <v>Grandevent</v>
      </c>
      <c r="C103" s="334">
        <f>'B) D RI'!S104</f>
        <v>68</v>
      </c>
      <c r="D103" s="162">
        <f>'B) D RI'!AA104</f>
        <v>229</v>
      </c>
      <c r="E103" s="332">
        <f>'D) Ecrêtage'!C102</f>
        <v>6263.3176470588232</v>
      </c>
      <c r="F103" s="336">
        <f>'E) Fact soc'!G108</f>
        <v>112494.67972159453</v>
      </c>
      <c r="G103" s="333">
        <f>'H) Péréquation directe'!I113</f>
        <v>21743.893401198642</v>
      </c>
      <c r="H103" s="336">
        <f>+'I) Dépenses thématiques'!O102</f>
        <v>-18702.105882352942</v>
      </c>
      <c r="I103" s="333">
        <f>'K) Plafonnement aide'!J102</f>
        <v>0</v>
      </c>
      <c r="J103" s="336">
        <f>'J) Plafonnement effort'!I102</f>
        <v>0</v>
      </c>
      <c r="K103" s="333">
        <f>'L) Plafonnement taux'!Q103</f>
        <v>0</v>
      </c>
      <c r="L103" s="331">
        <f t="shared" si="2"/>
        <v>115536.46724044022</v>
      </c>
      <c r="M103" s="244">
        <f>'M) Police'!O103</f>
        <v>19466.409765597815</v>
      </c>
      <c r="N103" s="244">
        <f t="shared" si="3"/>
        <v>135002.87700603803</v>
      </c>
      <c r="P103" s="339"/>
    </row>
    <row r="104" spans="1:16" s="163" customFormat="1" x14ac:dyDescent="0.25">
      <c r="A104" s="160">
        <f>'B) D RI'!A105</f>
        <v>5561</v>
      </c>
      <c r="B104" s="161" t="str">
        <f>'B) D RI'!B105</f>
        <v>Grandson</v>
      </c>
      <c r="C104" s="334">
        <f>'B) D RI'!S105</f>
        <v>69</v>
      </c>
      <c r="D104" s="162">
        <f>'B) D RI'!AA105</f>
        <v>3284</v>
      </c>
      <c r="E104" s="332">
        <f>'D) Ecrêtage'!C103</f>
        <v>115658.41101449275</v>
      </c>
      <c r="F104" s="336">
        <f>'E) Fact soc'!G109</f>
        <v>2103080.8634242695</v>
      </c>
      <c r="G104" s="333">
        <f>'H) Péréquation directe'!I114</f>
        <v>736786.08174023265</v>
      </c>
      <c r="H104" s="336">
        <f>+'I) Dépenses thématiques'!O103</f>
        <v>-886989.53391304356</v>
      </c>
      <c r="I104" s="333">
        <f>'K) Plafonnement aide'!J103</f>
        <v>0</v>
      </c>
      <c r="J104" s="336">
        <f>'J) Plafonnement effort'!I103</f>
        <v>0</v>
      </c>
      <c r="K104" s="333">
        <f>'L) Plafonnement taux'!Q104</f>
        <v>0</v>
      </c>
      <c r="L104" s="331">
        <f t="shared" si="2"/>
        <v>1952877.4112514586</v>
      </c>
      <c r="M104" s="244">
        <f>'M) Police'!O104</f>
        <v>364464.47658842837</v>
      </c>
      <c r="N104" s="244">
        <f t="shared" si="3"/>
        <v>2317341.8878398868</v>
      </c>
      <c r="P104" s="339"/>
    </row>
    <row r="105" spans="1:16" s="163" customFormat="1" x14ac:dyDescent="0.25">
      <c r="A105" s="160">
        <f>'B) D RI'!A106</f>
        <v>5562</v>
      </c>
      <c r="B105" s="161" t="str">
        <f>'B) D RI'!B106</f>
        <v>Mauborget</v>
      </c>
      <c r="C105" s="334">
        <f>'B) D RI'!S106</f>
        <v>70</v>
      </c>
      <c r="D105" s="162">
        <f>'B) D RI'!AA106</f>
        <v>119</v>
      </c>
      <c r="E105" s="332">
        <f>'D) Ecrêtage'!C104</f>
        <v>5902.7637857142863</v>
      </c>
      <c r="F105" s="336">
        <f>'E) Fact soc'!G110</f>
        <v>106976.42053576342</v>
      </c>
      <c r="G105" s="333">
        <f>'H) Péréquation directe'!I115</f>
        <v>103432.21278792615</v>
      </c>
      <c r="H105" s="336">
        <f>+'I) Dépenses thématiques'!O104</f>
        <v>-10164.844446428568</v>
      </c>
      <c r="I105" s="333">
        <f>'K) Plafonnement aide'!J104</f>
        <v>0</v>
      </c>
      <c r="J105" s="336">
        <f>'J) Plafonnement effort'!I104</f>
        <v>0</v>
      </c>
      <c r="K105" s="333">
        <f>'L) Plafonnement taux'!Q105</f>
        <v>0</v>
      </c>
      <c r="L105" s="331">
        <f t="shared" si="2"/>
        <v>200243.78887726102</v>
      </c>
      <c r="M105" s="244">
        <f>'M) Police'!O105</f>
        <v>17654.995959110751</v>
      </c>
      <c r="N105" s="244">
        <f t="shared" si="3"/>
        <v>217898.78483637178</v>
      </c>
      <c r="P105" s="339"/>
    </row>
    <row r="106" spans="1:16" s="163" customFormat="1" x14ac:dyDescent="0.25">
      <c r="A106" s="160">
        <f>'B) D RI'!A107</f>
        <v>5563</v>
      </c>
      <c r="B106" s="161" t="str">
        <f>'B) D RI'!B107</f>
        <v>Mutrux</v>
      </c>
      <c r="C106" s="334">
        <f>'B) D RI'!S107</f>
        <v>78.5</v>
      </c>
      <c r="D106" s="162">
        <f>'B) D RI'!AA107</f>
        <v>163</v>
      </c>
      <c r="E106" s="332">
        <f>'D) Ecrêtage'!C105</f>
        <v>3109.2766878980892</v>
      </c>
      <c r="F106" s="336">
        <f>'E) Fact soc'!G111</f>
        <v>55173.973017142453</v>
      </c>
      <c r="G106" s="333">
        <f>'H) Péréquation directe'!I116</f>
        <v>-62438.191987995386</v>
      </c>
      <c r="H106" s="336">
        <f>+'I) Dépenses thématiques'!O105</f>
        <v>-35547.589872611468</v>
      </c>
      <c r="I106" s="333">
        <f>'K) Plafonnement aide'!J105</f>
        <v>0</v>
      </c>
      <c r="J106" s="336">
        <f>'J) Plafonnement effort'!I105</f>
        <v>0</v>
      </c>
      <c r="K106" s="333">
        <f>'L) Plafonnement taux'!Q106</f>
        <v>0</v>
      </c>
      <c r="L106" s="331">
        <f t="shared" si="2"/>
        <v>-42811.808843464401</v>
      </c>
      <c r="M106" s="244">
        <f>'M) Police'!O106</f>
        <v>9713.2879251552404</v>
      </c>
      <c r="N106" s="244">
        <f t="shared" si="3"/>
        <v>-33098.520918309165</v>
      </c>
      <c r="P106" s="339"/>
    </row>
    <row r="107" spans="1:16" s="163" customFormat="1" x14ac:dyDescent="0.25">
      <c r="A107" s="160">
        <f>'B) D RI'!A108</f>
        <v>5564</v>
      </c>
      <c r="B107" s="161" t="str">
        <f>'B) D RI'!B108</f>
        <v>Novalles</v>
      </c>
      <c r="C107" s="334">
        <f>'B) D RI'!S108</f>
        <v>76</v>
      </c>
      <c r="D107" s="162">
        <f>'B) D RI'!AA108</f>
        <v>101</v>
      </c>
      <c r="E107" s="332">
        <f>'D) Ecrêtage'!C106</f>
        <v>2625.7898355263155</v>
      </c>
      <c r="F107" s="336">
        <f>'E) Fact soc'!G112</f>
        <v>49851.002954813252</v>
      </c>
      <c r="G107" s="333">
        <f>'H) Péréquation directe'!I117</f>
        <v>-4561.7655892496477</v>
      </c>
      <c r="H107" s="336">
        <f>+'I) Dépenses thématiques'!O106</f>
        <v>-11323.418610197372</v>
      </c>
      <c r="I107" s="333">
        <f>'K) Plafonnement aide'!J106</f>
        <v>0</v>
      </c>
      <c r="J107" s="336">
        <f>'J) Plafonnement effort'!I106</f>
        <v>0</v>
      </c>
      <c r="K107" s="333">
        <f>'L) Plafonnement taux'!Q107</f>
        <v>0</v>
      </c>
      <c r="L107" s="331">
        <f t="shared" si="2"/>
        <v>33965.818755366228</v>
      </c>
      <c r="M107" s="244">
        <f>'M) Police'!O107</f>
        <v>8320.5482446282695</v>
      </c>
      <c r="N107" s="244">
        <f t="shared" si="3"/>
        <v>42286.366999994498</v>
      </c>
      <c r="P107" s="339"/>
    </row>
    <row r="108" spans="1:16" s="163" customFormat="1" x14ac:dyDescent="0.25">
      <c r="A108" s="160">
        <f>'B) D RI'!A109</f>
        <v>5565</v>
      </c>
      <c r="B108" s="161" t="str">
        <f>'B) D RI'!B109</f>
        <v>Onnens</v>
      </c>
      <c r="C108" s="334">
        <f>'B) D RI'!S109</f>
        <v>65</v>
      </c>
      <c r="D108" s="162">
        <f>'B) D RI'!AA109</f>
        <v>477</v>
      </c>
      <c r="E108" s="332">
        <f>'D) Ecrêtage'!C107</f>
        <v>18487.846307692304</v>
      </c>
      <c r="F108" s="336">
        <f>'E) Fact soc'!G113</f>
        <v>340911.5490026105</v>
      </c>
      <c r="G108" s="333">
        <f>'H) Péréquation directe'!I118</f>
        <v>259239.01607465543</v>
      </c>
      <c r="H108" s="336">
        <f>+'I) Dépenses thématiques'!O107</f>
        <v>-49150.787423076952</v>
      </c>
      <c r="I108" s="333">
        <f>'K) Plafonnement aide'!J107</f>
        <v>0</v>
      </c>
      <c r="J108" s="336">
        <f>'J) Plafonnement effort'!I107</f>
        <v>0</v>
      </c>
      <c r="K108" s="333">
        <f>'L) Plafonnement taux'!Q108</f>
        <v>0</v>
      </c>
      <c r="L108" s="331">
        <f t="shared" si="2"/>
        <v>550999.77765418903</v>
      </c>
      <c r="M108" s="244">
        <f>'M) Police'!O108</f>
        <v>57233.474872057923</v>
      </c>
      <c r="N108" s="244">
        <f t="shared" si="3"/>
        <v>608233.25252624694</v>
      </c>
      <c r="P108" s="339"/>
    </row>
    <row r="109" spans="1:16" s="163" customFormat="1" x14ac:dyDescent="0.25">
      <c r="A109" s="160">
        <f>'B) D RI'!A110</f>
        <v>5566</v>
      </c>
      <c r="B109" s="161" t="str">
        <f>'B) D RI'!B110</f>
        <v>Provence</v>
      </c>
      <c r="C109" s="334">
        <f>'B) D RI'!S110</f>
        <v>81</v>
      </c>
      <c r="D109" s="162">
        <f>'B) D RI'!AA110</f>
        <v>388</v>
      </c>
      <c r="E109" s="332">
        <f>'D) Ecrêtage'!C108</f>
        <v>7938.210164609055</v>
      </c>
      <c r="F109" s="336">
        <f>'E) Fact soc'!G114</f>
        <v>145035.70133865566</v>
      </c>
      <c r="G109" s="333">
        <f>'H) Péréquation directe'!I119</f>
        <v>-139957.08525113214</v>
      </c>
      <c r="H109" s="336">
        <f>+'I) Dépenses thématiques'!O108</f>
        <v>-209989.58138888888</v>
      </c>
      <c r="I109" s="333">
        <f>'K) Plafonnement aide'!J108</f>
        <v>0</v>
      </c>
      <c r="J109" s="336">
        <f>'J) Plafonnement effort'!I108</f>
        <v>0</v>
      </c>
      <c r="K109" s="333">
        <f>'L) Plafonnement taux'!Q109</f>
        <v>0</v>
      </c>
      <c r="L109" s="331">
        <f t="shared" si="2"/>
        <v>-204910.96530136536</v>
      </c>
      <c r="M109" s="244">
        <f>'M) Police'!O109</f>
        <v>24874.834058494718</v>
      </c>
      <c r="N109" s="244">
        <f t="shared" si="3"/>
        <v>-180036.13124287064</v>
      </c>
      <c r="P109" s="339"/>
    </row>
    <row r="110" spans="1:16" s="163" customFormat="1" x14ac:dyDescent="0.25">
      <c r="A110" s="160">
        <f>'B) D RI'!A111</f>
        <v>5568</v>
      </c>
      <c r="B110" s="161" t="str">
        <f>'B) D RI'!B111</f>
        <v>Sainte-Croix</v>
      </c>
      <c r="C110" s="334">
        <f>'B) D RI'!S111</f>
        <v>70</v>
      </c>
      <c r="D110" s="162">
        <f>'B) D RI'!AA111</f>
        <v>4919</v>
      </c>
      <c r="E110" s="332">
        <f>'D) Ecrêtage'!C109</f>
        <v>99640.524428571414</v>
      </c>
      <c r="F110" s="336">
        <f>'E) Fact soc'!G115</f>
        <v>2503416.7402406977</v>
      </c>
      <c r="G110" s="333">
        <f>'H) Péréquation directe'!I120</f>
        <v>-2164035.9416634208</v>
      </c>
      <c r="H110" s="336">
        <f>+'I) Dépenses thématiques'!O109</f>
        <v>-1232520.960107143</v>
      </c>
      <c r="I110" s="333">
        <f>'K) Plafonnement aide'!J109</f>
        <v>0</v>
      </c>
      <c r="J110" s="336">
        <f>'J) Plafonnement effort'!I109</f>
        <v>0</v>
      </c>
      <c r="K110" s="333">
        <f>'L) Plafonnement taux'!Q110</f>
        <v>0</v>
      </c>
      <c r="L110" s="331">
        <f t="shared" si="2"/>
        <v>-893140.16152986605</v>
      </c>
      <c r="M110" s="244">
        <f>'M) Police'!O110</f>
        <v>311734.64471454226</v>
      </c>
      <c r="N110" s="244">
        <f t="shared" si="3"/>
        <v>-581405.51681532385</v>
      </c>
      <c r="P110" s="339"/>
    </row>
    <row r="111" spans="1:16" s="163" customFormat="1" x14ac:dyDescent="0.25">
      <c r="A111" s="160">
        <f>'B) D RI'!A112</f>
        <v>5571</v>
      </c>
      <c r="B111" s="161" t="str">
        <f>'B) D RI'!B112</f>
        <v>Tévenon</v>
      </c>
      <c r="C111" s="334">
        <f>'B) D RI'!S112</f>
        <v>73</v>
      </c>
      <c r="D111" s="162">
        <f>'B) D RI'!AA112</f>
        <v>843</v>
      </c>
      <c r="E111" s="332">
        <f>'D) Ecrêtage'!C110</f>
        <v>21324.629931506846</v>
      </c>
      <c r="F111" s="336">
        <f>'E) Fact soc'!G116</f>
        <v>396640.46051905182</v>
      </c>
      <c r="G111" s="333">
        <f>'H) Péréquation directe'!I121</f>
        <v>-33631.068325649539</v>
      </c>
      <c r="H111" s="336">
        <f>+'I) Dépenses thématiques'!O110</f>
        <v>-187785.99796232878</v>
      </c>
      <c r="I111" s="333">
        <f>'K) Plafonnement aide'!J110</f>
        <v>0</v>
      </c>
      <c r="J111" s="336">
        <f>'J) Plafonnement effort'!I110</f>
        <v>0</v>
      </c>
      <c r="K111" s="333">
        <f>'L) Plafonnement taux'!Q111</f>
        <v>0</v>
      </c>
      <c r="L111" s="331">
        <f t="shared" si="2"/>
        <v>175223.3942310735</v>
      </c>
      <c r="M111" s="244">
        <f>'M) Police'!O111</f>
        <v>66144.971460313842</v>
      </c>
      <c r="N111" s="244">
        <f t="shared" si="3"/>
        <v>241368.36569138733</v>
      </c>
      <c r="P111" s="339"/>
    </row>
    <row r="112" spans="1:16" s="163" customFormat="1" x14ac:dyDescent="0.25">
      <c r="A112" s="160">
        <f>'B) D RI'!A113</f>
        <v>5581</v>
      </c>
      <c r="B112" s="161" t="str">
        <f>'B) D RI'!B113</f>
        <v>Belmont-sur-Lausanne</v>
      </c>
      <c r="C112" s="334">
        <f>'B) D RI'!S113</f>
        <v>69.5</v>
      </c>
      <c r="D112" s="162">
        <f>'B) D RI'!AA113</f>
        <v>3662</v>
      </c>
      <c r="E112" s="332">
        <f>'D) Ecrêtage'!C111</f>
        <v>192051.94455635498</v>
      </c>
      <c r="F112" s="336">
        <f>'E) Fact soc'!G117</f>
        <v>3902472.7494666805</v>
      </c>
      <c r="G112" s="333">
        <f>'H) Péréquation directe'!I122</f>
        <v>2701348.9131336859</v>
      </c>
      <c r="H112" s="336">
        <f>+'I) Dépenses thématiques'!O111</f>
        <v>-414340.08266187011</v>
      </c>
      <c r="I112" s="333">
        <f>'K) Plafonnement aide'!J111</f>
        <v>0</v>
      </c>
      <c r="J112" s="336">
        <f>'J) Plafonnement effort'!I111</f>
        <v>0</v>
      </c>
      <c r="K112" s="333">
        <f>'L) Plafonnement taux'!Q112</f>
        <v>0</v>
      </c>
      <c r="L112" s="331">
        <f t="shared" si="2"/>
        <v>6189481.5799384965</v>
      </c>
      <c r="M112" s="244">
        <f>'M) Police'!O112</f>
        <v>249222.86252391036</v>
      </c>
      <c r="N112" s="244">
        <f t="shared" si="3"/>
        <v>6438704.4424624071</v>
      </c>
      <c r="P112" s="339"/>
    </row>
    <row r="113" spans="1:16" s="163" customFormat="1" x14ac:dyDescent="0.25">
      <c r="A113" s="160">
        <f>'B) D RI'!A114</f>
        <v>5582</v>
      </c>
      <c r="B113" s="161" t="str">
        <f>'B) D RI'!B114</f>
        <v>Cheseaux-sur-Lausanne</v>
      </c>
      <c r="C113" s="334">
        <f>'B) D RI'!S114</f>
        <v>74.5</v>
      </c>
      <c r="D113" s="162">
        <f>'B) D RI'!AA114</f>
        <v>4357</v>
      </c>
      <c r="E113" s="332">
        <f>'D) Ecrêtage'!C112</f>
        <v>179002.65087248324</v>
      </c>
      <c r="F113" s="336">
        <f>'E) Fact soc'!G118</f>
        <v>3044018.9414713746</v>
      </c>
      <c r="G113" s="333">
        <f>'H) Péréquation directe'!I123</f>
        <v>1698690.8722215174</v>
      </c>
      <c r="H113" s="336">
        <f>+'I) Dépenses thématiques'!O112</f>
        <v>-433792.34476510057</v>
      </c>
      <c r="I113" s="333">
        <f>'K) Plafonnement aide'!J112</f>
        <v>0</v>
      </c>
      <c r="J113" s="336">
        <f>'J) Plafonnement effort'!I112</f>
        <v>0</v>
      </c>
      <c r="K113" s="333">
        <f>'L) Plafonnement taux'!Q113</f>
        <v>0</v>
      </c>
      <c r="L113" s="331">
        <f t="shared" si="2"/>
        <v>4308917.4689277913</v>
      </c>
      <c r="M113" s="244">
        <f>'M) Police'!O113</f>
        <v>567127.76581995015</v>
      </c>
      <c r="N113" s="244">
        <f t="shared" si="3"/>
        <v>4876045.2347477414</v>
      </c>
      <c r="P113" s="339"/>
    </row>
    <row r="114" spans="1:16" s="163" customFormat="1" x14ac:dyDescent="0.25">
      <c r="A114" s="160">
        <f>'B) D RI'!A115</f>
        <v>5583</v>
      </c>
      <c r="B114" s="161" t="str">
        <f>'B) D RI'!B115</f>
        <v>Crissier</v>
      </c>
      <c r="C114" s="334">
        <f>'B) D RI'!S115</f>
        <v>65</v>
      </c>
      <c r="D114" s="162">
        <f>'B) D RI'!AA115</f>
        <v>8008</v>
      </c>
      <c r="E114" s="332">
        <f>'D) Ecrêtage'!C113</f>
        <v>294545.40292307688</v>
      </c>
      <c r="F114" s="336">
        <f>'E) Fact soc'!G119</f>
        <v>5641368.3245898196</v>
      </c>
      <c r="G114" s="333">
        <f>'H) Péréquation directe'!I124</f>
        <v>1171973.2546979683</v>
      </c>
      <c r="H114" s="336">
        <f>+'I) Dépenses thématiques'!O113</f>
        <v>-2384624.0824615387</v>
      </c>
      <c r="I114" s="333">
        <f>'K) Plafonnement aide'!J113</f>
        <v>0</v>
      </c>
      <c r="J114" s="336">
        <f>'J) Plafonnement effort'!I113</f>
        <v>0</v>
      </c>
      <c r="K114" s="333">
        <f>'L) Plafonnement taux'!Q114</f>
        <v>0</v>
      </c>
      <c r="L114" s="331">
        <f t="shared" si="2"/>
        <v>4428717.4968262492</v>
      </c>
      <c r="M114" s="244">
        <f>'M) Police'!O114</f>
        <v>382227.05127678294</v>
      </c>
      <c r="N114" s="244">
        <f t="shared" si="3"/>
        <v>4810944.5481030317</v>
      </c>
      <c r="P114" s="339"/>
    </row>
    <row r="115" spans="1:16" s="163" customFormat="1" x14ac:dyDescent="0.25">
      <c r="A115" s="160">
        <f>'B) D RI'!A116</f>
        <v>5584</v>
      </c>
      <c r="B115" s="161" t="str">
        <f>'B) D RI'!B116</f>
        <v>Epalinges</v>
      </c>
      <c r="C115" s="334">
        <f>'B) D RI'!S116</f>
        <v>66</v>
      </c>
      <c r="D115" s="162">
        <f>'B) D RI'!AA116</f>
        <v>9335</v>
      </c>
      <c r="E115" s="332">
        <f>'D) Ecrêtage'!C114</f>
        <v>414398.09409090912</v>
      </c>
      <c r="F115" s="336">
        <f>'E) Fact soc'!G120</f>
        <v>7995209.7435515486</v>
      </c>
      <c r="G115" s="333">
        <f>'H) Péréquation directe'!I125</f>
        <v>3703553.9600448953</v>
      </c>
      <c r="H115" s="336">
        <f>+'I) Dépenses thématiques'!O114</f>
        <v>-3578102.4354545455</v>
      </c>
      <c r="I115" s="333">
        <f>'K) Plafonnement aide'!J114</f>
        <v>0</v>
      </c>
      <c r="J115" s="336">
        <f>'J) Plafonnement effort'!I114</f>
        <v>0</v>
      </c>
      <c r="K115" s="333">
        <f>'L) Plafonnement taux'!Q115</f>
        <v>0</v>
      </c>
      <c r="L115" s="331">
        <f t="shared" si="2"/>
        <v>8120661.2681418974</v>
      </c>
      <c r="M115" s="244">
        <f>'M) Police'!O115</f>
        <v>1297416.3595525192</v>
      </c>
      <c r="N115" s="244">
        <f t="shared" si="3"/>
        <v>9418077.6276944168</v>
      </c>
      <c r="P115" s="339"/>
    </row>
    <row r="116" spans="1:16" s="163" customFormat="1" x14ac:dyDescent="0.25">
      <c r="A116" s="160">
        <f>'B) D RI'!A117</f>
        <v>5585</v>
      </c>
      <c r="B116" s="161" t="str">
        <f>'B) D RI'!B117</f>
        <v>Jouxtens-Mézery</v>
      </c>
      <c r="C116" s="334">
        <f>'B) D RI'!S117</f>
        <v>53</v>
      </c>
      <c r="D116" s="162">
        <f>'B) D RI'!AA117</f>
        <v>1469</v>
      </c>
      <c r="E116" s="332">
        <f>'D) Ecrêtage'!C115</f>
        <v>171586.66471698115</v>
      </c>
      <c r="F116" s="336">
        <f>'E) Fact soc'!G121</f>
        <v>5075664.6390066352</v>
      </c>
      <c r="G116" s="333">
        <f>'H) Péréquation directe'!I126</f>
        <v>3148177.4507662817</v>
      </c>
      <c r="H116" s="336">
        <f>+'I) Dépenses thématiques'!O115</f>
        <v>0</v>
      </c>
      <c r="I116" s="333">
        <f>'K) Plafonnement aide'!J115</f>
        <v>0</v>
      </c>
      <c r="J116" s="336">
        <f>'J) Plafonnement effort'!I115</f>
        <v>-502442.17750876572</v>
      </c>
      <c r="K116" s="333">
        <f>'L) Plafonnement taux'!Q116</f>
        <v>0</v>
      </c>
      <c r="L116" s="331">
        <f t="shared" si="2"/>
        <v>7721399.9122641515</v>
      </c>
      <c r="M116" s="244">
        <f>'M) Police'!O116</f>
        <v>346049.90161442105</v>
      </c>
      <c r="N116" s="244">
        <f t="shared" si="3"/>
        <v>8067449.8138785725</v>
      </c>
      <c r="P116" s="339"/>
    </row>
    <row r="117" spans="1:16" s="163" customFormat="1" x14ac:dyDescent="0.25">
      <c r="A117" s="160">
        <f>'B) D RI'!A118</f>
        <v>5586</v>
      </c>
      <c r="B117" s="161" t="str">
        <f>'B) D RI'!B118</f>
        <v>Lausanne</v>
      </c>
      <c r="C117" s="334">
        <f>'B) D RI'!S118</f>
        <v>79</v>
      </c>
      <c r="D117" s="162">
        <f>'B) D RI'!AA118</f>
        <v>139624</v>
      </c>
      <c r="E117" s="332">
        <f>'D) Ecrêtage'!C116</f>
        <v>5871810.1056962032</v>
      </c>
      <c r="F117" s="336">
        <f>'E) Fact soc'!G122</f>
        <v>112839110.44550021</v>
      </c>
      <c r="G117" s="333">
        <f>'H) Péréquation directe'!I127</f>
        <v>-32407063.271456435</v>
      </c>
      <c r="H117" s="336">
        <f>+'I) Dépenses thématiques'!O116</f>
        <v>-47869877.365822777</v>
      </c>
      <c r="I117" s="333">
        <f>'K) Plafonnement aide'!J116</f>
        <v>0</v>
      </c>
      <c r="J117" s="336">
        <f>'J) Plafonnement effort'!I116</f>
        <v>0</v>
      </c>
      <c r="K117" s="333">
        <f>'L) Plafonnement taux'!Q117</f>
        <v>0</v>
      </c>
      <c r="L117" s="331">
        <f t="shared" ref="L117:L167" si="4">F117+G117+H117+I117+J117+K117</f>
        <v>32562169.808220997</v>
      </c>
      <c r="M117" s="244">
        <f>'M) Police'!O117</f>
        <v>7619757.9051797679</v>
      </c>
      <c r="N117" s="244">
        <f t="shared" si="3"/>
        <v>40181927.713400766</v>
      </c>
      <c r="P117" s="339"/>
    </row>
    <row r="118" spans="1:16" s="163" customFormat="1" x14ac:dyDescent="0.25">
      <c r="A118" s="160">
        <f>'B) D RI'!A119</f>
        <v>5587</v>
      </c>
      <c r="B118" s="161" t="str">
        <f>'B) D RI'!B119</f>
        <v>Le Mont-sur-Lausanne</v>
      </c>
      <c r="C118" s="334">
        <f>'B) D RI'!S119</f>
        <v>75</v>
      </c>
      <c r="D118" s="162">
        <f>'B) D RI'!AA119</f>
        <v>8093</v>
      </c>
      <c r="E118" s="332">
        <f>'D) Ecrêtage'!C117</f>
        <v>415945.64633333334</v>
      </c>
      <c r="F118" s="336">
        <f>'E) Fact soc'!G123</f>
        <v>8378194.3951671692</v>
      </c>
      <c r="G118" s="333">
        <f>'H) Péréquation directe'!I128</f>
        <v>4687648.0544749368</v>
      </c>
      <c r="H118" s="336">
        <f>+'I) Dépenses thématiques'!O117</f>
        <v>-2348135.122</v>
      </c>
      <c r="I118" s="333">
        <f>'K) Plafonnement aide'!J117</f>
        <v>0</v>
      </c>
      <c r="J118" s="336">
        <f>'J) Plafonnement effort'!I117</f>
        <v>0</v>
      </c>
      <c r="K118" s="333">
        <f>'L) Plafonnement taux'!Q118</f>
        <v>0</v>
      </c>
      <c r="L118" s="331">
        <f t="shared" si="4"/>
        <v>10717707.327642107</v>
      </c>
      <c r="M118" s="244">
        <f>'M) Police'!O118</f>
        <v>1219515.0329457072</v>
      </c>
      <c r="N118" s="244">
        <f t="shared" si="3"/>
        <v>11937222.360587815</v>
      </c>
      <c r="P118" s="339"/>
    </row>
    <row r="119" spans="1:16" s="163" customFormat="1" x14ac:dyDescent="0.25">
      <c r="A119" s="160">
        <f>'B) D RI'!A120</f>
        <v>5588</v>
      </c>
      <c r="B119" s="161" t="str">
        <f>'B) D RI'!B120</f>
        <v>Paudex</v>
      </c>
      <c r="C119" s="334">
        <f>'B) D RI'!S120</f>
        <v>61.5</v>
      </c>
      <c r="D119" s="162">
        <f>'B) D RI'!AA120</f>
        <v>1480</v>
      </c>
      <c r="E119" s="332">
        <f>'D) Ecrêtage'!C118</f>
        <v>147210.22826945415</v>
      </c>
      <c r="F119" s="336">
        <f>'E) Fact soc'!G124</f>
        <v>4104374.0013926057</v>
      </c>
      <c r="G119" s="333">
        <f>'H) Péréquation directe'!I129</f>
        <v>2656546.3797517773</v>
      </c>
      <c r="H119" s="336">
        <f>+'I) Dépenses thématiques'!O118</f>
        <v>0</v>
      </c>
      <c r="I119" s="333">
        <f>'K) Plafonnement aide'!J118</f>
        <v>0</v>
      </c>
      <c r="J119" s="336">
        <f>'J) Plafonnement effort'!I118</f>
        <v>-136460.1090189461</v>
      </c>
      <c r="K119" s="333">
        <f>'L) Plafonnement taux'!Q119</f>
        <v>0</v>
      </c>
      <c r="L119" s="331">
        <f t="shared" si="4"/>
        <v>6624460.2721254369</v>
      </c>
      <c r="M119" s="244">
        <f>'M) Police'!O119</f>
        <v>191032.45513531368</v>
      </c>
      <c r="N119" s="244">
        <f t="shared" si="3"/>
        <v>6815492.7272607507</v>
      </c>
      <c r="P119" s="339"/>
    </row>
    <row r="120" spans="1:16" s="163" customFormat="1" x14ac:dyDescent="0.25">
      <c r="A120" s="160">
        <f>'B) D RI'!A121</f>
        <v>5589</v>
      </c>
      <c r="B120" s="161" t="str">
        <f>'B) D RI'!B121</f>
        <v>Prilly</v>
      </c>
      <c r="C120" s="334">
        <f>'B) D RI'!S121</f>
        <v>73.5</v>
      </c>
      <c r="D120" s="162">
        <f>'B) D RI'!AA121</f>
        <v>12105</v>
      </c>
      <c r="E120" s="332">
        <f>'D) Ecrêtage'!C119</f>
        <v>397261.42585034011</v>
      </c>
      <c r="F120" s="336">
        <f>'E) Fact soc'!G125</f>
        <v>7411998.2274422934</v>
      </c>
      <c r="G120" s="333">
        <f>'H) Péréquation directe'!I130</f>
        <v>-2075271.8237570217</v>
      </c>
      <c r="H120" s="336">
        <f>+'I) Dépenses thématiques'!O119</f>
        <v>-2183869.9448979595</v>
      </c>
      <c r="I120" s="333">
        <f>'K) Plafonnement aide'!J119</f>
        <v>0</v>
      </c>
      <c r="J120" s="336">
        <f>'J) Plafonnement effort'!I119</f>
        <v>0</v>
      </c>
      <c r="K120" s="333">
        <f>'L) Plafonnement taux'!Q120</f>
        <v>0</v>
      </c>
      <c r="L120" s="331">
        <f t="shared" si="4"/>
        <v>3152856.4587873123</v>
      </c>
      <c r="M120" s="244">
        <f>'M) Police'!O120</f>
        <v>515520.05864590342</v>
      </c>
      <c r="N120" s="244">
        <f t="shared" si="3"/>
        <v>3668376.5174332159</v>
      </c>
      <c r="P120" s="339"/>
    </row>
    <row r="121" spans="1:16" s="163" customFormat="1" x14ac:dyDescent="0.25">
      <c r="A121" s="160">
        <f>'B) D RI'!A122</f>
        <v>5590</v>
      </c>
      <c r="B121" s="161" t="str">
        <f>'B) D RI'!B122</f>
        <v>Pully</v>
      </c>
      <c r="C121" s="334">
        <f>'B) D RI'!S122</f>
        <v>61</v>
      </c>
      <c r="D121" s="162">
        <f>'B) D RI'!AA122</f>
        <v>18194</v>
      </c>
      <c r="E121" s="332">
        <f>'D) Ecrêtage'!C120</f>
        <v>1436103.5918735364</v>
      </c>
      <c r="F121" s="336">
        <f>'E) Fact soc'!G126</f>
        <v>39326294.179557689</v>
      </c>
      <c r="G121" s="333">
        <f>'H) Péréquation directe'!I131</f>
        <v>15769471.826448236</v>
      </c>
      <c r="H121" s="336">
        <f>+'I) Dépenses thématiques'!O120</f>
        <v>-1730550.1987587819</v>
      </c>
      <c r="I121" s="333">
        <f>'K) Plafonnement aide'!J120</f>
        <v>0</v>
      </c>
      <c r="J121" s="336">
        <f>'J) Plafonnement effort'!I120</f>
        <v>0</v>
      </c>
      <c r="K121" s="333">
        <f>'L) Plafonnement taux'!Q121</f>
        <v>0</v>
      </c>
      <c r="L121" s="331">
        <f t="shared" si="4"/>
        <v>53365215.807247147</v>
      </c>
      <c r="M121" s="244">
        <f>'M) Police'!O121</f>
        <v>1863609.6024665271</v>
      </c>
      <c r="N121" s="244">
        <f t="shared" si="3"/>
        <v>55228825.409713671</v>
      </c>
      <c r="P121" s="339"/>
    </row>
    <row r="122" spans="1:16" s="163" customFormat="1" x14ac:dyDescent="0.25">
      <c r="A122" s="160">
        <f>'B) D RI'!A123</f>
        <v>5591</v>
      </c>
      <c r="B122" s="161" t="str">
        <f>'B) D RI'!B123</f>
        <v>Renens</v>
      </c>
      <c r="C122" s="334">
        <f>'B) D RI'!S123</f>
        <v>78.5</v>
      </c>
      <c r="D122" s="162">
        <f>'B) D RI'!AA123</f>
        <v>21114</v>
      </c>
      <c r="E122" s="332">
        <f>'D) Ecrêtage'!C121</f>
        <v>526209.31525022746</v>
      </c>
      <c r="F122" s="336">
        <f>'E) Fact soc'!G127</f>
        <v>10055638.501475381</v>
      </c>
      <c r="G122" s="333">
        <f>'H) Péréquation directe'!I132</f>
        <v>-15980989.985283472</v>
      </c>
      <c r="H122" s="336">
        <f>+'I) Dépenses thématiques'!O121</f>
        <v>-5734195.1084986348</v>
      </c>
      <c r="I122" s="333">
        <f>'K) Plafonnement aide'!J121</f>
        <v>1715676.9618062719</v>
      </c>
      <c r="J122" s="336">
        <f>'J) Plafonnement effort'!I121</f>
        <v>0</v>
      </c>
      <c r="K122" s="333">
        <f>'L) Plafonnement taux'!Q122</f>
        <v>0</v>
      </c>
      <c r="L122" s="331">
        <f t="shared" si="4"/>
        <v>-9943869.6305004545</v>
      </c>
      <c r="M122" s="244">
        <f>'M) Police'!O122</f>
        <v>682853.75676019897</v>
      </c>
      <c r="N122" s="244">
        <f t="shared" si="3"/>
        <v>-9261015.8737402558</v>
      </c>
      <c r="P122" s="339"/>
    </row>
    <row r="123" spans="1:16" s="163" customFormat="1" x14ac:dyDescent="0.25">
      <c r="A123" s="160">
        <f>'B) D RI'!A124</f>
        <v>5592</v>
      </c>
      <c r="B123" s="161" t="str">
        <f>'B) D RI'!B124</f>
        <v>Romanel-sur-Lausanne</v>
      </c>
      <c r="C123" s="334">
        <f>'B) D RI'!S124</f>
        <v>70</v>
      </c>
      <c r="D123" s="162">
        <f>'B) D RI'!AA124</f>
        <v>3300</v>
      </c>
      <c r="E123" s="332">
        <f>'D) Ecrêtage'!C122</f>
        <v>111498.54042857142</v>
      </c>
      <c r="F123" s="336">
        <f>'E) Fact soc'!G128</f>
        <v>1982524.4040212485</v>
      </c>
      <c r="G123" s="333">
        <f>'H) Péréquation directe'!I133</f>
        <v>532214.84830344981</v>
      </c>
      <c r="H123" s="336">
        <f>+'I) Dépenses thématiques'!O122</f>
        <v>-279362.00742857147</v>
      </c>
      <c r="I123" s="333">
        <f>'K) Plafonnement aide'!J122</f>
        <v>0</v>
      </c>
      <c r="J123" s="336">
        <f>'J) Plafonnement effort'!I122</f>
        <v>0</v>
      </c>
      <c r="K123" s="333">
        <f>'L) Plafonnement taux'!Q123</f>
        <v>0</v>
      </c>
      <c r="L123" s="331">
        <f t="shared" si="4"/>
        <v>2235377.2448961269</v>
      </c>
      <c r="M123" s="244">
        <f>'M) Police'!O123</f>
        <v>344801.43361360719</v>
      </c>
      <c r="N123" s="244">
        <f t="shared" si="3"/>
        <v>2580178.6785097341</v>
      </c>
      <c r="P123" s="339"/>
    </row>
    <row r="124" spans="1:16" s="163" customFormat="1" x14ac:dyDescent="0.25">
      <c r="A124" s="160">
        <f>'B) D RI'!A125</f>
        <v>5601</v>
      </c>
      <c r="B124" s="161" t="str">
        <f>'B) D RI'!B125</f>
        <v>Chexbres</v>
      </c>
      <c r="C124" s="334">
        <f>'B) D RI'!S125</f>
        <v>64</v>
      </c>
      <c r="D124" s="162">
        <f>'B) D RI'!AA125</f>
        <v>2250</v>
      </c>
      <c r="E124" s="332">
        <f>'D) Ecrêtage'!C123</f>
        <v>116832.8703125</v>
      </c>
      <c r="F124" s="336">
        <f>'E) Fact soc'!G129</f>
        <v>2632012.6103847204</v>
      </c>
      <c r="G124" s="333">
        <f>'H) Péréquation directe'!I134</f>
        <v>1782380.3579173151</v>
      </c>
      <c r="H124" s="336">
        <f>+'I) Dépenses thématiques'!O123</f>
        <v>-134707.52812499998</v>
      </c>
      <c r="I124" s="333">
        <f>'K) Plafonnement aide'!J123</f>
        <v>0</v>
      </c>
      <c r="J124" s="336">
        <f>'J) Plafonnement effort'!I123</f>
        <v>0</v>
      </c>
      <c r="K124" s="333">
        <f>'L) Plafonnement taux'!Q124</f>
        <v>0</v>
      </c>
      <c r="L124" s="331">
        <f t="shared" si="4"/>
        <v>4279685.4401770355</v>
      </c>
      <c r="M124" s="244">
        <f>'M) Police'!O124</f>
        <v>151612.2236795261</v>
      </c>
      <c r="N124" s="244">
        <f t="shared" si="3"/>
        <v>4431297.6638565613</v>
      </c>
      <c r="P124" s="339"/>
    </row>
    <row r="125" spans="1:16" s="163" customFormat="1" x14ac:dyDescent="0.25">
      <c r="A125" s="160">
        <f>'B) D RI'!A126</f>
        <v>5604</v>
      </c>
      <c r="B125" s="161" t="str">
        <f>'B) D RI'!B126</f>
        <v>Forel (Lavaux)</v>
      </c>
      <c r="C125" s="334">
        <f>'B) D RI'!S126</f>
        <v>68</v>
      </c>
      <c r="D125" s="162">
        <f>'B) D RI'!AA126</f>
        <v>2084</v>
      </c>
      <c r="E125" s="332">
        <f>'D) Ecrêtage'!C124</f>
        <v>69144.285441176457</v>
      </c>
      <c r="F125" s="336">
        <f>'E) Fact soc'!G130</f>
        <v>1264989.8846164136</v>
      </c>
      <c r="G125" s="333">
        <f>'H) Péréquation directe'!I135</f>
        <v>423519.79526942456</v>
      </c>
      <c r="H125" s="336">
        <f>+'I) Dépenses thématiques'!O124</f>
        <v>-284042.03735294123</v>
      </c>
      <c r="I125" s="333">
        <f>'K) Plafonnement aide'!J124</f>
        <v>0</v>
      </c>
      <c r="J125" s="336">
        <f>'J) Plafonnement effort'!I124</f>
        <v>0</v>
      </c>
      <c r="K125" s="333">
        <f>'L) Plafonnement taux'!Q125</f>
        <v>0</v>
      </c>
      <c r="L125" s="331">
        <f t="shared" si="4"/>
        <v>1404467.6425328969</v>
      </c>
      <c r="M125" s="244">
        <f>'M) Police'!O125</f>
        <v>216918.13183295933</v>
      </c>
      <c r="N125" s="244">
        <f t="shared" si="3"/>
        <v>1621385.7743658563</v>
      </c>
      <c r="P125" s="339"/>
    </row>
    <row r="126" spans="1:16" s="163" customFormat="1" x14ac:dyDescent="0.25">
      <c r="A126" s="160">
        <f>'B) D RI'!A127</f>
        <v>5606</v>
      </c>
      <c r="B126" s="161" t="str">
        <f>'B) D RI'!B127</f>
        <v>Lutry</v>
      </c>
      <c r="C126" s="334">
        <f>'B) D RI'!S127</f>
        <v>55.5</v>
      </c>
      <c r="D126" s="162">
        <f>'B) D RI'!AA127</f>
        <v>10001</v>
      </c>
      <c r="E126" s="332">
        <f>'D) Ecrêtage'!C125</f>
        <v>819312.37389961397</v>
      </c>
      <c r="F126" s="336">
        <f>'E) Fact soc'!G131</f>
        <v>22484973.571327414</v>
      </c>
      <c r="G126" s="333">
        <f>'H) Péréquation directe'!I136</f>
        <v>11381718.966294859</v>
      </c>
      <c r="H126" s="336">
        <f>+'I) Dépenses thématiques'!O125</f>
        <v>-1557236.2566023162</v>
      </c>
      <c r="I126" s="333">
        <f>'K) Plafonnement aide'!J125</f>
        <v>0</v>
      </c>
      <c r="J126" s="336">
        <f>'J) Plafonnement effort'!I125</f>
        <v>0</v>
      </c>
      <c r="K126" s="333">
        <f>'L) Plafonnement taux'!Q126</f>
        <v>0</v>
      </c>
      <c r="L126" s="331">
        <f t="shared" si="4"/>
        <v>32309456.281019956</v>
      </c>
      <c r="M126" s="244">
        <f>'M) Police'!O126</f>
        <v>1063209.0999974487</v>
      </c>
      <c r="N126" s="244">
        <f t="shared" si="3"/>
        <v>33372665.381017406</v>
      </c>
      <c r="P126" s="339"/>
    </row>
    <row r="127" spans="1:16" s="163" customFormat="1" x14ac:dyDescent="0.25">
      <c r="A127" s="160">
        <f>'B) D RI'!A128</f>
        <v>5607</v>
      </c>
      <c r="B127" s="161" t="str">
        <f>'B) D RI'!B128</f>
        <v>Puidoux</v>
      </c>
      <c r="C127" s="334">
        <f>'B) D RI'!S128</f>
        <v>70</v>
      </c>
      <c r="D127" s="162">
        <f>'B) D RI'!AA128</f>
        <v>2904</v>
      </c>
      <c r="E127" s="332">
        <f>'D) Ecrêtage'!C126</f>
        <v>104767.98296273292</v>
      </c>
      <c r="F127" s="336">
        <f>'E) Fact soc'!G132</f>
        <v>2032892.0301772947</v>
      </c>
      <c r="G127" s="333">
        <f>'H) Péréquation directe'!I137</f>
        <v>796899.22843264672</v>
      </c>
      <c r="H127" s="336">
        <f>+'I) Dépenses thématiques'!O126</f>
        <v>-875231.35222360259</v>
      </c>
      <c r="I127" s="333">
        <f>'K) Plafonnement aide'!J126</f>
        <v>0</v>
      </c>
      <c r="J127" s="336">
        <f>'J) Plafonnement effort'!I126</f>
        <v>0</v>
      </c>
      <c r="K127" s="333">
        <f>'L) Plafonnement taux'!Q127</f>
        <v>0</v>
      </c>
      <c r="L127" s="331">
        <f t="shared" si="4"/>
        <v>1954559.9063863386</v>
      </c>
      <c r="M127" s="244">
        <f>'M) Police'!O127</f>
        <v>135955.80443168478</v>
      </c>
      <c r="N127" s="244">
        <f t="shared" si="3"/>
        <v>2090515.7108180234</v>
      </c>
      <c r="P127" s="339"/>
    </row>
    <row r="128" spans="1:16" s="163" customFormat="1" x14ac:dyDescent="0.25">
      <c r="A128" s="160">
        <f>'B) D RI'!A129</f>
        <v>5609</v>
      </c>
      <c r="B128" s="161" t="str">
        <f>'B) D RI'!B129</f>
        <v>Rivaz</v>
      </c>
      <c r="C128" s="334">
        <f>'B) D RI'!S129</f>
        <v>63.5</v>
      </c>
      <c r="D128" s="162">
        <f>'B) D RI'!AA129</f>
        <v>351</v>
      </c>
      <c r="E128" s="332">
        <f>'D) Ecrêtage'!C127</f>
        <v>15550.240157480319</v>
      </c>
      <c r="F128" s="336">
        <f>'E) Fact soc'!G133</f>
        <v>282231.83431867143</v>
      </c>
      <c r="G128" s="333">
        <f>'H) Péréquation directe'!I138</f>
        <v>262677.34465058579</v>
      </c>
      <c r="H128" s="336">
        <f>+'I) Dépenses thématiques'!O127</f>
        <v>-61924.378937007845</v>
      </c>
      <c r="I128" s="333">
        <f>'K) Plafonnement aide'!J127</f>
        <v>0</v>
      </c>
      <c r="J128" s="336">
        <f>'J) Plafonnement effort'!I127</f>
        <v>0</v>
      </c>
      <c r="K128" s="333">
        <f>'L) Plafonnement taux'!Q128</f>
        <v>0</v>
      </c>
      <c r="L128" s="331">
        <f t="shared" si="4"/>
        <v>482984.80003224942</v>
      </c>
      <c r="M128" s="244">
        <f>'M) Police'!O128</f>
        <v>20179.30812382013</v>
      </c>
      <c r="N128" s="244">
        <f t="shared" si="3"/>
        <v>503164.10815606953</v>
      </c>
      <c r="P128" s="339"/>
    </row>
    <row r="129" spans="1:16" s="163" customFormat="1" x14ac:dyDescent="0.25">
      <c r="A129" s="160">
        <f>'B) D RI'!A130</f>
        <v>5610</v>
      </c>
      <c r="B129" s="161" t="str">
        <f>'B) D RI'!B130</f>
        <v>St-Saphorin (Lavaux)</v>
      </c>
      <c r="C129" s="334">
        <f>'B) D RI'!S130</f>
        <v>67</v>
      </c>
      <c r="D129" s="162">
        <f>'B) D RI'!AA130</f>
        <v>389</v>
      </c>
      <c r="E129" s="332">
        <f>'D) Ecrêtage'!C128</f>
        <v>15345.496567164178</v>
      </c>
      <c r="F129" s="336">
        <f>'E) Fact soc'!G134</f>
        <v>359506.33993356157</v>
      </c>
      <c r="G129" s="333">
        <f>'H) Péréquation directe'!I139</f>
        <v>218938.6461388024</v>
      </c>
      <c r="H129" s="336">
        <f>+'I) Dépenses thématiques'!O128</f>
        <v>-102615.77059701494</v>
      </c>
      <c r="I129" s="333">
        <f>'K) Plafonnement aide'!J128</f>
        <v>0</v>
      </c>
      <c r="J129" s="336">
        <f>'J) Plafonnement effort'!I128</f>
        <v>0</v>
      </c>
      <c r="K129" s="333">
        <f>'L) Plafonnement taux'!Q129</f>
        <v>0</v>
      </c>
      <c r="L129" s="331">
        <f t="shared" si="4"/>
        <v>475829.2154753491</v>
      </c>
      <c r="M129" s="244">
        <f>'M) Police'!O129</f>
        <v>19913.615507273684</v>
      </c>
      <c r="N129" s="244">
        <f t="shared" si="3"/>
        <v>495742.83098262281</v>
      </c>
      <c r="P129" s="339"/>
    </row>
    <row r="130" spans="1:16" s="163" customFormat="1" x14ac:dyDescent="0.25">
      <c r="A130" s="160">
        <f>'B) D RI'!A131</f>
        <v>5611</v>
      </c>
      <c r="B130" s="161" t="str">
        <f>'B) D RI'!B131</f>
        <v>Savigny</v>
      </c>
      <c r="C130" s="334">
        <f>'B) D RI'!S131</f>
        <v>69</v>
      </c>
      <c r="D130" s="162">
        <f>'B) D RI'!AA131</f>
        <v>3352</v>
      </c>
      <c r="E130" s="332">
        <f>'D) Ecrêtage'!C129</f>
        <v>131982.7743236715</v>
      </c>
      <c r="F130" s="336">
        <f>'E) Fact soc'!G135</f>
        <v>2696071.3550427435</v>
      </c>
      <c r="G130" s="333">
        <f>'H) Péréquation directe'!I140</f>
        <v>1280968.5922290226</v>
      </c>
      <c r="H130" s="336">
        <f>+'I) Dépenses thématiques'!O129</f>
        <v>-532076.85405797092</v>
      </c>
      <c r="I130" s="333">
        <f>'K) Plafonnement aide'!J129</f>
        <v>0</v>
      </c>
      <c r="J130" s="336">
        <f>'J) Plafonnement effort'!I129</f>
        <v>0</v>
      </c>
      <c r="K130" s="333">
        <f>'L) Plafonnement taux'!Q130</f>
        <v>0</v>
      </c>
      <c r="L130" s="331">
        <f t="shared" si="4"/>
        <v>3444963.0932137952</v>
      </c>
      <c r="M130" s="244">
        <f>'M) Police'!O130</f>
        <v>171272.02172712516</v>
      </c>
      <c r="N130" s="244">
        <f t="shared" si="3"/>
        <v>3616235.1149409204</v>
      </c>
      <c r="P130" s="339"/>
    </row>
    <row r="131" spans="1:16" s="163" customFormat="1" x14ac:dyDescent="0.25">
      <c r="A131" s="160">
        <f>'B) D RI'!A132</f>
        <v>5613</v>
      </c>
      <c r="B131" s="161" t="str">
        <f>'B) D RI'!B132</f>
        <v>Bourg-en-Lavaux</v>
      </c>
      <c r="C131" s="334">
        <f>'B) D RI'!S132</f>
        <v>61</v>
      </c>
      <c r="D131" s="162">
        <f>'B) D RI'!AA132</f>
        <v>5288</v>
      </c>
      <c r="E131" s="332">
        <f>'D) Ecrêtage'!C130</f>
        <v>329819.74420765025</v>
      </c>
      <c r="F131" s="336">
        <f>'E) Fact soc'!G136</f>
        <v>7377262.4163704133</v>
      </c>
      <c r="G131" s="333">
        <f>'H) Péréquation directe'!I141</f>
        <v>4626756.3216975667</v>
      </c>
      <c r="H131" s="336">
        <f>+'I) Dépenses thématiques'!O130</f>
        <v>-231453.78475409851</v>
      </c>
      <c r="I131" s="333">
        <f>'K) Plafonnement aide'!J130</f>
        <v>0</v>
      </c>
      <c r="J131" s="336">
        <f>'J) Plafonnement effort'!I130</f>
        <v>0</v>
      </c>
      <c r="K131" s="333">
        <f>'L) Plafonnement taux'!Q131</f>
        <v>0</v>
      </c>
      <c r="L131" s="331">
        <f t="shared" si="4"/>
        <v>11772564.953313882</v>
      </c>
      <c r="M131" s="244">
        <f>'M) Police'!O131</f>
        <v>428002.02288092137</v>
      </c>
      <c r="N131" s="244">
        <f t="shared" si="3"/>
        <v>12200566.976194803</v>
      </c>
      <c r="P131" s="339"/>
    </row>
    <row r="132" spans="1:16" s="163" customFormat="1" x14ac:dyDescent="0.25">
      <c r="A132" s="160">
        <f>'B) D RI'!A133</f>
        <v>5621</v>
      </c>
      <c r="B132" s="161" t="str">
        <f>'B) D RI'!B133</f>
        <v>Aclens</v>
      </c>
      <c r="C132" s="334">
        <f>'B) D RI'!S133</f>
        <v>62</v>
      </c>
      <c r="D132" s="162">
        <f>'B) D RI'!AA133</f>
        <v>545</v>
      </c>
      <c r="E132" s="332">
        <f>'D) Ecrêtage'!C131</f>
        <v>29752.054618768325</v>
      </c>
      <c r="F132" s="336">
        <f>'E) Fact soc'!G137</f>
        <v>875807.23775441002</v>
      </c>
      <c r="G132" s="333">
        <f>'H) Péréquation directe'!I142</f>
        <v>528103.24546284694</v>
      </c>
      <c r="H132" s="336">
        <f>+'I) Dépenses thématiques'!O131</f>
        <v>-33325.881323313806</v>
      </c>
      <c r="I132" s="333">
        <f>'K) Plafonnement aide'!J131</f>
        <v>0</v>
      </c>
      <c r="J132" s="336">
        <f>'J) Plafonnement effort'!I131</f>
        <v>-31742.144049368551</v>
      </c>
      <c r="K132" s="333">
        <f>'L) Plafonnement taux'!Q132</f>
        <v>0</v>
      </c>
      <c r="L132" s="331">
        <f t="shared" si="4"/>
        <v>1338842.4578445747</v>
      </c>
      <c r="M132" s="244">
        <f>'M) Police'!O132</f>
        <v>84384.525378651451</v>
      </c>
      <c r="N132" s="244">
        <f t="shared" si="3"/>
        <v>1423226.9832232262</v>
      </c>
      <c r="P132" s="339"/>
    </row>
    <row r="133" spans="1:16" s="163" customFormat="1" x14ac:dyDescent="0.25">
      <c r="A133" s="160">
        <f>'B) D RI'!A134</f>
        <v>5622</v>
      </c>
      <c r="B133" s="161" t="str">
        <f>'B) D RI'!B134</f>
        <v>Bremblens</v>
      </c>
      <c r="C133" s="334">
        <f>'B) D RI'!S134</f>
        <v>66</v>
      </c>
      <c r="D133" s="162">
        <f>'B) D RI'!AA134</f>
        <v>547</v>
      </c>
      <c r="E133" s="332">
        <f>'D) Ecrêtage'!C132</f>
        <v>30065.565151515151</v>
      </c>
      <c r="F133" s="336">
        <f>'E) Fact soc'!G138</f>
        <v>583491.52759781701</v>
      </c>
      <c r="G133" s="333">
        <f>'H) Péréquation directe'!I143</f>
        <v>534130.31742605241</v>
      </c>
      <c r="H133" s="336">
        <f>+'I) Dépenses thématiques'!O132</f>
        <v>0</v>
      </c>
      <c r="I133" s="333">
        <f>'K) Plafonnement aide'!J132</f>
        <v>0</v>
      </c>
      <c r="J133" s="336">
        <f>'J) Plafonnement effort'!I132</f>
        <v>0</v>
      </c>
      <c r="K133" s="333">
        <f>'L) Plafonnement taux'!Q133</f>
        <v>0</v>
      </c>
      <c r="L133" s="331">
        <f t="shared" si="4"/>
        <v>1117621.8450238695</v>
      </c>
      <c r="M133" s="244">
        <f>'M) Police'!O133</f>
        <v>84959.347556699082</v>
      </c>
      <c r="N133" s="244">
        <f t="shared" si="3"/>
        <v>1202581.1925805686</v>
      </c>
      <c r="P133" s="339"/>
    </row>
    <row r="134" spans="1:16" s="163" customFormat="1" x14ac:dyDescent="0.25">
      <c r="A134" s="160">
        <f>'B) D RI'!A135</f>
        <v>5623</v>
      </c>
      <c r="B134" s="161" t="str">
        <f>'B) D RI'!B135</f>
        <v>Buchillon</v>
      </c>
      <c r="C134" s="334">
        <f>'B) D RI'!S135</f>
        <v>53</v>
      </c>
      <c r="D134" s="162">
        <f>'B) D RI'!AA135</f>
        <v>638</v>
      </c>
      <c r="E134" s="332">
        <f>'D) Ecrêtage'!C133</f>
        <v>74720.547735849046</v>
      </c>
      <c r="F134" s="336">
        <f>'E) Fact soc'!G139</f>
        <v>2205886.4742597071</v>
      </c>
      <c r="G134" s="333">
        <f>'H) Péréquation directe'!I144</f>
        <v>1416539.7005404765</v>
      </c>
      <c r="H134" s="336">
        <f>+'I) Dépenses thématiques'!O133</f>
        <v>0</v>
      </c>
      <c r="I134" s="333">
        <f>'K) Plafonnement aide'!J133</f>
        <v>0</v>
      </c>
      <c r="J134" s="336">
        <f>'J) Plafonnement effort'!I133</f>
        <v>-260001.52668697675</v>
      </c>
      <c r="K134" s="333">
        <f>'L) Plafonnement taux'!Q134</f>
        <v>0</v>
      </c>
      <c r="L134" s="331">
        <f t="shared" si="4"/>
        <v>3362424.648113207</v>
      </c>
      <c r="M134" s="244">
        <f>'M) Police'!O134</f>
        <v>96963.708641952326</v>
      </c>
      <c r="N134" s="244">
        <f t="shared" si="3"/>
        <v>3459388.3567551593</v>
      </c>
      <c r="P134" s="339"/>
    </row>
    <row r="135" spans="1:16" s="163" customFormat="1" x14ac:dyDescent="0.25">
      <c r="A135" s="160">
        <f>'B) D RI'!A136</f>
        <v>5624</v>
      </c>
      <c r="B135" s="161" t="str">
        <f>'B) D RI'!B136</f>
        <v>Bussigny</v>
      </c>
      <c r="C135" s="334">
        <f>'B) D RI'!S136</f>
        <v>62</v>
      </c>
      <c r="D135" s="162">
        <f>'B) D RI'!AA136</f>
        <v>8677</v>
      </c>
      <c r="E135" s="332">
        <f>'D) Ecrêtage'!C134</f>
        <v>313352.53032258071</v>
      </c>
      <c r="F135" s="336">
        <f>'E) Fact soc'!G140</f>
        <v>6268100.7559034899</v>
      </c>
      <c r="G135" s="333">
        <f>'H) Péréquation directe'!I145</f>
        <v>1079158.6606362863</v>
      </c>
      <c r="H135" s="336">
        <f>+'I) Dépenses thématiques'!O134</f>
        <v>-1076513.8180645157</v>
      </c>
      <c r="I135" s="333">
        <f>'K) Plafonnement aide'!J134</f>
        <v>0</v>
      </c>
      <c r="J135" s="336">
        <f>'J) Plafonnement effort'!I134</f>
        <v>0</v>
      </c>
      <c r="K135" s="333">
        <f>'L) Plafonnement taux'!Q135</f>
        <v>0</v>
      </c>
      <c r="L135" s="331">
        <f t="shared" si="4"/>
        <v>6270745.5984752607</v>
      </c>
      <c r="M135" s="244">
        <f>'M) Police'!O135</f>
        <v>406632.77201646974</v>
      </c>
      <c r="N135" s="244">
        <f t="shared" ref="N135:N193" si="5">L135+M135</f>
        <v>6677378.37049173</v>
      </c>
      <c r="P135" s="339"/>
    </row>
    <row r="136" spans="1:16" s="163" customFormat="1" x14ac:dyDescent="0.25">
      <c r="A136" s="160">
        <f>'B) D RI'!A137</f>
        <v>5625</v>
      </c>
      <c r="B136" s="161" t="str">
        <f>'B) D RI'!B137</f>
        <v>Bussy-Chardonney</v>
      </c>
      <c r="C136" s="334">
        <f>'B) D RI'!S137</f>
        <v>78</v>
      </c>
      <c r="D136" s="162">
        <f>'B) D RI'!AA137</f>
        <v>371</v>
      </c>
      <c r="E136" s="332">
        <f>'D) Ecrêtage'!C135</f>
        <v>13647.695555555556</v>
      </c>
      <c r="F136" s="336">
        <f>'E) Fact soc'!G141</f>
        <v>255807.22005359599</v>
      </c>
      <c r="G136" s="333">
        <f>'H) Péréquation directe'!I146</f>
        <v>151525.5670592511</v>
      </c>
      <c r="H136" s="336">
        <f>+'I) Dépenses thématiques'!O135</f>
        <v>-15232.826666666664</v>
      </c>
      <c r="I136" s="333">
        <f>'K) Plafonnement aide'!J135</f>
        <v>0</v>
      </c>
      <c r="J136" s="336">
        <f>'J) Plafonnement effort'!I135</f>
        <v>0</v>
      </c>
      <c r="K136" s="333">
        <f>'L) Plafonnement taux'!Q136</f>
        <v>0</v>
      </c>
      <c r="L136" s="331">
        <f t="shared" si="4"/>
        <v>392099.96044618043</v>
      </c>
      <c r="M136" s="244">
        <f>'M) Police'!O136</f>
        <v>42520.697997963842</v>
      </c>
      <c r="N136" s="244">
        <f t="shared" si="5"/>
        <v>434620.6584441443</v>
      </c>
      <c r="P136" s="339"/>
    </row>
    <row r="137" spans="1:16" s="163" customFormat="1" x14ac:dyDescent="0.25">
      <c r="A137" s="160">
        <f>'B) D RI'!A138</f>
        <v>5627</v>
      </c>
      <c r="B137" s="161" t="str">
        <f>'B) D RI'!B138</f>
        <v>Chavannes-près-Renens</v>
      </c>
      <c r="C137" s="334">
        <f>'B) D RI'!S138</f>
        <v>79</v>
      </c>
      <c r="D137" s="162">
        <f>'B) D RI'!AA138</f>
        <v>7653</v>
      </c>
      <c r="E137" s="332">
        <f>'D) Ecrêtage'!C136</f>
        <v>167740.14928270038</v>
      </c>
      <c r="F137" s="336">
        <f>'E) Fact soc'!G142</f>
        <v>4030751.8733850941</v>
      </c>
      <c r="G137" s="333">
        <f>'H) Péréquation directe'!I147</f>
        <v>-4448848.6387464739</v>
      </c>
      <c r="H137" s="336">
        <f>+'I) Dépenses thématiques'!O136</f>
        <v>-1462746.6043037977</v>
      </c>
      <c r="I137" s="333">
        <f>'K) Plafonnement aide'!J136</f>
        <v>0</v>
      </c>
      <c r="J137" s="336">
        <f>'J) Plafonnement effort'!I136</f>
        <v>0</v>
      </c>
      <c r="K137" s="333">
        <f>'L) Plafonnement taux'!Q137</f>
        <v>0</v>
      </c>
      <c r="L137" s="331">
        <f t="shared" si="4"/>
        <v>-1880843.3696651775</v>
      </c>
      <c r="M137" s="244">
        <f>'M) Police'!O137</f>
        <v>217673.81872124513</v>
      </c>
      <c r="N137" s="244">
        <f t="shared" si="5"/>
        <v>-1663169.5509439325</v>
      </c>
      <c r="P137" s="339"/>
    </row>
    <row r="138" spans="1:16" s="163" customFormat="1" x14ac:dyDescent="0.25">
      <c r="A138" s="160">
        <f>'B) D RI'!A139</f>
        <v>5628</v>
      </c>
      <c r="B138" s="161" t="str">
        <f>'B) D RI'!B139</f>
        <v>Chigny</v>
      </c>
      <c r="C138" s="334">
        <f>'B) D RI'!S139</f>
        <v>62</v>
      </c>
      <c r="D138" s="162">
        <f>'B) D RI'!AA139</f>
        <v>338</v>
      </c>
      <c r="E138" s="332">
        <f>'D) Ecrêtage'!C137</f>
        <v>19513.351129032257</v>
      </c>
      <c r="F138" s="336">
        <f>'E) Fact soc'!G143</f>
        <v>424262.20257649315</v>
      </c>
      <c r="G138" s="333">
        <f>'H) Péréquation directe'!I148</f>
        <v>348766.28927163989</v>
      </c>
      <c r="H138" s="336">
        <f>+'I) Dépenses thématiques'!O137</f>
        <v>0</v>
      </c>
      <c r="I138" s="333">
        <f>'K) Plafonnement aide'!J137</f>
        <v>0</v>
      </c>
      <c r="J138" s="336">
        <f>'J) Plafonnement effort'!I137</f>
        <v>0</v>
      </c>
      <c r="K138" s="333">
        <f>'L) Plafonnement taux'!Q138</f>
        <v>0</v>
      </c>
      <c r="L138" s="331">
        <f t="shared" si="4"/>
        <v>773028.49184813304</v>
      </c>
      <c r="M138" s="244">
        <f>'M) Police'!O138</f>
        <v>53711.534752371546</v>
      </c>
      <c r="N138" s="244">
        <f t="shared" si="5"/>
        <v>826740.02660050453</v>
      </c>
      <c r="P138" s="339"/>
    </row>
    <row r="139" spans="1:16" s="163" customFormat="1" x14ac:dyDescent="0.25">
      <c r="A139" s="160">
        <f>'B) D RI'!A140</f>
        <v>5629</v>
      </c>
      <c r="B139" s="161" t="str">
        <f>'B) D RI'!B140</f>
        <v>Clarmont</v>
      </c>
      <c r="C139" s="334">
        <f>'B) D RI'!S140</f>
        <v>75</v>
      </c>
      <c r="D139" s="162">
        <f>'B) D RI'!AA140</f>
        <v>189</v>
      </c>
      <c r="E139" s="332">
        <f>'D) Ecrêtage'!C138</f>
        <v>7442.8926666666675</v>
      </c>
      <c r="F139" s="336">
        <f>'E) Fact soc'!G144</f>
        <v>129487.6290180525</v>
      </c>
      <c r="G139" s="333">
        <f>'H) Péréquation directe'!I149</f>
        <v>100894.22347724107</v>
      </c>
      <c r="H139" s="336">
        <f>+'I) Dépenses thématiques'!O138</f>
        <v>-41164.393999999993</v>
      </c>
      <c r="I139" s="333">
        <f>'K) Plafonnement aide'!J138</f>
        <v>0</v>
      </c>
      <c r="J139" s="336">
        <f>'J) Plafonnement effort'!I138</f>
        <v>0</v>
      </c>
      <c r="K139" s="333">
        <f>'L) Plafonnement taux'!Q139</f>
        <v>0</v>
      </c>
      <c r="L139" s="331">
        <f t="shared" si="4"/>
        <v>189217.45849529357</v>
      </c>
      <c r="M139" s="244">
        <f>'M) Police'!O139</f>
        <v>23540.642312038057</v>
      </c>
      <c r="N139" s="244">
        <f t="shared" si="5"/>
        <v>212758.10080733162</v>
      </c>
      <c r="P139" s="339"/>
    </row>
    <row r="140" spans="1:16" s="163" customFormat="1" x14ac:dyDescent="0.25">
      <c r="A140" s="160">
        <f>'B) D RI'!A141</f>
        <v>5631</v>
      </c>
      <c r="B140" s="161" t="str">
        <f>'B) D RI'!B141</f>
        <v>Denens</v>
      </c>
      <c r="C140" s="334">
        <f>'B) D RI'!S141</f>
        <v>70</v>
      </c>
      <c r="D140" s="162">
        <f>'B) D RI'!AA141</f>
        <v>774</v>
      </c>
      <c r="E140" s="332">
        <f>'D) Ecrêtage'!C139</f>
        <v>45367.235142857142</v>
      </c>
      <c r="F140" s="336">
        <f>'E) Fact soc'!G145</f>
        <v>990333.70163630974</v>
      </c>
      <c r="G140" s="333">
        <f>'H) Péréquation directe'!I150</f>
        <v>812318.84960736823</v>
      </c>
      <c r="H140" s="336">
        <f>+'I) Dépenses thématiques'!O139</f>
        <v>-37614.089142857149</v>
      </c>
      <c r="I140" s="333">
        <f>'K) Plafonnement aide'!J139</f>
        <v>0</v>
      </c>
      <c r="J140" s="336">
        <f>'J) Plafonnement effort'!I139</f>
        <v>0</v>
      </c>
      <c r="K140" s="333">
        <f>'L) Plafonnement taux'!Q140</f>
        <v>0</v>
      </c>
      <c r="L140" s="331">
        <f t="shared" si="4"/>
        <v>1765038.4621008208</v>
      </c>
      <c r="M140" s="244">
        <f>'M) Police'!O140</f>
        <v>123882.31583724867</v>
      </c>
      <c r="N140" s="244">
        <f t="shared" si="5"/>
        <v>1888920.7779380695</v>
      </c>
      <c r="P140" s="339"/>
    </row>
    <row r="141" spans="1:16" s="163" customFormat="1" x14ac:dyDescent="0.25">
      <c r="A141" s="160">
        <f>'B) D RI'!A142</f>
        <v>5632</v>
      </c>
      <c r="B141" s="161" t="str">
        <f>'B) D RI'!B142</f>
        <v>Denges</v>
      </c>
      <c r="C141" s="334">
        <f>'B) D RI'!S142</f>
        <v>62</v>
      </c>
      <c r="D141" s="162">
        <f>'B) D RI'!AA142</f>
        <v>1614</v>
      </c>
      <c r="E141" s="332">
        <f>'D) Ecrêtage'!C140</f>
        <v>67164.535483870975</v>
      </c>
      <c r="F141" s="336">
        <f>'E) Fact soc'!G146</f>
        <v>1205000.460653869</v>
      </c>
      <c r="G141" s="333">
        <f>'H) Péréquation directe'!I151</f>
        <v>919237.27559667628</v>
      </c>
      <c r="H141" s="336">
        <f>+'I) Dépenses thématiques'!O140</f>
        <v>-22916.787096774147</v>
      </c>
      <c r="I141" s="333">
        <f>'K) Plafonnement aide'!J140</f>
        <v>0</v>
      </c>
      <c r="J141" s="336">
        <f>'J) Plafonnement effort'!I140</f>
        <v>0</v>
      </c>
      <c r="K141" s="333">
        <f>'L) Plafonnement taux'!Q141</f>
        <v>0</v>
      </c>
      <c r="L141" s="331">
        <f t="shared" si="4"/>
        <v>2101320.9491537712</v>
      </c>
      <c r="M141" s="244">
        <f>'M) Police'!O141</f>
        <v>210325.54873621103</v>
      </c>
      <c r="N141" s="244">
        <f t="shared" si="5"/>
        <v>2311646.4978899821</v>
      </c>
      <c r="P141" s="339"/>
    </row>
    <row r="142" spans="1:16" s="163" customFormat="1" x14ac:dyDescent="0.25">
      <c r="A142" s="160">
        <f>'B) D RI'!A143</f>
        <v>5633</v>
      </c>
      <c r="B142" s="161" t="str">
        <f>'B) D RI'!B143</f>
        <v>Echandens</v>
      </c>
      <c r="C142" s="334">
        <f>'B) D RI'!S143</f>
        <v>62</v>
      </c>
      <c r="D142" s="162">
        <f>'B) D RI'!AA143</f>
        <v>2757</v>
      </c>
      <c r="E142" s="332">
        <f>'D) Ecrêtage'!C141</f>
        <v>132114.82112903227</v>
      </c>
      <c r="F142" s="336">
        <f>'E) Fact soc'!G147</f>
        <v>2527472.642801879</v>
      </c>
      <c r="G142" s="333">
        <f>'H) Péréquation directe'!I152</f>
        <v>1912898.9630621325</v>
      </c>
      <c r="H142" s="336">
        <f>+'I) Dépenses thématiques'!O141</f>
        <v>-399780.32322580641</v>
      </c>
      <c r="I142" s="333">
        <f>'K) Plafonnement aide'!J141</f>
        <v>0</v>
      </c>
      <c r="J142" s="336">
        <f>'J) Plafonnement effort'!I141</f>
        <v>0</v>
      </c>
      <c r="K142" s="333">
        <f>'L) Plafonnement taux'!Q142</f>
        <v>0</v>
      </c>
      <c r="L142" s="331">
        <f t="shared" si="4"/>
        <v>4040591.2826382052</v>
      </c>
      <c r="M142" s="244">
        <f>'M) Police'!O142</f>
        <v>403009.82910610188</v>
      </c>
      <c r="N142" s="244">
        <f t="shared" si="5"/>
        <v>4443601.111744307</v>
      </c>
      <c r="P142" s="339"/>
    </row>
    <row r="143" spans="1:16" s="163" customFormat="1" x14ac:dyDescent="0.25">
      <c r="A143" s="160">
        <f>'B) D RI'!A144</f>
        <v>5634</v>
      </c>
      <c r="B143" s="161" t="str">
        <f>'B) D RI'!B144</f>
        <v>Echichens</v>
      </c>
      <c r="C143" s="334">
        <f>'B) D RI'!S144</f>
        <v>68</v>
      </c>
      <c r="D143" s="162">
        <f>'B) D RI'!AA144</f>
        <v>2712</v>
      </c>
      <c r="E143" s="332">
        <f>'D) Ecrêtage'!C142</f>
        <v>126696.63529411763</v>
      </c>
      <c r="F143" s="336">
        <f>'E) Fact soc'!G148</f>
        <v>2580395.4397975197</v>
      </c>
      <c r="G143" s="333">
        <f>'H) Péréquation directe'!I153</f>
        <v>1820028.6861562585</v>
      </c>
      <c r="H143" s="336">
        <f>+'I) Dépenses thématiques'!O142</f>
        <v>0</v>
      </c>
      <c r="I143" s="333">
        <f>'K) Plafonnement aide'!J142</f>
        <v>0</v>
      </c>
      <c r="J143" s="336">
        <f>'J) Plafonnement effort'!I142</f>
        <v>0</v>
      </c>
      <c r="K143" s="333">
        <f>'L) Plafonnement taux'!Q143</f>
        <v>0</v>
      </c>
      <c r="L143" s="331">
        <f t="shared" si="4"/>
        <v>4400424.1259537786</v>
      </c>
      <c r="M143" s="244">
        <f>'M) Police'!O143</f>
        <v>392199.08416292397</v>
      </c>
      <c r="N143" s="244">
        <f t="shared" si="5"/>
        <v>4792623.2101167031</v>
      </c>
      <c r="P143" s="339"/>
    </row>
    <row r="144" spans="1:16" s="163" customFormat="1" x14ac:dyDescent="0.25">
      <c r="A144" s="160">
        <f>'B) D RI'!A145</f>
        <v>5635</v>
      </c>
      <c r="B144" s="161" t="str">
        <f>'B) D RI'!B145</f>
        <v>Ecublens</v>
      </c>
      <c r="C144" s="334">
        <f>'B) D RI'!S145</f>
        <v>62</v>
      </c>
      <c r="D144" s="162">
        <f>'B) D RI'!AA145</f>
        <v>12560</v>
      </c>
      <c r="E144" s="332">
        <f>'D) Ecrêtage'!C143</f>
        <v>448558.27357385395</v>
      </c>
      <c r="F144" s="336">
        <f>'E) Fact soc'!G149</f>
        <v>8462386.3118968531</v>
      </c>
      <c r="G144" s="333">
        <f>'H) Péréquation directe'!I154</f>
        <v>-96932.395726684481</v>
      </c>
      <c r="H144" s="336">
        <f>+'I) Dépenses thématiques'!O143</f>
        <v>-2746857.6085568764</v>
      </c>
      <c r="I144" s="333">
        <f>'K) Plafonnement aide'!J143</f>
        <v>0</v>
      </c>
      <c r="J144" s="336">
        <f>'J) Plafonnement effort'!I143</f>
        <v>0</v>
      </c>
      <c r="K144" s="333">
        <f>'L) Plafonnement taux'!Q144</f>
        <v>0</v>
      </c>
      <c r="L144" s="331">
        <f t="shared" si="4"/>
        <v>5618596.3076132927</v>
      </c>
      <c r="M144" s="244">
        <f>'M) Police'!O144</f>
        <v>582087.19108311692</v>
      </c>
      <c r="N144" s="244">
        <f t="shared" si="5"/>
        <v>6200683.4986964092</v>
      </c>
      <c r="P144" s="339"/>
    </row>
    <row r="145" spans="1:16" s="163" customFormat="1" x14ac:dyDescent="0.25">
      <c r="A145" s="160">
        <f>'B) D RI'!A146</f>
        <v>5636</v>
      </c>
      <c r="B145" s="161" t="str">
        <f>'B) D RI'!B146</f>
        <v>Etoy</v>
      </c>
      <c r="C145" s="334">
        <f>'B) D RI'!S146</f>
        <v>61</v>
      </c>
      <c r="D145" s="162">
        <f>'B) D RI'!AA146</f>
        <v>2908</v>
      </c>
      <c r="E145" s="332">
        <f>'D) Ecrêtage'!C144</f>
        <v>151105.62688524593</v>
      </c>
      <c r="F145" s="336">
        <f>'E) Fact soc'!G150</f>
        <v>3340061.8030118416</v>
      </c>
      <c r="G145" s="333">
        <f>'H) Péréquation directe'!I155</f>
        <v>2240735.9070105338</v>
      </c>
      <c r="H145" s="336">
        <f>+'I) Dépenses thématiques'!O144</f>
        <v>0</v>
      </c>
      <c r="I145" s="333">
        <f>'K) Plafonnement aide'!J144</f>
        <v>0</v>
      </c>
      <c r="J145" s="336">
        <f>'J) Plafonnement effort'!I144</f>
        <v>0</v>
      </c>
      <c r="K145" s="333">
        <f>'L) Plafonnement taux'!Q145</f>
        <v>0</v>
      </c>
      <c r="L145" s="331">
        <f t="shared" si="4"/>
        <v>5580797.710022375</v>
      </c>
      <c r="M145" s="244">
        <f>'M) Police'!O145</f>
        <v>440336.72626932687</v>
      </c>
      <c r="N145" s="244">
        <f t="shared" si="5"/>
        <v>6021134.4362917021</v>
      </c>
      <c r="P145" s="339"/>
    </row>
    <row r="146" spans="1:16" s="163" customFormat="1" x14ac:dyDescent="0.25">
      <c r="A146" s="160">
        <f>'B) D RI'!A147</f>
        <v>5637</v>
      </c>
      <c r="B146" s="161" t="str">
        <f>'B) D RI'!B147</f>
        <v>Lavigny</v>
      </c>
      <c r="C146" s="334">
        <f>'B) D RI'!S147</f>
        <v>74.5</v>
      </c>
      <c r="D146" s="162">
        <f>'B) D RI'!AA147</f>
        <v>1007</v>
      </c>
      <c r="E146" s="332">
        <f>'D) Ecrêtage'!C145</f>
        <v>36088.085548098432</v>
      </c>
      <c r="F146" s="336">
        <f>'E) Fact soc'!G151</f>
        <v>687242.99432830187</v>
      </c>
      <c r="G146" s="333">
        <f>'H) Péréquation directe'!I156</f>
        <v>387535.31007795164</v>
      </c>
      <c r="H146" s="336">
        <f>+'I) Dépenses thématiques'!O145</f>
        <v>-91896.986711409409</v>
      </c>
      <c r="I146" s="333">
        <f>'K) Plafonnement aide'!J145</f>
        <v>0</v>
      </c>
      <c r="J146" s="336">
        <f>'J) Plafonnement effort'!I145</f>
        <v>0</v>
      </c>
      <c r="K146" s="333">
        <f>'L) Plafonnement taux'!Q146</f>
        <v>0</v>
      </c>
      <c r="L146" s="331">
        <f t="shared" si="4"/>
        <v>982881.31769484421</v>
      </c>
      <c r="M146" s="244">
        <f>'M) Police'!O146</f>
        <v>113885.51988492809</v>
      </c>
      <c r="N146" s="244">
        <f t="shared" si="5"/>
        <v>1096766.8375797723</v>
      </c>
      <c r="P146" s="339"/>
    </row>
    <row r="147" spans="1:16" s="163" customFormat="1" x14ac:dyDescent="0.25">
      <c r="A147" s="160">
        <f>'B) D RI'!A148</f>
        <v>5638</v>
      </c>
      <c r="B147" s="161" t="str">
        <f>'B) D RI'!B148</f>
        <v>Lonay</v>
      </c>
      <c r="C147" s="334">
        <f>'B) D RI'!S148</f>
        <v>55</v>
      </c>
      <c r="D147" s="162">
        <f>'B) D RI'!AA148</f>
        <v>2492</v>
      </c>
      <c r="E147" s="332">
        <f>'D) Ecrêtage'!C146</f>
        <v>147307.25563636364</v>
      </c>
      <c r="F147" s="336">
        <f>'E) Fact soc'!G152</f>
        <v>5786056.8268914055</v>
      </c>
      <c r="G147" s="333">
        <f>'H) Péréquation directe'!I157</f>
        <v>2308564.1728474898</v>
      </c>
      <c r="H147" s="336">
        <f>+'I) Dépenses thématiques'!O146</f>
        <v>-309387.71618181816</v>
      </c>
      <c r="I147" s="333">
        <f>'K) Plafonnement aide'!J146</f>
        <v>0</v>
      </c>
      <c r="J147" s="336">
        <f>'J) Plafonnement effort'!I146</f>
        <v>-1156406.7799207133</v>
      </c>
      <c r="K147" s="333">
        <f>'L) Plafonnement taux'!Q147</f>
        <v>0</v>
      </c>
      <c r="L147" s="331">
        <f t="shared" si="4"/>
        <v>6628826.5036363639</v>
      </c>
      <c r="M147" s="244">
        <f>'M) Police'!O147</f>
        <v>400466.88947225985</v>
      </c>
      <c r="N147" s="244">
        <f t="shared" si="5"/>
        <v>7029293.393108624</v>
      </c>
      <c r="P147" s="339"/>
    </row>
    <row r="148" spans="1:16" s="163" customFormat="1" x14ac:dyDescent="0.25">
      <c r="A148" s="160">
        <f>'B) D RI'!A149</f>
        <v>5639</v>
      </c>
      <c r="B148" s="161" t="str">
        <f>'B) D RI'!B149</f>
        <v>Lully</v>
      </c>
      <c r="C148" s="334">
        <f>'B) D RI'!S149</f>
        <v>61</v>
      </c>
      <c r="D148" s="162">
        <f>'B) D RI'!AA149</f>
        <v>795</v>
      </c>
      <c r="E148" s="332">
        <f>'D) Ecrêtage'!C147</f>
        <v>51219.676393442627</v>
      </c>
      <c r="F148" s="336">
        <f>'E) Fact soc'!G153</f>
        <v>1137117.2593089789</v>
      </c>
      <c r="G148" s="333">
        <f>'H) Péréquation directe'!I158</f>
        <v>926846.10748504195</v>
      </c>
      <c r="H148" s="336">
        <f>+'I) Dépenses thématiques'!O147</f>
        <v>0</v>
      </c>
      <c r="I148" s="333">
        <f>'K) Plafonnement aide'!J147</f>
        <v>0</v>
      </c>
      <c r="J148" s="336">
        <f>'J) Plafonnement effort'!I147</f>
        <v>0</v>
      </c>
      <c r="K148" s="333">
        <f>'L) Plafonnement taux'!Q148</f>
        <v>0</v>
      </c>
      <c r="L148" s="331">
        <f t="shared" si="4"/>
        <v>2063963.3667940209</v>
      </c>
      <c r="M148" s="244">
        <f>'M) Police'!O148</f>
        <v>133240.77494769735</v>
      </c>
      <c r="N148" s="244">
        <f t="shared" si="5"/>
        <v>2197204.1417417182</v>
      </c>
      <c r="P148" s="339"/>
    </row>
    <row r="149" spans="1:16" s="163" customFormat="1" x14ac:dyDescent="0.25">
      <c r="A149" s="160">
        <f>'B) D RI'!A150</f>
        <v>5640</v>
      </c>
      <c r="B149" s="161" t="str">
        <f>'B) D RI'!B150</f>
        <v>Lussy-sur-Morges</v>
      </c>
      <c r="C149" s="334">
        <f>'B) D RI'!S150</f>
        <v>66</v>
      </c>
      <c r="D149" s="162">
        <f>'B) D RI'!AA150</f>
        <v>667</v>
      </c>
      <c r="E149" s="332">
        <f>'D) Ecrêtage'!C148</f>
        <v>55173.413636363643</v>
      </c>
      <c r="F149" s="336">
        <f>'E) Fact soc'!G154</f>
        <v>2120198.3995693652</v>
      </c>
      <c r="G149" s="333">
        <f>'H) Péréquation directe'!I159</f>
        <v>1021776.1606655425</v>
      </c>
      <c r="H149" s="336">
        <f>+'I) Dépenses thématiques'!O148</f>
        <v>0</v>
      </c>
      <c r="I149" s="333">
        <f>'K) Plafonnement aide'!J148</f>
        <v>0</v>
      </c>
      <c r="J149" s="336">
        <f>'J) Plafonnement effort'!I148</f>
        <v>-659170.94659854367</v>
      </c>
      <c r="K149" s="333">
        <f>'L) Plafonnement taux'!Q149</f>
        <v>0</v>
      </c>
      <c r="L149" s="331">
        <f t="shared" si="4"/>
        <v>2482803.6136363638</v>
      </c>
      <c r="M149" s="244">
        <f>'M) Police'!O149</f>
        <v>71597.692558824419</v>
      </c>
      <c r="N149" s="244">
        <f t="shared" si="5"/>
        <v>2554401.3061951883</v>
      </c>
      <c r="P149" s="339"/>
    </row>
    <row r="150" spans="1:16" s="163" customFormat="1" x14ac:dyDescent="0.25">
      <c r="A150" s="160">
        <f>'B) D RI'!A151</f>
        <v>5642</v>
      </c>
      <c r="B150" s="161" t="str">
        <f>'B) D RI'!B151</f>
        <v>Morges</v>
      </c>
      <c r="C150" s="334">
        <f>'B) D RI'!S151</f>
        <v>68.5</v>
      </c>
      <c r="D150" s="162">
        <f>'B) D RI'!AA151</f>
        <v>15839</v>
      </c>
      <c r="E150" s="332">
        <f>'D) Ecrêtage'!C149</f>
        <v>737766.82978102157</v>
      </c>
      <c r="F150" s="336">
        <f>'E) Fact soc'!G155</f>
        <v>15251847.786897438</v>
      </c>
      <c r="G150" s="333">
        <f>'H) Péréquation directe'!I160</f>
        <v>4237073.8422259986</v>
      </c>
      <c r="H150" s="336">
        <f>+'I) Dépenses thématiques'!O149</f>
        <v>-831330.27131387056</v>
      </c>
      <c r="I150" s="333">
        <f>'K) Plafonnement aide'!J149</f>
        <v>0</v>
      </c>
      <c r="J150" s="336">
        <f>'J) Plafonnement effort'!I149</f>
        <v>0</v>
      </c>
      <c r="K150" s="333">
        <f>'L) Plafonnement taux'!Q150</f>
        <v>0</v>
      </c>
      <c r="L150" s="331">
        <f t="shared" si="4"/>
        <v>18657591.357809562</v>
      </c>
      <c r="M150" s="244">
        <f>'M) Police'!O150</f>
        <v>957388.6982397259</v>
      </c>
      <c r="N150" s="244">
        <f t="shared" si="5"/>
        <v>19614980.056049287</v>
      </c>
      <c r="P150" s="339"/>
    </row>
    <row r="151" spans="1:16" s="163" customFormat="1" x14ac:dyDescent="0.25">
      <c r="A151" s="160">
        <f>'B) D RI'!A152</f>
        <v>5643</v>
      </c>
      <c r="B151" s="161" t="str">
        <f>'B) D RI'!B152</f>
        <v>Préverenges</v>
      </c>
      <c r="C151" s="334">
        <f>'B) D RI'!S152</f>
        <v>64</v>
      </c>
      <c r="D151" s="162">
        <f>'B) D RI'!AA152</f>
        <v>5291</v>
      </c>
      <c r="E151" s="332">
        <f>'D) Ecrêtage'!C150</f>
        <v>261619.24140624996</v>
      </c>
      <c r="F151" s="336">
        <f>'E) Fact soc'!G156</f>
        <v>4763248.3577636853</v>
      </c>
      <c r="G151" s="333">
        <f>'H) Péréquation directe'!I161</f>
        <v>3260131.9534986792</v>
      </c>
      <c r="H151" s="336">
        <f>+'I) Dépenses thématiques'!O150</f>
        <v>0</v>
      </c>
      <c r="I151" s="333">
        <f>'K) Plafonnement aide'!J150</f>
        <v>0</v>
      </c>
      <c r="J151" s="336">
        <f>'J) Plafonnement effort'!I150</f>
        <v>0</v>
      </c>
      <c r="K151" s="333">
        <f>'L) Plafonnement taux'!Q151</f>
        <v>0</v>
      </c>
      <c r="L151" s="331">
        <f t="shared" si="4"/>
        <v>8023380.3112623645</v>
      </c>
      <c r="M151" s="244">
        <f>'M) Police'!O151</f>
        <v>339499.27653800492</v>
      </c>
      <c r="N151" s="244">
        <f t="shared" si="5"/>
        <v>8362879.5878003696</v>
      </c>
      <c r="P151" s="339"/>
    </row>
    <row r="152" spans="1:16" s="163" customFormat="1" x14ac:dyDescent="0.25">
      <c r="A152" s="160">
        <f>'B) D RI'!A153</f>
        <v>5644</v>
      </c>
      <c r="B152" s="161" t="str">
        <f>'B) D RI'!B153</f>
        <v>Reverolle</v>
      </c>
      <c r="C152" s="334">
        <f>'B) D RI'!S153</f>
        <v>76</v>
      </c>
      <c r="D152" s="162">
        <f>'B) D RI'!AA153</f>
        <v>382</v>
      </c>
      <c r="E152" s="332">
        <f>'D) Ecrêtage'!C151</f>
        <v>14956.659078947367</v>
      </c>
      <c r="F152" s="336">
        <f>'E) Fact soc'!G157</f>
        <v>261530.91919086454</v>
      </c>
      <c r="G152" s="333">
        <f>'H) Péréquation directe'!I162</f>
        <v>198856.68408693341</v>
      </c>
      <c r="H152" s="336">
        <f>+'I) Dépenses thématiques'!O151</f>
        <v>-36785.7955263158</v>
      </c>
      <c r="I152" s="333">
        <f>'K) Plafonnement aide'!J151</f>
        <v>0</v>
      </c>
      <c r="J152" s="336">
        <f>'J) Plafonnement effort'!I151</f>
        <v>0</v>
      </c>
      <c r="K152" s="333">
        <f>'L) Plafonnement taux'!Q152</f>
        <v>0</v>
      </c>
      <c r="L152" s="331">
        <f t="shared" si="4"/>
        <v>423601.80775148212</v>
      </c>
      <c r="M152" s="244">
        <f>'M) Police'!O152</f>
        <v>47421.543905383442</v>
      </c>
      <c r="N152" s="244">
        <f t="shared" si="5"/>
        <v>471023.35165686556</v>
      </c>
      <c r="P152" s="339"/>
    </row>
    <row r="153" spans="1:16" s="163" customFormat="1" x14ac:dyDescent="0.25">
      <c r="A153" s="160">
        <f>'B) D RI'!A154</f>
        <v>5645</v>
      </c>
      <c r="B153" s="161" t="str">
        <f>'B) D RI'!B154</f>
        <v>Romanel-sur-Morges</v>
      </c>
      <c r="C153" s="334">
        <f>'B) D RI'!S154</f>
        <v>56</v>
      </c>
      <c r="D153" s="162">
        <f>'B) D RI'!AA154</f>
        <v>470</v>
      </c>
      <c r="E153" s="332">
        <f>'D) Ecrêtage'!C152</f>
        <v>26019.982455357142</v>
      </c>
      <c r="F153" s="336">
        <f>'E) Fact soc'!G158</f>
        <v>498026.01519581629</v>
      </c>
      <c r="G153" s="333">
        <f>'H) Péréquation directe'!I163</f>
        <v>462677.87314749364</v>
      </c>
      <c r="H153" s="336">
        <f>+'I) Dépenses thématiques'!O152</f>
        <v>0</v>
      </c>
      <c r="I153" s="333">
        <f>'K) Plafonnement aide'!J152</f>
        <v>0</v>
      </c>
      <c r="J153" s="336">
        <f>'J) Plafonnement effort'!I152</f>
        <v>0</v>
      </c>
      <c r="K153" s="333">
        <f>'L) Plafonnement taux'!Q153</f>
        <v>0</v>
      </c>
      <c r="L153" s="331">
        <f t="shared" si="4"/>
        <v>960703.88834330998</v>
      </c>
      <c r="M153" s="244">
        <f>'M) Police'!O153</f>
        <v>73242.058752683661</v>
      </c>
      <c r="N153" s="244">
        <f t="shared" si="5"/>
        <v>1033945.9470959937</v>
      </c>
      <c r="P153" s="339"/>
    </row>
    <row r="154" spans="1:16" s="163" customFormat="1" x14ac:dyDescent="0.25">
      <c r="A154" s="160">
        <f>'B) D RI'!A155</f>
        <v>5646</v>
      </c>
      <c r="B154" s="161" t="str">
        <f>'B) D RI'!B155</f>
        <v>Saint-Prex</v>
      </c>
      <c r="C154" s="334">
        <f>'B) D RI'!S155</f>
        <v>55</v>
      </c>
      <c r="D154" s="162">
        <f>'B) D RI'!AA155</f>
        <v>5695</v>
      </c>
      <c r="E154" s="332">
        <f>'D) Ecrêtage'!C153</f>
        <v>564783.52799999982</v>
      </c>
      <c r="F154" s="336">
        <f>'E) Fact soc'!G159</f>
        <v>16024939.729282174</v>
      </c>
      <c r="G154" s="333">
        <f>'H) Péréquation directe'!I164</f>
        <v>9087660.4126662612</v>
      </c>
      <c r="H154" s="336">
        <f>+'I) Dépenses thématiques'!O153</f>
        <v>0</v>
      </c>
      <c r="I154" s="333">
        <f>'K) Plafonnement aide'!J153</f>
        <v>0</v>
      </c>
      <c r="J154" s="336">
        <f>'J) Plafonnement effort'!I153</f>
        <v>0</v>
      </c>
      <c r="K154" s="333">
        <f>'L) Plafonnement taux'!Q154</f>
        <v>0</v>
      </c>
      <c r="L154" s="331">
        <f t="shared" si="4"/>
        <v>25112600.141948435</v>
      </c>
      <c r="M154" s="244">
        <f>'M) Police'!O154</f>
        <v>732910.92094727443</v>
      </c>
      <c r="N154" s="244">
        <f t="shared" si="5"/>
        <v>25845511.062895712</v>
      </c>
      <c r="P154" s="339"/>
    </row>
    <row r="155" spans="1:16" s="163" customFormat="1" x14ac:dyDescent="0.25">
      <c r="A155" s="160">
        <f>'B) D RI'!A156</f>
        <v>5648</v>
      </c>
      <c r="B155" s="161" t="str">
        <f>'B) D RI'!B156</f>
        <v>Saint-Sulpice</v>
      </c>
      <c r="C155" s="334">
        <f>'B) D RI'!S156</f>
        <v>55</v>
      </c>
      <c r="D155" s="162">
        <f>'B) D RI'!AA156</f>
        <v>4524</v>
      </c>
      <c r="E155" s="332">
        <f>'D) Ecrêtage'!C154</f>
        <v>360934.92836363643</v>
      </c>
      <c r="F155" s="336">
        <f>'E) Fact soc'!G160</f>
        <v>9559318.9098500349</v>
      </c>
      <c r="G155" s="333">
        <f>'H) Péréquation directe'!I165</f>
        <v>5655282.0772174411</v>
      </c>
      <c r="H155" s="336">
        <f>+'I) Dépenses thématiques'!O154</f>
        <v>0</v>
      </c>
      <c r="I155" s="333">
        <f>'K) Plafonnement aide'!J154</f>
        <v>0</v>
      </c>
      <c r="J155" s="336">
        <f>'J) Plafonnement effort'!I154</f>
        <v>0</v>
      </c>
      <c r="K155" s="333">
        <f>'L) Plafonnement taux'!Q155</f>
        <v>0</v>
      </c>
      <c r="L155" s="331">
        <f t="shared" si="4"/>
        <v>15214600.987067476</v>
      </c>
      <c r="M155" s="244">
        <f>'M) Police'!O155</f>
        <v>468379.72007751506</v>
      </c>
      <c r="N155" s="244">
        <f t="shared" si="5"/>
        <v>15682980.707144991</v>
      </c>
      <c r="P155" s="339"/>
    </row>
    <row r="156" spans="1:16" s="163" customFormat="1" x14ac:dyDescent="0.25">
      <c r="A156" s="160">
        <f>'B) D RI'!A157</f>
        <v>5649</v>
      </c>
      <c r="B156" s="161" t="str">
        <f>'B) D RI'!B157</f>
        <v>Tolochenaz</v>
      </c>
      <c r="C156" s="334">
        <f>'B) D RI'!S157</f>
        <v>65</v>
      </c>
      <c r="D156" s="162">
        <f>'B) D RI'!AA157</f>
        <v>1883</v>
      </c>
      <c r="E156" s="332">
        <f>'D) Ecrêtage'!C155</f>
        <v>176105.76399999997</v>
      </c>
      <c r="F156" s="336">
        <f>'E) Fact soc'!G161</f>
        <v>5171857.3584557846</v>
      </c>
      <c r="G156" s="333">
        <f>'H) Péréquation directe'!I166</f>
        <v>3095464.1300231321</v>
      </c>
      <c r="H156" s="336">
        <f>+'I) Dépenses thématiques'!O155</f>
        <v>0</v>
      </c>
      <c r="I156" s="333">
        <f>'K) Plafonnement aide'!J155</f>
        <v>0</v>
      </c>
      <c r="J156" s="336">
        <f>'J) Plafonnement effort'!I155</f>
        <v>-342562.1084789185</v>
      </c>
      <c r="K156" s="333">
        <f>'L) Plafonnement taux'!Q156</f>
        <v>0</v>
      </c>
      <c r="L156" s="331">
        <f t="shared" si="4"/>
        <v>7924759.379999998</v>
      </c>
      <c r="M156" s="244">
        <f>'M) Police'!O156</f>
        <v>228529.74861788709</v>
      </c>
      <c r="N156" s="244">
        <f t="shared" si="5"/>
        <v>8153289.1286178855</v>
      </c>
      <c r="P156" s="339"/>
    </row>
    <row r="157" spans="1:16" s="163" customFormat="1" x14ac:dyDescent="0.25">
      <c r="A157" s="160">
        <f>'B) D RI'!A158</f>
        <v>5650</v>
      </c>
      <c r="B157" s="161" t="str">
        <f>'B) D RI'!B158</f>
        <v>Vaux-sur-Morges</v>
      </c>
      <c r="C157" s="334">
        <f>'B) D RI'!S158</f>
        <v>56</v>
      </c>
      <c r="D157" s="162">
        <f>'B) D RI'!AA158</f>
        <v>199</v>
      </c>
      <c r="E157" s="332">
        <f>'D) Ecrêtage'!C156</f>
        <v>169595.47750000004</v>
      </c>
      <c r="F157" s="336">
        <f>'E) Fact soc'!G162</f>
        <v>7896230.0214027809</v>
      </c>
      <c r="G157" s="333">
        <f>'H) Péréquation directe'!I167</f>
        <v>3369413.8546069153</v>
      </c>
      <c r="H157" s="336">
        <f>+'I) Dépenses thématiques'!O156</f>
        <v>0</v>
      </c>
      <c r="I157" s="333">
        <f>'K) Plafonnement aide'!J156</f>
        <v>0</v>
      </c>
      <c r="J157" s="336">
        <f>'J) Plafonnement effort'!I156</f>
        <v>-3633847.3885096945</v>
      </c>
      <c r="K157" s="333">
        <f>'L) Plafonnement taux'!Q157</f>
        <v>0</v>
      </c>
      <c r="L157" s="331">
        <f t="shared" si="4"/>
        <v>7631796.4875000007</v>
      </c>
      <c r="M157" s="244">
        <f>'M) Police'!O157</f>
        <v>236795.89437607967</v>
      </c>
      <c r="N157" s="244">
        <f t="shared" si="5"/>
        <v>7868592.3818760803</v>
      </c>
      <c r="P157" s="339"/>
    </row>
    <row r="158" spans="1:16" s="163" customFormat="1" x14ac:dyDescent="0.25">
      <c r="A158" s="160">
        <f>'B) D RI'!A159</f>
        <v>5651</v>
      </c>
      <c r="B158" s="161" t="str">
        <f>'B) D RI'!B159</f>
        <v>Villars-Sainte-Croix</v>
      </c>
      <c r="C158" s="334">
        <f>'B) D RI'!S159</f>
        <v>59</v>
      </c>
      <c r="D158" s="162">
        <f>'B) D RI'!AA159</f>
        <v>935</v>
      </c>
      <c r="E158" s="332">
        <f>'D) Ecrêtage'!C157</f>
        <v>47710.277796610164</v>
      </c>
      <c r="F158" s="336">
        <f>'E) Fact soc'!G163</f>
        <v>1004062.9663129074</v>
      </c>
      <c r="G158" s="333">
        <f>'H) Péréquation directe'!I168</f>
        <v>839326.38284710073</v>
      </c>
      <c r="H158" s="336">
        <f>+'I) Dépenses thématiques'!O157</f>
        <v>0</v>
      </c>
      <c r="I158" s="333">
        <f>'K) Plafonnement aide'!J157</f>
        <v>0</v>
      </c>
      <c r="J158" s="336">
        <f>'J) Plafonnement effort'!I157</f>
        <v>0</v>
      </c>
      <c r="K158" s="333">
        <f>'L) Plafonnement taux'!Q158</f>
        <v>0</v>
      </c>
      <c r="L158" s="331">
        <f t="shared" si="4"/>
        <v>1843389.3491600081</v>
      </c>
      <c r="M158" s="244">
        <f>'M) Police'!O158</f>
        <v>61912.895658252746</v>
      </c>
      <c r="N158" s="244">
        <f t="shared" si="5"/>
        <v>1905302.2448182609</v>
      </c>
      <c r="P158" s="339"/>
    </row>
    <row r="159" spans="1:16" s="163" customFormat="1" x14ac:dyDescent="0.25">
      <c r="A159" s="160">
        <f>'B) D RI'!A160</f>
        <v>5652</v>
      </c>
      <c r="B159" s="161" t="str">
        <f>'B) D RI'!B160</f>
        <v>Villars-sous-Yens</v>
      </c>
      <c r="C159" s="334">
        <f>'B) D RI'!S160</f>
        <v>76</v>
      </c>
      <c r="D159" s="162">
        <f>'B) D RI'!AA160</f>
        <v>614</v>
      </c>
      <c r="E159" s="332">
        <f>'D) Ecrêtage'!C158</f>
        <v>25794.085109649121</v>
      </c>
      <c r="F159" s="336">
        <f>'E) Fact soc'!G164</f>
        <v>435794.48862149531</v>
      </c>
      <c r="G159" s="333">
        <f>'H) Péréquation directe'!I169</f>
        <v>395047.14470502001</v>
      </c>
      <c r="H159" s="336">
        <f>+'I) Dépenses thématiques'!O158</f>
        <v>-3120.2393421052766</v>
      </c>
      <c r="I159" s="333">
        <f>'K) Plafonnement aide'!J158</f>
        <v>0</v>
      </c>
      <c r="J159" s="336">
        <f>'J) Plafonnement effort'!I158</f>
        <v>0</v>
      </c>
      <c r="K159" s="333">
        <f>'L) Plafonnement taux'!Q159</f>
        <v>0</v>
      </c>
      <c r="L159" s="331">
        <f t="shared" si="4"/>
        <v>827721.3939844101</v>
      </c>
      <c r="M159" s="244">
        <f>'M) Police'!O159</f>
        <v>82251.986217245547</v>
      </c>
      <c r="N159" s="244">
        <f t="shared" si="5"/>
        <v>909973.38020165567</v>
      </c>
      <c r="P159" s="339"/>
    </row>
    <row r="160" spans="1:16" s="163" customFormat="1" x14ac:dyDescent="0.25">
      <c r="A160" s="160">
        <f>'B) D RI'!A161</f>
        <v>5653</v>
      </c>
      <c r="B160" s="161" t="str">
        <f>'B) D RI'!B161</f>
        <v>Vufflens-le-Château</v>
      </c>
      <c r="C160" s="334">
        <f>'B) D RI'!S161</f>
        <v>55</v>
      </c>
      <c r="D160" s="162">
        <f>'B) D RI'!AA161</f>
        <v>884</v>
      </c>
      <c r="E160" s="332">
        <f>'D) Ecrêtage'!C159</f>
        <v>58104.710727272715</v>
      </c>
      <c r="F160" s="336">
        <f>'E) Fact soc'!G165</f>
        <v>1210005.6898723582</v>
      </c>
      <c r="G160" s="333">
        <f>'H) Péréquation directe'!I170</f>
        <v>1053640.5008653677</v>
      </c>
      <c r="H160" s="336">
        <f>+'I) Dépenses thématiques'!O159</f>
        <v>0</v>
      </c>
      <c r="I160" s="333">
        <f>'K) Plafonnement aide'!J159</f>
        <v>0</v>
      </c>
      <c r="J160" s="336">
        <f>'J) Plafonnement effort'!I159</f>
        <v>0</v>
      </c>
      <c r="K160" s="333">
        <f>'L) Plafonnement taux'!Q160</f>
        <v>0</v>
      </c>
      <c r="L160" s="331">
        <f t="shared" si="4"/>
        <v>2263646.1907377262</v>
      </c>
      <c r="M160" s="244">
        <f>'M) Police'!O160</f>
        <v>149650.68279920192</v>
      </c>
      <c r="N160" s="244">
        <f t="shared" si="5"/>
        <v>2413296.8735369281</v>
      </c>
      <c r="P160" s="339"/>
    </row>
    <row r="161" spans="1:16" s="163" customFormat="1" x14ac:dyDescent="0.25">
      <c r="A161" s="160">
        <f>'B) D RI'!A162</f>
        <v>5654</v>
      </c>
      <c r="B161" s="161" t="str">
        <f>'B) D RI'!B162</f>
        <v>Vullierens</v>
      </c>
      <c r="C161" s="334">
        <f>'B) D RI'!S162</f>
        <v>76</v>
      </c>
      <c r="D161" s="162">
        <f>'B) D RI'!AA162</f>
        <v>499</v>
      </c>
      <c r="E161" s="332">
        <f>'D) Ecrêtage'!C160</f>
        <v>18548.379210526316</v>
      </c>
      <c r="F161" s="336">
        <f>'E) Fact soc'!G166</f>
        <v>311213.4862789886</v>
      </c>
      <c r="G161" s="333">
        <f>'H) Péréquation directe'!I171</f>
        <v>217222.40129360138</v>
      </c>
      <c r="H161" s="336">
        <f>+'I) Dépenses thématiques'!O160</f>
        <v>-5990.9747368421013</v>
      </c>
      <c r="I161" s="333">
        <f>'K) Plafonnement aide'!J160</f>
        <v>0</v>
      </c>
      <c r="J161" s="336">
        <f>'J) Plafonnement effort'!I160</f>
        <v>0</v>
      </c>
      <c r="K161" s="333">
        <f>'L) Plafonnement taux'!Q161</f>
        <v>0</v>
      </c>
      <c r="L161" s="331">
        <f t="shared" si="4"/>
        <v>522444.91283574793</v>
      </c>
      <c r="M161" s="244">
        <f>'M) Police'!O161</f>
        <v>58782.829289109017</v>
      </c>
      <c r="N161" s="244">
        <f t="shared" si="5"/>
        <v>581227.74212485692</v>
      </c>
      <c r="P161" s="339"/>
    </row>
    <row r="162" spans="1:16" s="163" customFormat="1" x14ac:dyDescent="0.25">
      <c r="A162" s="160">
        <f>'B) D RI'!A163</f>
        <v>5655</v>
      </c>
      <c r="B162" s="161" t="str">
        <f>'B) D RI'!B163</f>
        <v>Yens</v>
      </c>
      <c r="C162" s="334">
        <f>'B) D RI'!S163</f>
        <v>73</v>
      </c>
      <c r="D162" s="162">
        <f>'B) D RI'!AA163</f>
        <v>1395</v>
      </c>
      <c r="E162" s="332">
        <f>'D) Ecrêtage'!C161</f>
        <v>71567.801506849311</v>
      </c>
      <c r="F162" s="336">
        <f>'E) Fact soc'!G167</f>
        <v>1659557.6832873514</v>
      </c>
      <c r="G162" s="333">
        <f>'H) Péréquation directe'!I172</f>
        <v>1172161.4194620932</v>
      </c>
      <c r="H162" s="336">
        <f>+'I) Dépenses thématiques'!O161</f>
        <v>-2760.4409589041315</v>
      </c>
      <c r="I162" s="333">
        <f>'K) Plafonnement aide'!J161</f>
        <v>0</v>
      </c>
      <c r="J162" s="336">
        <f>'J) Plafonnement effort'!I161</f>
        <v>0</v>
      </c>
      <c r="K162" s="333">
        <f>'L) Plafonnement taux'!Q162</f>
        <v>0</v>
      </c>
      <c r="L162" s="331">
        <f t="shared" si="4"/>
        <v>2828958.6617905404</v>
      </c>
      <c r="M162" s="244">
        <f>'M) Police'!O162</f>
        <v>210041.5353956703</v>
      </c>
      <c r="N162" s="244">
        <f t="shared" si="5"/>
        <v>3039000.1971862107</v>
      </c>
      <c r="P162" s="339"/>
    </row>
    <row r="163" spans="1:16" s="163" customFormat="1" x14ac:dyDescent="0.25">
      <c r="A163" s="160">
        <f>'B) D RI'!A164</f>
        <v>5661</v>
      </c>
      <c r="B163" s="161" t="str">
        <f>'B) D RI'!B164</f>
        <v>Boulens</v>
      </c>
      <c r="C163" s="334">
        <f>'B) D RI'!S164</f>
        <v>79</v>
      </c>
      <c r="D163" s="162">
        <f>'B) D RI'!AA164</f>
        <v>377</v>
      </c>
      <c r="E163" s="332">
        <f>'D) Ecrêtage'!C162</f>
        <v>9056.8577215189871</v>
      </c>
      <c r="F163" s="336">
        <f>'E) Fact soc'!G168</f>
        <v>154769.29371582973</v>
      </c>
      <c r="G163" s="333">
        <f>'H) Péréquation directe'!I173</f>
        <v>-63828.504616444261</v>
      </c>
      <c r="H163" s="336">
        <f>+'I) Dépenses thématiques'!O162</f>
        <v>-16371.85670886076</v>
      </c>
      <c r="I163" s="333">
        <f>'K) Plafonnement aide'!J162</f>
        <v>0</v>
      </c>
      <c r="J163" s="336">
        <f>'J) Plafonnement effort'!I162</f>
        <v>0</v>
      </c>
      <c r="K163" s="333">
        <f>'L) Plafonnement taux'!Q163</f>
        <v>0</v>
      </c>
      <c r="L163" s="331">
        <f t="shared" si="4"/>
        <v>74568.932390524715</v>
      </c>
      <c r="M163" s="244">
        <f>'M) Police'!O163</f>
        <v>28693.443061608501</v>
      </c>
      <c r="N163" s="244">
        <f t="shared" si="5"/>
        <v>103262.37545213322</v>
      </c>
      <c r="P163" s="339"/>
    </row>
    <row r="164" spans="1:16" s="163" customFormat="1" x14ac:dyDescent="0.25">
      <c r="A164" s="160">
        <f>'B) D RI'!A165</f>
        <v>5663</v>
      </c>
      <c r="B164" s="161" t="str">
        <f>'B) D RI'!B165</f>
        <v>Bussy-sur-Moudon</v>
      </c>
      <c r="C164" s="334">
        <f>'B) D RI'!S165</f>
        <v>80</v>
      </c>
      <c r="D164" s="162">
        <f>'B) D RI'!AA165</f>
        <v>209</v>
      </c>
      <c r="E164" s="332">
        <f>'D) Ecrêtage'!C163</f>
        <v>5655.1166249999997</v>
      </c>
      <c r="F164" s="336">
        <f>'E) Fact soc'!G169</f>
        <v>103462.77290090687</v>
      </c>
      <c r="G164" s="333">
        <f>'H) Péréquation directe'!I174</f>
        <v>-9340.8209806180093</v>
      </c>
      <c r="H164" s="336">
        <f>+'I) Dépenses thématiques'!O163</f>
        <v>-72341.212781250011</v>
      </c>
      <c r="I164" s="333">
        <f>'K) Plafonnement aide'!J163</f>
        <v>0</v>
      </c>
      <c r="J164" s="336">
        <f>'J) Plafonnement effort'!I163</f>
        <v>0</v>
      </c>
      <c r="K164" s="333">
        <f>'L) Plafonnement taux'!Q164</f>
        <v>0</v>
      </c>
      <c r="L164" s="331">
        <f t="shared" si="4"/>
        <v>21780.739139038851</v>
      </c>
      <c r="M164" s="244">
        <f>'M) Police'!O164</f>
        <v>17847.580099189097</v>
      </c>
      <c r="N164" s="244">
        <f t="shared" si="5"/>
        <v>39628.319238227952</v>
      </c>
      <c r="P164" s="339"/>
    </row>
    <row r="165" spans="1:16" s="163" customFormat="1" x14ac:dyDescent="0.25">
      <c r="A165" s="160">
        <f>'B) D RI'!A166</f>
        <v>5665</v>
      </c>
      <c r="B165" s="161" t="str">
        <f>'B) D RI'!B166</f>
        <v>Chavannes-sur-Moudon</v>
      </c>
      <c r="C165" s="334">
        <f>'B) D RI'!S166</f>
        <v>73</v>
      </c>
      <c r="D165" s="162">
        <f>'B) D RI'!AA166</f>
        <v>220</v>
      </c>
      <c r="E165" s="332">
        <f>'D) Ecrêtage'!C164</f>
        <v>5028.5345205479452</v>
      </c>
      <c r="F165" s="336">
        <f>'E) Fact soc'!G170</f>
        <v>80876.683026723462</v>
      </c>
      <c r="G165" s="333">
        <f>'H) Péréquation directe'!I175</f>
        <v>-30898.010626386764</v>
      </c>
      <c r="H165" s="336">
        <f>+'I) Dépenses thématiques'!O164</f>
        <v>-5546.7928767123285</v>
      </c>
      <c r="I165" s="333">
        <f>'K) Plafonnement aide'!J164</f>
        <v>0</v>
      </c>
      <c r="J165" s="336">
        <f>'J) Plafonnement effort'!I164</f>
        <v>0</v>
      </c>
      <c r="K165" s="333">
        <f>'L) Plafonnement taux'!Q165</f>
        <v>0</v>
      </c>
      <c r="L165" s="331">
        <f t="shared" si="4"/>
        <v>44431.879523624368</v>
      </c>
      <c r="M165" s="244">
        <f>'M) Police'!O165</f>
        <v>15927.855401193137</v>
      </c>
      <c r="N165" s="244">
        <f t="shared" si="5"/>
        <v>60359.734924817501</v>
      </c>
      <c r="P165" s="339"/>
    </row>
    <row r="166" spans="1:16" s="163" customFormat="1" x14ac:dyDescent="0.25">
      <c r="A166" s="160">
        <f>'B) D RI'!A167</f>
        <v>5669</v>
      </c>
      <c r="B166" s="161" t="str">
        <f>'B) D RI'!B167</f>
        <v>Curtilles</v>
      </c>
      <c r="C166" s="334">
        <f>'B) D RI'!S167</f>
        <v>75</v>
      </c>
      <c r="D166" s="162">
        <f>'B) D RI'!AA167</f>
        <v>318</v>
      </c>
      <c r="E166" s="332">
        <f>'D) Ecrêtage'!C165</f>
        <v>9029.3026666666665</v>
      </c>
      <c r="F166" s="336">
        <f>'E) Fact soc'!G171</f>
        <v>175283.90052678157</v>
      </c>
      <c r="G166" s="333">
        <f>'H) Péréquation directe'!I176</f>
        <v>21620.180011495191</v>
      </c>
      <c r="H166" s="336">
        <f>+'I) Dépenses thématiques'!O165</f>
        <v>-6760.1840000000011</v>
      </c>
      <c r="I166" s="333">
        <f>'K) Plafonnement aide'!J165</f>
        <v>0</v>
      </c>
      <c r="J166" s="336">
        <f>'J) Plafonnement effort'!I165</f>
        <v>0</v>
      </c>
      <c r="K166" s="333">
        <f>'L) Plafonnement taux'!Q166</f>
        <v>0</v>
      </c>
      <c r="L166" s="331">
        <f t="shared" si="4"/>
        <v>190143.89653827675</v>
      </c>
      <c r="M166" s="244">
        <f>'M) Police'!O166</f>
        <v>28570.366234747351</v>
      </c>
      <c r="N166" s="244">
        <f t="shared" si="5"/>
        <v>218714.26277302409</v>
      </c>
      <c r="P166" s="339"/>
    </row>
    <row r="167" spans="1:16" s="163" customFormat="1" x14ac:dyDescent="0.25">
      <c r="A167" s="160">
        <f>'B) D RI'!A168</f>
        <v>5671</v>
      </c>
      <c r="B167" s="161" t="str">
        <f>'B) D RI'!B168</f>
        <v>Dompierre</v>
      </c>
      <c r="C167" s="334">
        <f>'B) D RI'!S168</f>
        <v>80</v>
      </c>
      <c r="D167" s="162">
        <f>'B) D RI'!AA168</f>
        <v>259</v>
      </c>
      <c r="E167" s="332">
        <f>'D) Ecrêtage'!C166</f>
        <v>6333.6785</v>
      </c>
      <c r="F167" s="336">
        <f>'E) Fact soc'!G172</f>
        <v>99948.679395112209</v>
      </c>
      <c r="G167" s="333">
        <f>'H) Péréquation directe'!I177</f>
        <v>-42248.942049073637</v>
      </c>
      <c r="H167" s="336">
        <f>+'I) Dépenses thématiques'!O166</f>
        <v>-59070.670125000004</v>
      </c>
      <c r="I167" s="333">
        <f>'K) Plafonnement aide'!J166</f>
        <v>0</v>
      </c>
      <c r="J167" s="336">
        <f>'J) Plafonnement effort'!I166</f>
        <v>0</v>
      </c>
      <c r="K167" s="333">
        <f>'L) Plafonnement taux'!Q167</f>
        <v>0</v>
      </c>
      <c r="L167" s="331">
        <f t="shared" si="4"/>
        <v>-1370.9327789614326</v>
      </c>
      <c r="M167" s="244">
        <f>'M) Police'!O167</f>
        <v>20022.781935767271</v>
      </c>
      <c r="N167" s="244">
        <f t="shared" si="5"/>
        <v>18651.849156805838</v>
      </c>
      <c r="P167" s="339"/>
    </row>
    <row r="168" spans="1:16" s="163" customFormat="1" x14ac:dyDescent="0.25">
      <c r="A168" s="160">
        <f>'B) D RI'!A169</f>
        <v>5673</v>
      </c>
      <c r="B168" s="161" t="str">
        <f>'B) D RI'!B169</f>
        <v>Hermenches</v>
      </c>
      <c r="C168" s="334">
        <f>'B) D RI'!S169</f>
        <v>75</v>
      </c>
      <c r="D168" s="162">
        <f>'B) D RI'!AA169</f>
        <v>379</v>
      </c>
      <c r="E168" s="332">
        <f>'D) Ecrêtage'!C167</f>
        <v>8912.655777777778</v>
      </c>
      <c r="F168" s="336">
        <f>'E) Fact soc'!G173</f>
        <v>145953.75454982824</v>
      </c>
      <c r="G168" s="333">
        <f>'H) Péréquation directe'!I178</f>
        <v>-52620.512637284177</v>
      </c>
      <c r="H168" s="336">
        <f>+'I) Dépenses thématiques'!O167</f>
        <v>-55782.073499999999</v>
      </c>
      <c r="I168" s="333">
        <f>'K) Plafonnement aide'!J167</f>
        <v>0</v>
      </c>
      <c r="J168" s="336">
        <f>'J) Plafonnement effort'!I167</f>
        <v>0</v>
      </c>
      <c r="K168" s="333">
        <f>'L) Plafonnement taux'!Q168</f>
        <v>0</v>
      </c>
      <c r="L168" s="331">
        <f t="shared" ref="L168:L220" si="6">F168+G168+H168+I168+J168+K168</f>
        <v>37551.168412544066</v>
      </c>
      <c r="M168" s="244">
        <f>'M) Police'!O168</f>
        <v>28164.539356308436</v>
      </c>
      <c r="N168" s="244">
        <f t="shared" si="5"/>
        <v>65715.707768852502</v>
      </c>
      <c r="P168" s="339"/>
    </row>
    <row r="169" spans="1:16" s="163" customFormat="1" x14ac:dyDescent="0.25">
      <c r="A169" s="160">
        <f>'B) D RI'!A170</f>
        <v>5674</v>
      </c>
      <c r="B169" s="161" t="str">
        <f>'B) D RI'!B170</f>
        <v>Lovatens</v>
      </c>
      <c r="C169" s="334">
        <f>'B) D RI'!S170</f>
        <v>75</v>
      </c>
      <c r="D169" s="162">
        <f>'B) D RI'!AA170</f>
        <v>141</v>
      </c>
      <c r="E169" s="332">
        <f>'D) Ecrêtage'!C168</f>
        <v>3614.9058666666665</v>
      </c>
      <c r="F169" s="336">
        <f>'E) Fact soc'!G174</f>
        <v>59522.239152229005</v>
      </c>
      <c r="G169" s="333">
        <f>'H) Péréquation directe'!I179</f>
        <v>-6893.374760929757</v>
      </c>
      <c r="H169" s="336">
        <f>+'I) Dépenses thématiques'!O168</f>
        <v>-17799.5648</v>
      </c>
      <c r="I169" s="333">
        <f>'K) Plafonnement aide'!J168</f>
        <v>0</v>
      </c>
      <c r="J169" s="336">
        <f>'J) Plafonnement effort'!I168</f>
        <v>0</v>
      </c>
      <c r="K169" s="333">
        <f>'L) Plafonnement taux'!Q169</f>
        <v>0</v>
      </c>
      <c r="L169" s="331">
        <f t="shared" si="6"/>
        <v>34829.299591299248</v>
      </c>
      <c r="M169" s="244">
        <f>'M) Police'!O169</f>
        <v>11397.726293339929</v>
      </c>
      <c r="N169" s="244">
        <f t="shared" si="5"/>
        <v>46227.025884639181</v>
      </c>
      <c r="P169" s="339"/>
    </row>
    <row r="170" spans="1:16" s="163" customFormat="1" x14ac:dyDescent="0.25">
      <c r="A170" s="160">
        <f>'B) D RI'!A171</f>
        <v>5675</v>
      </c>
      <c r="B170" s="161" t="str">
        <f>'B) D RI'!B171</f>
        <v>Lucens</v>
      </c>
      <c r="C170" s="334">
        <f>'B) D RI'!S171</f>
        <v>66</v>
      </c>
      <c r="D170" s="162">
        <f>'B) D RI'!AA171</f>
        <v>4157</v>
      </c>
      <c r="E170" s="332">
        <f>'D) Ecrêtage'!C169</f>
        <v>84285.039641873256</v>
      </c>
      <c r="F170" s="336">
        <f>'E) Fact soc'!G175</f>
        <v>1652408.8094725099</v>
      </c>
      <c r="G170" s="333">
        <f>'H) Péréquation directe'!I180</f>
        <v>-1497809.79006214</v>
      </c>
      <c r="H170" s="336">
        <f>+'I) Dépenses thématiques'!O169</f>
        <v>-463316.01214876049</v>
      </c>
      <c r="I170" s="333">
        <f>'K) Plafonnement aide'!J169</f>
        <v>0</v>
      </c>
      <c r="J170" s="336">
        <f>'J) Plafonnement effort'!I169</f>
        <v>0</v>
      </c>
      <c r="K170" s="333">
        <f>'L) Plafonnement taux'!Q170</f>
        <v>0</v>
      </c>
      <c r="L170" s="331">
        <f t="shared" ref="L170" si="7">F170+G170+H170+I170+J170+K170</f>
        <v>-308716.99273839057</v>
      </c>
      <c r="M170" s="244">
        <f>'M) Police'!O170</f>
        <v>259341.54489474406</v>
      </c>
      <c r="N170" s="244">
        <f t="shared" ref="N170" si="8">L170+M170</f>
        <v>-49375.447843646514</v>
      </c>
      <c r="P170" s="339"/>
    </row>
    <row r="171" spans="1:16" s="163" customFormat="1" x14ac:dyDescent="0.25">
      <c r="A171" s="160">
        <f>'B) D RI'!A172</f>
        <v>5678</v>
      </c>
      <c r="B171" s="161" t="str">
        <f>'B) D RI'!B172</f>
        <v>Moudon</v>
      </c>
      <c r="C171" s="334">
        <f>'B) D RI'!S172</f>
        <v>75</v>
      </c>
      <c r="D171" s="162">
        <f>'B) D RI'!AA172</f>
        <v>6185</v>
      </c>
      <c r="E171" s="332">
        <f>'D) Ecrêtage'!C170</f>
        <v>115802.40466666668</v>
      </c>
      <c r="F171" s="336">
        <f>'E) Fact soc'!G176</f>
        <v>2538035.8215474035</v>
      </c>
      <c r="G171" s="333">
        <f>'H) Péréquation directe'!I181</f>
        <v>-3857353.1404155348</v>
      </c>
      <c r="H171" s="336">
        <f>+'I) Dépenses thématiques'!O170</f>
        <v>-1228495.7684999998</v>
      </c>
      <c r="I171" s="333">
        <f>'K) Plafonnement aide'!J170</f>
        <v>392898.08153479791</v>
      </c>
      <c r="J171" s="336">
        <f>'J) Plafonnement effort'!I170</f>
        <v>0</v>
      </c>
      <c r="K171" s="333">
        <f>'L) Plafonnement taux'!Q171</f>
        <v>0</v>
      </c>
      <c r="L171" s="331">
        <f t="shared" si="6"/>
        <v>-2154915.0058333334</v>
      </c>
      <c r="M171" s="244">
        <f>'M) Police'!O171</f>
        <v>360209.17835079995</v>
      </c>
      <c r="N171" s="244">
        <f t="shared" si="5"/>
        <v>-1794705.8274825334</v>
      </c>
      <c r="P171" s="339"/>
    </row>
    <row r="172" spans="1:16" s="163" customFormat="1" x14ac:dyDescent="0.25">
      <c r="A172" s="160">
        <f>'B) D RI'!A173</f>
        <v>5680</v>
      </c>
      <c r="B172" s="161" t="str">
        <f>'B) D RI'!B173</f>
        <v>Ogens</v>
      </c>
      <c r="C172" s="334">
        <f>'B) D RI'!S173</f>
        <v>78</v>
      </c>
      <c r="D172" s="162">
        <f>'B) D RI'!AA173</f>
        <v>304</v>
      </c>
      <c r="E172" s="332">
        <f>'D) Ecrêtage'!C171</f>
        <v>7404.4946581196582</v>
      </c>
      <c r="F172" s="336">
        <f>'E) Fact soc'!G177</f>
        <v>134852.43056421509</v>
      </c>
      <c r="G172" s="333">
        <f>'H) Péréquation directe'!I182</f>
        <v>-42959.415467965649</v>
      </c>
      <c r="H172" s="336">
        <f>+'I) Dépenses thématiques'!O171</f>
        <v>-17299.161057692305</v>
      </c>
      <c r="I172" s="333">
        <f>'K) Plafonnement aide'!J171</f>
        <v>0</v>
      </c>
      <c r="J172" s="336">
        <f>'J) Plafonnement effort'!I171</f>
        <v>0</v>
      </c>
      <c r="K172" s="333">
        <f>'L) Plafonnement taux'!Q172</f>
        <v>0</v>
      </c>
      <c r="L172" s="331">
        <f t="shared" si="6"/>
        <v>74593.854038557125</v>
      </c>
      <c r="M172" s="244">
        <f>'M) Police'!O172</f>
        <v>23321.033754060016</v>
      </c>
      <c r="N172" s="244">
        <f t="shared" si="5"/>
        <v>97914.887792617141</v>
      </c>
      <c r="P172" s="339"/>
    </row>
    <row r="173" spans="1:16" s="163" customFormat="1" x14ac:dyDescent="0.25">
      <c r="A173" s="160">
        <f>'B) D RI'!A174</f>
        <v>5683</v>
      </c>
      <c r="B173" s="161" t="str">
        <f>'B) D RI'!B174</f>
        <v>Prévonloup</v>
      </c>
      <c r="C173" s="334">
        <f>'B) D RI'!S174</f>
        <v>74</v>
      </c>
      <c r="D173" s="162">
        <f>'B) D RI'!AA174</f>
        <v>160</v>
      </c>
      <c r="E173" s="332">
        <f>'D) Ecrêtage'!C172</f>
        <v>3876.1695945945944</v>
      </c>
      <c r="F173" s="336">
        <f>'E) Fact soc'!G178</f>
        <v>73604.10475332239</v>
      </c>
      <c r="G173" s="333">
        <f>'H) Péréquation directe'!I183</f>
        <v>-15406.566077234995</v>
      </c>
      <c r="H173" s="336">
        <f>+'I) Dépenses thématiques'!O172</f>
        <v>-100330.98243243244</v>
      </c>
      <c r="I173" s="333">
        <f>'K) Plafonnement aide'!J172</f>
        <v>0</v>
      </c>
      <c r="J173" s="336">
        <f>'J) Plafonnement effort'!I172</f>
        <v>0</v>
      </c>
      <c r="K173" s="333">
        <f>'L) Plafonnement taux'!Q173</f>
        <v>0</v>
      </c>
      <c r="L173" s="331">
        <f t="shared" si="6"/>
        <v>-42133.443756345048</v>
      </c>
      <c r="M173" s="244">
        <f>'M) Police'!O173</f>
        <v>12170.195825490413</v>
      </c>
      <c r="N173" s="244">
        <f t="shared" si="5"/>
        <v>-29963.247930854635</v>
      </c>
      <c r="P173" s="339"/>
    </row>
    <row r="174" spans="1:16" s="163" customFormat="1" x14ac:dyDescent="0.25">
      <c r="A174" s="160">
        <f>'B) D RI'!A175</f>
        <v>5684</v>
      </c>
      <c r="B174" s="161" t="str">
        <f>'B) D RI'!B175</f>
        <v>Rossenges</v>
      </c>
      <c r="C174" s="334">
        <f>'B) D RI'!S175</f>
        <v>60</v>
      </c>
      <c r="D174" s="162">
        <f>'B) D RI'!AA175</f>
        <v>63</v>
      </c>
      <c r="E174" s="332">
        <f>'D) Ecrêtage'!C173</f>
        <v>2934.7781666666665</v>
      </c>
      <c r="F174" s="336">
        <f>'E) Fact soc'!G179</f>
        <v>47329.904197883814</v>
      </c>
      <c r="G174" s="333">
        <f>'H) Péréquation directe'!I184</f>
        <v>50951.610021888278</v>
      </c>
      <c r="H174" s="336">
        <f>+'I) Dépenses thématiques'!O173</f>
        <v>0</v>
      </c>
      <c r="I174" s="333">
        <f>'K) Plafonnement aide'!J173</f>
        <v>0</v>
      </c>
      <c r="J174" s="336">
        <f>'J) Plafonnement effort'!I173</f>
        <v>0</v>
      </c>
      <c r="K174" s="333">
        <f>'L) Plafonnement taux'!Q174</f>
        <v>0</v>
      </c>
      <c r="L174" s="331">
        <f t="shared" si="6"/>
        <v>98281.5142197721</v>
      </c>
      <c r="M174" s="244">
        <f>'M) Police'!O174</f>
        <v>9099.9242240066833</v>
      </c>
      <c r="N174" s="244">
        <f t="shared" si="5"/>
        <v>107381.43844377878</v>
      </c>
      <c r="P174" s="339"/>
    </row>
    <row r="175" spans="1:16" s="163" customFormat="1" x14ac:dyDescent="0.25">
      <c r="A175" s="160">
        <f>'B) D RI'!A176</f>
        <v>5688</v>
      </c>
      <c r="B175" s="161" t="str">
        <f>'B) D RI'!B176</f>
        <v>Syens</v>
      </c>
      <c r="C175" s="334">
        <f>'B) D RI'!S176</f>
        <v>75.599999999999994</v>
      </c>
      <c r="D175" s="162">
        <f>'B) D RI'!AA176</f>
        <v>150</v>
      </c>
      <c r="E175" s="332">
        <f>'D) Ecrêtage'!C174</f>
        <v>6079.6888888888907</v>
      </c>
      <c r="F175" s="336">
        <f>'E) Fact soc'!G180</f>
        <v>111355.59648678682</v>
      </c>
      <c r="G175" s="333">
        <f>'H) Péréquation directe'!I185</f>
        <v>87141.691863865795</v>
      </c>
      <c r="H175" s="336">
        <f>+'I) Dépenses thématiques'!O174</f>
        <v>-17660.616666666654</v>
      </c>
      <c r="I175" s="333">
        <f>'K) Plafonnement aide'!J174</f>
        <v>0</v>
      </c>
      <c r="J175" s="336">
        <f>'J) Plafonnement effort'!I174</f>
        <v>0</v>
      </c>
      <c r="K175" s="333">
        <f>'L) Plafonnement taux'!Q175</f>
        <v>0</v>
      </c>
      <c r="L175" s="331">
        <f t="shared" si="6"/>
        <v>180836.67168398597</v>
      </c>
      <c r="M175" s="244">
        <f>'M) Police'!O175</f>
        <v>19447.576685388376</v>
      </c>
      <c r="N175" s="244">
        <f t="shared" si="5"/>
        <v>200284.24836937434</v>
      </c>
      <c r="P175" s="339"/>
    </row>
    <row r="176" spans="1:16" s="163" customFormat="1" x14ac:dyDescent="0.25">
      <c r="A176" s="160">
        <f>'B) D RI'!A177</f>
        <v>5690</v>
      </c>
      <c r="B176" s="161" t="str">
        <f>'B) D RI'!B177</f>
        <v>Villars-le-Comte</v>
      </c>
      <c r="C176" s="334">
        <f>'B) D RI'!S177</f>
        <v>70</v>
      </c>
      <c r="D176" s="162">
        <f>'B) D RI'!AA177</f>
        <v>142</v>
      </c>
      <c r="E176" s="332">
        <f>'D) Ecrêtage'!C175</f>
        <v>3585.4957380952383</v>
      </c>
      <c r="F176" s="336">
        <f>'E) Fact soc'!G181</f>
        <v>68401.185007563065</v>
      </c>
      <c r="G176" s="333">
        <f>'H) Péréquation directe'!I186</f>
        <v>-1092.6594246309542</v>
      </c>
      <c r="H176" s="336">
        <f>+'I) Dépenses thématiques'!O175</f>
        <v>-3324.4037678571417</v>
      </c>
      <c r="I176" s="333">
        <f>'K) Plafonnement aide'!J175</f>
        <v>0</v>
      </c>
      <c r="J176" s="336">
        <f>'J) Plafonnement effort'!I175</f>
        <v>0</v>
      </c>
      <c r="K176" s="333">
        <f>'L) Plafonnement taux'!Q176</f>
        <v>0</v>
      </c>
      <c r="L176" s="331">
        <f t="shared" si="6"/>
        <v>63984.12181507497</v>
      </c>
      <c r="M176" s="244">
        <f>'M) Police'!O176</f>
        <v>11229.794534906909</v>
      </c>
      <c r="N176" s="244">
        <f t="shared" si="5"/>
        <v>75213.916349981882</v>
      </c>
      <c r="P176" s="339"/>
    </row>
    <row r="177" spans="1:16" s="163" customFormat="1" x14ac:dyDescent="0.25">
      <c r="A177" s="160">
        <f>'B) D RI'!A178</f>
        <v>5692</v>
      </c>
      <c r="B177" s="161" t="str">
        <f>'B) D RI'!B178</f>
        <v>Vucherens</v>
      </c>
      <c r="C177" s="334">
        <f>'B) D RI'!S178</f>
        <v>79</v>
      </c>
      <c r="D177" s="162">
        <f>'B) D RI'!AA178</f>
        <v>583</v>
      </c>
      <c r="E177" s="332">
        <f>'D) Ecrêtage'!C176</f>
        <v>17261.954936708858</v>
      </c>
      <c r="F177" s="336">
        <f>'E) Fact soc'!G182</f>
        <v>316082.31014141761</v>
      </c>
      <c r="G177" s="333">
        <f>'H) Péréquation directe'!I187</f>
        <v>47350.505891311332</v>
      </c>
      <c r="H177" s="336">
        <f>+'I) Dépenses thématiques'!O176</f>
        <v>-49759.020379746849</v>
      </c>
      <c r="I177" s="333">
        <f>'K) Plafonnement aide'!J176</f>
        <v>0</v>
      </c>
      <c r="J177" s="336">
        <f>'J) Plafonnement effort'!I176</f>
        <v>0</v>
      </c>
      <c r="K177" s="333">
        <f>'L) Plafonnement taux'!Q177</f>
        <v>0</v>
      </c>
      <c r="L177" s="331">
        <f t="shared" si="6"/>
        <v>313673.79565298208</v>
      </c>
      <c r="M177" s="244">
        <f>'M) Police'!O177</f>
        <v>54739.809326330243</v>
      </c>
      <c r="N177" s="244">
        <f t="shared" si="5"/>
        <v>368413.60497931234</v>
      </c>
      <c r="P177" s="339"/>
    </row>
    <row r="178" spans="1:16" s="163" customFormat="1" x14ac:dyDescent="0.25">
      <c r="A178" s="160">
        <f>'B) D RI'!A179</f>
        <v>5693</v>
      </c>
      <c r="B178" s="161" t="str">
        <f>'B) D RI'!B179</f>
        <v>Montanaire</v>
      </c>
      <c r="C178" s="334">
        <f>'B) D RI'!S179</f>
        <v>72</v>
      </c>
      <c r="D178" s="162">
        <f>'B) D RI'!AA179</f>
        <v>2606</v>
      </c>
      <c r="E178" s="332">
        <f>'D) Ecrêtage'!C177</f>
        <v>70163.69902777778</v>
      </c>
      <c r="F178" s="336">
        <f>'E) Fact soc'!G183</f>
        <v>1335379.0851546582</v>
      </c>
      <c r="G178" s="333">
        <f>'H) Péréquation directe'!I188</f>
        <v>-258560.7170606819</v>
      </c>
      <c r="H178" s="336">
        <f>+'I) Dépenses thématiques'!O177</f>
        <v>-433099.28156249993</v>
      </c>
      <c r="I178" s="333">
        <f>'K) Plafonnement aide'!J177</f>
        <v>0</v>
      </c>
      <c r="J178" s="336">
        <f>'J) Plafonnement effort'!I177</f>
        <v>0</v>
      </c>
      <c r="K178" s="333">
        <f>'L) Plafonnement taux'!Q178</f>
        <v>0</v>
      </c>
      <c r="L178" s="331">
        <f>F178+G178+H178+I178+J178+K178</f>
        <v>643719.08653147635</v>
      </c>
      <c r="M178" s="244">
        <f>'M) Police'!O178</f>
        <v>221831.52624976711</v>
      </c>
      <c r="N178" s="244">
        <f t="shared" si="5"/>
        <v>865550.6127812434</v>
      </c>
      <c r="P178" s="339"/>
    </row>
    <row r="179" spans="1:16" s="163" customFormat="1" x14ac:dyDescent="0.25">
      <c r="A179" s="160">
        <f>'B) D RI'!A180</f>
        <v>5701</v>
      </c>
      <c r="B179" s="161" t="str">
        <f>'B) D RI'!B180</f>
        <v>Arnex-sur-Nyon</v>
      </c>
      <c r="C179" s="334">
        <f>'B) D RI'!S180</f>
        <v>70</v>
      </c>
      <c r="D179" s="162">
        <f>'B) D RI'!AA180</f>
        <v>224</v>
      </c>
      <c r="E179" s="332">
        <f>'D) Ecrêtage'!C178</f>
        <v>14485.916142857144</v>
      </c>
      <c r="F179" s="336">
        <f>'E) Fact soc'!G184</f>
        <v>322018.50784026872</v>
      </c>
      <c r="G179" s="333">
        <f>'H) Péréquation directe'!I189</f>
        <v>262233.92805007455</v>
      </c>
      <c r="H179" s="336">
        <f>+'I) Dépenses thématiques'!O178</f>
        <v>0</v>
      </c>
      <c r="I179" s="333">
        <f>'K) Plafonnement aide'!J178</f>
        <v>0</v>
      </c>
      <c r="J179" s="336">
        <f>'J) Plafonnement effort'!I178</f>
        <v>0</v>
      </c>
      <c r="K179" s="333">
        <f>'L) Plafonnement taux'!Q179</f>
        <v>0</v>
      </c>
      <c r="L179" s="331">
        <f>F179+G179+H179+I179+J179+K179</f>
        <v>584252.43589034327</v>
      </c>
      <c r="M179" s="244">
        <f>'M) Police'!O179</f>
        <v>37612.4004713346</v>
      </c>
      <c r="N179" s="244">
        <f t="shared" si="5"/>
        <v>621864.83636167785</v>
      </c>
      <c r="P179" s="339"/>
    </row>
    <row r="180" spans="1:16" s="163" customFormat="1" x14ac:dyDescent="0.25">
      <c r="A180" s="160">
        <f>'B) D RI'!A181</f>
        <v>5702</v>
      </c>
      <c r="B180" s="161" t="str">
        <f>'B) D RI'!B181</f>
        <v>Arzier-Le Muids</v>
      </c>
      <c r="C180" s="334">
        <f>'B) D RI'!S181</f>
        <v>64</v>
      </c>
      <c r="D180" s="162">
        <f>'B) D RI'!AA181</f>
        <v>2653</v>
      </c>
      <c r="E180" s="332">
        <f>'D) Ecrêtage'!C179</f>
        <v>155554.60781250003</v>
      </c>
      <c r="F180" s="336">
        <f>'E) Fact soc'!G185</f>
        <v>3569551.6136183292</v>
      </c>
      <c r="G180" s="333">
        <f>'H) Péréquation directe'!I190</f>
        <v>2417942.5990359681</v>
      </c>
      <c r="H180" s="336">
        <f>+'I) Dépenses thématiques'!O179</f>
        <v>-301489.04414062499</v>
      </c>
      <c r="I180" s="333">
        <f>'K) Plafonnement aide'!J179</f>
        <v>0</v>
      </c>
      <c r="J180" s="336">
        <f>'J) Plafonnement effort'!I179</f>
        <v>0</v>
      </c>
      <c r="K180" s="333">
        <f>'L) Plafonnement taux'!Q180</f>
        <v>0</v>
      </c>
      <c r="L180" s="331">
        <f t="shared" si="6"/>
        <v>5686005.1685136724</v>
      </c>
      <c r="M180" s="244">
        <f>'M) Police'!O180</f>
        <v>424692.09356435214</v>
      </c>
      <c r="N180" s="244">
        <f t="shared" si="5"/>
        <v>6110697.2620780244</v>
      </c>
      <c r="P180" s="339"/>
    </row>
    <row r="181" spans="1:16" s="163" customFormat="1" x14ac:dyDescent="0.25">
      <c r="A181" s="160">
        <f>'B) D RI'!A182</f>
        <v>5703</v>
      </c>
      <c r="B181" s="161" t="str">
        <f>'B) D RI'!B182</f>
        <v>Bassins</v>
      </c>
      <c r="C181" s="334">
        <f>'B) D RI'!S182</f>
        <v>74</v>
      </c>
      <c r="D181" s="162">
        <f>'B) D RI'!AA182</f>
        <v>1356</v>
      </c>
      <c r="E181" s="332">
        <f>'D) Ecrêtage'!C180</f>
        <v>56619.784440154435</v>
      </c>
      <c r="F181" s="336">
        <f>'E) Fact soc'!G186</f>
        <v>1106411.9611407816</v>
      </c>
      <c r="G181" s="333">
        <f>'H) Péréquation directe'!I191</f>
        <v>784064.24867947772</v>
      </c>
      <c r="H181" s="336">
        <f>+'I) Dépenses thématiques'!O180</f>
        <v>-229786.45502895757</v>
      </c>
      <c r="I181" s="333">
        <f>'K) Plafonnement aide'!J180</f>
        <v>0</v>
      </c>
      <c r="J181" s="336">
        <f>'J) Plafonnement effort'!I180</f>
        <v>0</v>
      </c>
      <c r="K181" s="333">
        <f>'L) Plafonnement taux'!Q181</f>
        <v>0</v>
      </c>
      <c r="L181" s="331">
        <f t="shared" si="6"/>
        <v>1660689.7547913017</v>
      </c>
      <c r="M181" s="244">
        <f>'M) Police'!O181</f>
        <v>178855.21549443467</v>
      </c>
      <c r="N181" s="244">
        <f t="shared" si="5"/>
        <v>1839544.9702857363</v>
      </c>
      <c r="P181" s="339"/>
    </row>
    <row r="182" spans="1:16" s="163" customFormat="1" x14ac:dyDescent="0.25">
      <c r="A182" s="160">
        <f>'B) D RI'!A183</f>
        <v>5704</v>
      </c>
      <c r="B182" s="161" t="str">
        <f>'B) D RI'!B183</f>
        <v>Begnins</v>
      </c>
      <c r="C182" s="334">
        <f>'B) D RI'!S183</f>
        <v>67</v>
      </c>
      <c r="D182" s="162">
        <f>'B) D RI'!AA183</f>
        <v>1910</v>
      </c>
      <c r="E182" s="332">
        <f>'D) Ecrêtage'!C181</f>
        <v>127181.77029850746</v>
      </c>
      <c r="F182" s="336">
        <f>'E) Fact soc'!G187</f>
        <v>3166682.1526277023</v>
      </c>
      <c r="G182" s="333">
        <f>'H) Péréquation directe'!I192</f>
        <v>2107048.6009247256</v>
      </c>
      <c r="H182" s="336">
        <f>+'I) Dépenses thématiques'!O181</f>
        <v>0</v>
      </c>
      <c r="I182" s="333">
        <f>'K) Plafonnement aide'!J181</f>
        <v>0</v>
      </c>
      <c r="J182" s="336">
        <f>'J) Plafonnement effort'!I181</f>
        <v>0</v>
      </c>
      <c r="K182" s="333">
        <f>'L) Plafonnement taux'!Q182</f>
        <v>0</v>
      </c>
      <c r="L182" s="331">
        <f t="shared" si="6"/>
        <v>5273730.7535524275</v>
      </c>
      <c r="M182" s="244">
        <f>'M) Police'!O182</f>
        <v>325466.9045642782</v>
      </c>
      <c r="N182" s="244">
        <f t="shared" si="5"/>
        <v>5599197.6581167057</v>
      </c>
      <c r="P182" s="339"/>
    </row>
    <row r="183" spans="1:16" s="163" customFormat="1" x14ac:dyDescent="0.25">
      <c r="A183" s="160">
        <f>'B) D RI'!A184</f>
        <v>5705</v>
      </c>
      <c r="B183" s="161" t="str">
        <f>'B) D RI'!B184</f>
        <v>Bogis-Bossey</v>
      </c>
      <c r="C183" s="334">
        <f>'B) D RI'!S184</f>
        <v>70</v>
      </c>
      <c r="D183" s="162">
        <f>'B) D RI'!AA184</f>
        <v>893</v>
      </c>
      <c r="E183" s="332">
        <f>'D) Ecrêtage'!C182</f>
        <v>54965.953000000009</v>
      </c>
      <c r="F183" s="336">
        <f>'E) Fact soc'!G188</f>
        <v>1218249.1672369326</v>
      </c>
      <c r="G183" s="333">
        <f>'H) Péréquation directe'!I193</f>
        <v>989715.45103937585</v>
      </c>
      <c r="H183" s="336">
        <f>+'I) Dépenses thématiques'!O182</f>
        <v>0</v>
      </c>
      <c r="I183" s="333">
        <f>'K) Plafonnement aide'!J182</f>
        <v>0</v>
      </c>
      <c r="J183" s="336">
        <f>'J) Plafonnement effort'!I182</f>
        <v>0</v>
      </c>
      <c r="K183" s="333">
        <f>'L) Plafonnement taux'!Q183</f>
        <v>0</v>
      </c>
      <c r="L183" s="331">
        <f t="shared" si="6"/>
        <v>2207964.6182763083</v>
      </c>
      <c r="M183" s="244">
        <f>'M) Police'!O183</f>
        <v>146333.4947018027</v>
      </c>
      <c r="N183" s="244">
        <f t="shared" si="5"/>
        <v>2354298.112978111</v>
      </c>
      <c r="P183" s="339"/>
    </row>
    <row r="184" spans="1:16" s="163" customFormat="1" x14ac:dyDescent="0.25">
      <c r="A184" s="160">
        <f>'B) D RI'!A185</f>
        <v>5706</v>
      </c>
      <c r="B184" s="161" t="str">
        <f>'B) D RI'!B185</f>
        <v>Borex</v>
      </c>
      <c r="C184" s="334">
        <f>'B) D RI'!S185</f>
        <v>58</v>
      </c>
      <c r="D184" s="162">
        <f>'B) D RI'!AA185</f>
        <v>1126</v>
      </c>
      <c r="E184" s="332">
        <f>'D) Ecrêtage'!C183</f>
        <v>71857.063735632182</v>
      </c>
      <c r="F184" s="336">
        <f>'E) Fact soc'!G189</f>
        <v>1619081.8615500154</v>
      </c>
      <c r="G184" s="333">
        <f>'H) Péréquation directe'!I194</f>
        <v>1270963.5902688452</v>
      </c>
      <c r="H184" s="336">
        <f>+'I) Dépenses thématiques'!O183</f>
        <v>0</v>
      </c>
      <c r="I184" s="333">
        <f>'K) Plafonnement aide'!J183</f>
        <v>0</v>
      </c>
      <c r="J184" s="336">
        <f>'J) Plafonnement effort'!I183</f>
        <v>0</v>
      </c>
      <c r="K184" s="333">
        <f>'L) Plafonnement taux'!Q184</f>
        <v>0</v>
      </c>
      <c r="L184" s="331">
        <f t="shared" si="6"/>
        <v>2890045.4518188606</v>
      </c>
      <c r="M184" s="244">
        <f>'M) Police'!O184</f>
        <v>187823.00896156428</v>
      </c>
      <c r="N184" s="244">
        <f t="shared" si="5"/>
        <v>3077868.460780425</v>
      </c>
      <c r="P184" s="339"/>
    </row>
    <row r="185" spans="1:16" s="163" customFormat="1" x14ac:dyDescent="0.25">
      <c r="A185" s="160">
        <f>'B) D RI'!A186</f>
        <v>5707</v>
      </c>
      <c r="B185" s="161" t="str">
        <f>'B) D RI'!B186</f>
        <v>Chavannes-de-Bogis</v>
      </c>
      <c r="C185" s="334">
        <f>'B) D RI'!S186</f>
        <v>59</v>
      </c>
      <c r="D185" s="162">
        <f>'B) D RI'!AA186</f>
        <v>1290</v>
      </c>
      <c r="E185" s="332">
        <f>'D) Ecrêtage'!C184</f>
        <v>84087.690451977411</v>
      </c>
      <c r="F185" s="336">
        <f>'E) Fact soc'!G190</f>
        <v>2017191.8883174914</v>
      </c>
      <c r="G185" s="333">
        <f>'H) Péréquation directe'!I195</f>
        <v>1459019.0126794968</v>
      </c>
      <c r="H185" s="336">
        <f>+'I) Dépenses thématiques'!O184</f>
        <v>0</v>
      </c>
      <c r="I185" s="333">
        <f>'K) Plafonnement aide'!J184</f>
        <v>0</v>
      </c>
      <c r="J185" s="336">
        <f>'J) Plafonnement effort'!I184</f>
        <v>0</v>
      </c>
      <c r="K185" s="333">
        <f>'L) Plafonnement taux'!Q185</f>
        <v>0</v>
      </c>
      <c r="L185" s="331">
        <f t="shared" si="6"/>
        <v>3476210.9009969882</v>
      </c>
      <c r="M185" s="244">
        <f>'M) Police'!O185</f>
        <v>217469.22387722757</v>
      </c>
      <c r="N185" s="244">
        <f t="shared" si="5"/>
        <v>3693680.1248742156</v>
      </c>
      <c r="P185" s="339"/>
    </row>
    <row r="186" spans="1:16" s="163" customFormat="1" x14ac:dyDescent="0.25">
      <c r="A186" s="160">
        <f>'B) D RI'!A187</f>
        <v>5708</v>
      </c>
      <c r="B186" s="161" t="str">
        <f>'B) D RI'!B187</f>
        <v>Chavannes-des-Bois</v>
      </c>
      <c r="C186" s="334">
        <f>'B) D RI'!S187</f>
        <v>59</v>
      </c>
      <c r="D186" s="162">
        <f>'B) D RI'!AA187</f>
        <v>942</v>
      </c>
      <c r="E186" s="332">
        <f>'D) Ecrêtage'!C185</f>
        <v>57555.435593220333</v>
      </c>
      <c r="F186" s="336">
        <f>'E) Fact soc'!G191</f>
        <v>1170449.8030250445</v>
      </c>
      <c r="G186" s="333">
        <f>'H) Péréquation directe'!I196</f>
        <v>1035485.7899921178</v>
      </c>
      <c r="H186" s="336">
        <f>+'I) Dépenses thématiques'!O185</f>
        <v>0</v>
      </c>
      <c r="I186" s="333">
        <f>'K) Plafonnement aide'!J185</f>
        <v>0</v>
      </c>
      <c r="J186" s="336">
        <f>'J) Plafonnement effort'!I185</f>
        <v>0</v>
      </c>
      <c r="K186" s="333">
        <f>'L) Plafonnement taux'!Q186</f>
        <v>0</v>
      </c>
      <c r="L186" s="331">
        <f t="shared" si="6"/>
        <v>2205935.5930171623</v>
      </c>
      <c r="M186" s="244">
        <f>'M) Police'!O186</f>
        <v>153809.44357575057</v>
      </c>
      <c r="N186" s="244">
        <f t="shared" si="5"/>
        <v>2359745.0365929129</v>
      </c>
      <c r="P186" s="339"/>
    </row>
    <row r="187" spans="1:16" s="163" customFormat="1" x14ac:dyDescent="0.25">
      <c r="A187" s="160">
        <f>'B) D RI'!A188</f>
        <v>5709</v>
      </c>
      <c r="B187" s="161" t="str">
        <f>'B) D RI'!B188</f>
        <v>Chéserex</v>
      </c>
      <c r="C187" s="334">
        <f>'B) D RI'!S188</f>
        <v>57</v>
      </c>
      <c r="D187" s="162">
        <f>'B) D RI'!AA188</f>
        <v>1219</v>
      </c>
      <c r="E187" s="332">
        <f>'D) Ecrêtage'!C186</f>
        <v>76627.19473684211</v>
      </c>
      <c r="F187" s="336">
        <f>'E) Fact soc'!G192</f>
        <v>2354807.8413120038</v>
      </c>
      <c r="G187" s="333">
        <f>'H) Péréquation directe'!I197</f>
        <v>1334267.6431582891</v>
      </c>
      <c r="H187" s="336">
        <f>+'I) Dépenses thématiques'!O186</f>
        <v>0</v>
      </c>
      <c r="I187" s="333">
        <f>'K) Plafonnement aide'!J186</f>
        <v>0</v>
      </c>
      <c r="J187" s="336">
        <f>'J) Plafonnement effort'!I186</f>
        <v>-240851.72131239821</v>
      </c>
      <c r="K187" s="333">
        <f>'L) Plafonnement taux'!Q187</f>
        <v>0</v>
      </c>
      <c r="L187" s="331">
        <f t="shared" si="6"/>
        <v>3448223.7631578948</v>
      </c>
      <c r="M187" s="244">
        <f>'M) Police'!O187</f>
        <v>201824.40793671116</v>
      </c>
      <c r="N187" s="244">
        <f t="shared" si="5"/>
        <v>3650048.1710946062</v>
      </c>
      <c r="P187" s="339"/>
    </row>
    <row r="188" spans="1:16" s="163" customFormat="1" x14ac:dyDescent="0.25">
      <c r="A188" s="160">
        <f>'B) D RI'!A189</f>
        <v>5710</v>
      </c>
      <c r="B188" s="161" t="str">
        <f>'B) D RI'!B189</f>
        <v>Coinsins</v>
      </c>
      <c r="C188" s="334">
        <f>'B) D RI'!S189</f>
        <v>51</v>
      </c>
      <c r="D188" s="162">
        <f>'B) D RI'!AA189</f>
        <v>484</v>
      </c>
      <c r="E188" s="332">
        <f>'D) Ecrêtage'!C187</f>
        <v>93255.286470588253</v>
      </c>
      <c r="F188" s="336">
        <f>'E) Fact soc'!G193</f>
        <v>3329147.290668848</v>
      </c>
      <c r="G188" s="333">
        <f>'H) Péréquation directe'!I198</f>
        <v>1806479.2907818607</v>
      </c>
      <c r="H188" s="336">
        <f>+'I) Dépenses thématiques'!O187</f>
        <v>0</v>
      </c>
      <c r="I188" s="333">
        <f>'K) Plafonnement aide'!J187</f>
        <v>0</v>
      </c>
      <c r="J188" s="336">
        <f>'J) Plafonnement effort'!I187</f>
        <v>-939138.69027423731</v>
      </c>
      <c r="K188" s="333">
        <f>'L) Plafonnement taux'!Q188</f>
        <v>0</v>
      </c>
      <c r="L188" s="331">
        <f t="shared" si="6"/>
        <v>4196487.8911764706</v>
      </c>
      <c r="M188" s="244">
        <f>'M) Police'!O188</f>
        <v>161668.17201714613</v>
      </c>
      <c r="N188" s="244">
        <f t="shared" si="5"/>
        <v>4358156.0631936165</v>
      </c>
      <c r="P188" s="339"/>
    </row>
    <row r="189" spans="1:16" s="163" customFormat="1" x14ac:dyDescent="0.25">
      <c r="A189" s="160">
        <f>'B) D RI'!A190</f>
        <v>5711</v>
      </c>
      <c r="B189" s="161" t="str">
        <f>'B) D RI'!B190</f>
        <v>Commugny</v>
      </c>
      <c r="C189" s="334">
        <f>'B) D RI'!S190</f>
        <v>57</v>
      </c>
      <c r="D189" s="162">
        <f>'B) D RI'!AA190</f>
        <v>2858</v>
      </c>
      <c r="E189" s="332">
        <f>'D) Ecrêtage'!C188</f>
        <v>252725.09392712548</v>
      </c>
      <c r="F189" s="336">
        <f>'E) Fact soc'!G194</f>
        <v>6828547.9548181035</v>
      </c>
      <c r="G189" s="333">
        <f>'H) Péréquation directe'!I199</f>
        <v>4291659.6924467748</v>
      </c>
      <c r="H189" s="336">
        <f>+'I) Dépenses thématiques'!O188</f>
        <v>0</v>
      </c>
      <c r="I189" s="333">
        <f>'K) Plafonnement aide'!J188</f>
        <v>0</v>
      </c>
      <c r="J189" s="336">
        <f>'J) Plafonnement effort'!I188</f>
        <v>0</v>
      </c>
      <c r="K189" s="333">
        <f>'L) Plafonnement taux'!Q189</f>
        <v>0</v>
      </c>
      <c r="L189" s="331">
        <f t="shared" si="6"/>
        <v>11120207.647264879</v>
      </c>
      <c r="M189" s="244">
        <f>'M) Police'!O189</f>
        <v>568007.14066857472</v>
      </c>
      <c r="N189" s="244">
        <f t="shared" si="5"/>
        <v>11688214.787933454</v>
      </c>
      <c r="P189" s="339"/>
    </row>
    <row r="190" spans="1:16" s="163" customFormat="1" x14ac:dyDescent="0.25">
      <c r="A190" s="160">
        <f>'B) D RI'!A191</f>
        <v>5712</v>
      </c>
      <c r="B190" s="161" t="str">
        <f>'B) D RI'!B191</f>
        <v>Coppet</v>
      </c>
      <c r="C190" s="334">
        <f>'B) D RI'!S191</f>
        <v>53</v>
      </c>
      <c r="D190" s="162">
        <f>'B) D RI'!AA191</f>
        <v>3123</v>
      </c>
      <c r="E190" s="332">
        <f>'D) Ecrêtage'!C189</f>
        <v>325058.64591194969</v>
      </c>
      <c r="F190" s="336">
        <f>'E) Fact soc'!G195</f>
        <v>9853905.2615679409</v>
      </c>
      <c r="G190" s="333">
        <f>'H) Péréquation directe'!I200</f>
        <v>5629359.8948136186</v>
      </c>
      <c r="H190" s="336">
        <f>+'I) Dépenses thématiques'!O189</f>
        <v>0</v>
      </c>
      <c r="I190" s="333">
        <f>'K) Plafonnement aide'!J189</f>
        <v>0</v>
      </c>
      <c r="J190" s="336">
        <f>'J) Plafonnement effort'!I189</f>
        <v>-855626.09034382447</v>
      </c>
      <c r="K190" s="333">
        <f>'L) Plafonnement taux'!Q190</f>
        <v>0</v>
      </c>
      <c r="L190" s="331">
        <f t="shared" si="6"/>
        <v>14627639.066037735</v>
      </c>
      <c r="M190" s="244">
        <f>'M) Police'!O190</f>
        <v>684131.2103929962</v>
      </c>
      <c r="N190" s="244">
        <f t="shared" si="5"/>
        <v>15311770.276430732</v>
      </c>
      <c r="P190" s="339"/>
    </row>
    <row r="191" spans="1:16" s="163" customFormat="1" x14ac:dyDescent="0.25">
      <c r="A191" s="160">
        <f>'B) D RI'!A192</f>
        <v>5713</v>
      </c>
      <c r="B191" s="161" t="str">
        <f>'B) D RI'!B192</f>
        <v>Crans-près-Céligny</v>
      </c>
      <c r="C191" s="334">
        <f>'B) D RI'!S192</f>
        <v>53</v>
      </c>
      <c r="D191" s="162">
        <f>'B) D RI'!AA192</f>
        <v>2177</v>
      </c>
      <c r="E191" s="332">
        <f>'D) Ecrêtage'!C190</f>
        <v>238982.42094339622</v>
      </c>
      <c r="F191" s="336">
        <f>'E) Fact soc'!G196</f>
        <v>7104578.1102118753</v>
      </c>
      <c r="G191" s="333">
        <f>'H) Péréquation directe'!I201</f>
        <v>4252110.302078709</v>
      </c>
      <c r="H191" s="336">
        <f>+'I) Dépenses thématiques'!O190</f>
        <v>0</v>
      </c>
      <c r="I191" s="333">
        <f>'K) Plafonnement aide'!J190</f>
        <v>0</v>
      </c>
      <c r="J191" s="336">
        <f>'J) Plafonnement effort'!I190</f>
        <v>-602479.4698377538</v>
      </c>
      <c r="K191" s="333">
        <f>'L) Plafonnement taux'!Q191</f>
        <v>0</v>
      </c>
      <c r="L191" s="331">
        <f t="shared" si="6"/>
        <v>10754208.942452831</v>
      </c>
      <c r="M191" s="244">
        <f>'M) Police'!O191</f>
        <v>310123.82185451023</v>
      </c>
      <c r="N191" s="244">
        <f t="shared" si="5"/>
        <v>11064332.764307341</v>
      </c>
      <c r="P191" s="339"/>
    </row>
    <row r="192" spans="1:16" s="163" customFormat="1" x14ac:dyDescent="0.25">
      <c r="A192" s="160">
        <f>'B) D RI'!A193</f>
        <v>5714</v>
      </c>
      <c r="B192" s="161" t="str">
        <f>'B) D RI'!B193</f>
        <v>Crassier</v>
      </c>
      <c r="C192" s="334">
        <f>'B) D RI'!S193</f>
        <v>64</v>
      </c>
      <c r="D192" s="162">
        <f>'B) D RI'!AA193</f>
        <v>1161</v>
      </c>
      <c r="E192" s="332">
        <f>'D) Ecrêtage'!C191</f>
        <v>81379.304374999992</v>
      </c>
      <c r="F192" s="336">
        <f>'E) Fact soc'!G197</f>
        <v>2032385.431599539</v>
      </c>
      <c r="G192" s="333">
        <f>'H) Péréquation directe'!I202</f>
        <v>1449423.019701031</v>
      </c>
      <c r="H192" s="336">
        <f>+'I) Dépenses thématiques'!O191</f>
        <v>0</v>
      </c>
      <c r="I192" s="333">
        <f>'K) Plafonnement aide'!J191</f>
        <v>0</v>
      </c>
      <c r="J192" s="336">
        <f>'J) Plafonnement effort'!I191</f>
        <v>0</v>
      </c>
      <c r="K192" s="333">
        <f>'L) Plafonnement taux'!Q192</f>
        <v>0</v>
      </c>
      <c r="L192" s="331">
        <f t="shared" si="6"/>
        <v>3481808.4513005698</v>
      </c>
      <c r="M192" s="244">
        <f>'M) Police'!O192</f>
        <v>203119.60102794057</v>
      </c>
      <c r="N192" s="244">
        <f t="shared" si="5"/>
        <v>3684928.0523285102</v>
      </c>
      <c r="P192" s="339"/>
    </row>
    <row r="193" spans="1:16" s="163" customFormat="1" x14ac:dyDescent="0.25">
      <c r="A193" s="160">
        <f>'B) D RI'!A194</f>
        <v>5715</v>
      </c>
      <c r="B193" s="161" t="str">
        <f>'B) D RI'!B194</f>
        <v>Duillier</v>
      </c>
      <c r="C193" s="334">
        <f>'B) D RI'!S194</f>
        <v>66</v>
      </c>
      <c r="D193" s="162">
        <f>'B) D RI'!AA194</f>
        <v>1078</v>
      </c>
      <c r="E193" s="332">
        <f>'D) Ecrêtage'!C192</f>
        <v>59220.850303030304</v>
      </c>
      <c r="F193" s="336">
        <f>'E) Fact soc'!G198</f>
        <v>1150923.2818279192</v>
      </c>
      <c r="G193" s="333">
        <f>'H) Péréquation directe'!I203</f>
        <v>1034681.6024535872</v>
      </c>
      <c r="H193" s="336">
        <f>+'I) Dépenses thématiques'!O192</f>
        <v>0</v>
      </c>
      <c r="I193" s="333">
        <f>'K) Plafonnement aide'!J192</f>
        <v>0</v>
      </c>
      <c r="J193" s="336">
        <f>'J) Plafonnement effort'!I192</f>
        <v>0</v>
      </c>
      <c r="K193" s="333">
        <f>'L) Plafonnement taux'!Q193</f>
        <v>0</v>
      </c>
      <c r="L193" s="331">
        <f t="shared" si="6"/>
        <v>2185604.8842815063</v>
      </c>
      <c r="M193" s="244">
        <f>'M) Police'!O193</f>
        <v>167393.56377071177</v>
      </c>
      <c r="N193" s="244">
        <f t="shared" si="5"/>
        <v>2352998.4480522182</v>
      </c>
      <c r="P193" s="339"/>
    </row>
    <row r="194" spans="1:16" s="163" customFormat="1" x14ac:dyDescent="0.25">
      <c r="A194" s="160">
        <f>'B) D RI'!A195</f>
        <v>5716</v>
      </c>
      <c r="B194" s="161" t="str">
        <f>'B) D RI'!B195</f>
        <v>Eysins</v>
      </c>
      <c r="C194" s="334">
        <f>'B) D RI'!S195</f>
        <v>61</v>
      </c>
      <c r="D194" s="162">
        <f>'B) D RI'!AA195</f>
        <v>1603</v>
      </c>
      <c r="E194" s="332">
        <f>'D) Ecrêtage'!C193</f>
        <v>124151.91836065573</v>
      </c>
      <c r="F194" s="336">
        <f>'E) Fact soc'!G199</f>
        <v>3391323.9790300475</v>
      </c>
      <c r="G194" s="333">
        <f>'H) Péréquation directe'!I204</f>
        <v>2152567.2373319301</v>
      </c>
      <c r="H194" s="336">
        <f>+'I) Dépenses thématiques'!O193</f>
        <v>0</v>
      </c>
      <c r="I194" s="333">
        <f>'K) Plafonnement aide'!J193</f>
        <v>0</v>
      </c>
      <c r="J194" s="336">
        <f>'J) Plafonnement effort'!I193</f>
        <v>0</v>
      </c>
      <c r="K194" s="333">
        <f>'L) Plafonnement taux'!Q194</f>
        <v>0</v>
      </c>
      <c r="L194" s="331">
        <f t="shared" si="6"/>
        <v>5543891.2163619772</v>
      </c>
      <c r="M194" s="244">
        <f>'M) Police'!O194</f>
        <v>295749.51158328191</v>
      </c>
      <c r="N194" s="244">
        <f t="shared" ref="N194:N254" si="9">L194+M194</f>
        <v>5839640.7279452588</v>
      </c>
      <c r="P194" s="339"/>
    </row>
    <row r="195" spans="1:16" s="163" customFormat="1" x14ac:dyDescent="0.25">
      <c r="A195" s="160">
        <f>'B) D RI'!A196</f>
        <v>5717</v>
      </c>
      <c r="B195" s="161" t="str">
        <f>'B) D RI'!B196</f>
        <v>Founex</v>
      </c>
      <c r="C195" s="334">
        <f>'B) D RI'!S196</f>
        <v>57</v>
      </c>
      <c r="D195" s="162">
        <f>'B) D RI'!AA196</f>
        <v>3788</v>
      </c>
      <c r="E195" s="332">
        <f>'D) Ecrêtage'!C194</f>
        <v>339342.81578947371</v>
      </c>
      <c r="F195" s="336">
        <f>'E) Fact soc'!G200</f>
        <v>9631199.7575776074</v>
      </c>
      <c r="G195" s="333">
        <f>'H) Péréquation directe'!I205</f>
        <v>5586732.4807686768</v>
      </c>
      <c r="H195" s="336">
        <f>+'I) Dépenses thématiques'!O194</f>
        <v>0</v>
      </c>
      <c r="I195" s="333">
        <f>'K) Plafonnement aide'!J194</f>
        <v>0</v>
      </c>
      <c r="J195" s="336">
        <f>'J) Plafonnement effort'!I194</f>
        <v>0</v>
      </c>
      <c r="K195" s="333">
        <f>'L) Plafonnement taux'!Q195</f>
        <v>0</v>
      </c>
      <c r="L195" s="331">
        <f t="shared" si="6"/>
        <v>15217932.238346284</v>
      </c>
      <c r="M195" s="244">
        <f>'M) Police'!O195</f>
        <v>758522.36113074049</v>
      </c>
      <c r="N195" s="244">
        <f t="shared" si="9"/>
        <v>15976454.599477025</v>
      </c>
      <c r="P195" s="339"/>
    </row>
    <row r="196" spans="1:16" s="163" customFormat="1" x14ac:dyDescent="0.25">
      <c r="A196" s="160">
        <f>'B) D RI'!A197</f>
        <v>5718</v>
      </c>
      <c r="B196" s="161" t="str">
        <f>'B) D RI'!B197</f>
        <v>Genolier</v>
      </c>
      <c r="C196" s="334">
        <f>'B) D RI'!S197</f>
        <v>55</v>
      </c>
      <c r="D196" s="162">
        <f>'B) D RI'!AA197</f>
        <v>1945</v>
      </c>
      <c r="E196" s="332">
        <f>'D) Ecrêtage'!C195</f>
        <v>176672.45218181823</v>
      </c>
      <c r="F196" s="336">
        <f>'E) Fact soc'!G201</f>
        <v>4915090.4186433237</v>
      </c>
      <c r="G196" s="333">
        <f>'H) Péréquation directe'!I206</f>
        <v>3085366.8122931449</v>
      </c>
      <c r="H196" s="336">
        <f>+'I) Dépenses thématiques'!O195</f>
        <v>0</v>
      </c>
      <c r="I196" s="333">
        <f>'K) Plafonnement aide'!J195</f>
        <v>0</v>
      </c>
      <c r="J196" s="336">
        <f>'J) Plafonnement effort'!I195</f>
        <v>-50196.88275464849</v>
      </c>
      <c r="K196" s="333">
        <f>'L) Plafonnement taux'!Q196</f>
        <v>0</v>
      </c>
      <c r="L196" s="331">
        <f t="shared" si="6"/>
        <v>7950260.3481818205</v>
      </c>
      <c r="M196" s="244">
        <f>'M) Police'!O196</f>
        <v>392629.9297482387</v>
      </c>
      <c r="N196" s="244">
        <f t="shared" si="9"/>
        <v>8342890.2779300595</v>
      </c>
      <c r="P196" s="339"/>
    </row>
    <row r="197" spans="1:16" s="163" customFormat="1" x14ac:dyDescent="0.25">
      <c r="A197" s="160">
        <f>'B) D RI'!A198</f>
        <v>5719</v>
      </c>
      <c r="B197" s="161" t="str">
        <f>'B) D RI'!B198</f>
        <v>Gingins</v>
      </c>
      <c r="C197" s="334">
        <f>'B) D RI'!S198</f>
        <v>57</v>
      </c>
      <c r="D197" s="162">
        <f>'B) D RI'!AA198</f>
        <v>1212</v>
      </c>
      <c r="E197" s="332">
        <f>'D) Ecrêtage'!C196</f>
        <v>130825.37064327484</v>
      </c>
      <c r="F197" s="336">
        <f>'E) Fact soc'!G202</f>
        <v>4084777.6574327904</v>
      </c>
      <c r="G197" s="333">
        <f>'H) Péréquation directe'!I207</f>
        <v>2421315.9774776418</v>
      </c>
      <c r="H197" s="336">
        <f>+'I) Dépenses thématiques'!O196</f>
        <v>0</v>
      </c>
      <c r="I197" s="333">
        <f>'K) Plafonnement aide'!J196</f>
        <v>0</v>
      </c>
      <c r="J197" s="336">
        <f>'J) Plafonnement effort'!I196</f>
        <v>-618951.95596306433</v>
      </c>
      <c r="K197" s="333">
        <f>'L) Plafonnement taux'!Q197</f>
        <v>0</v>
      </c>
      <c r="L197" s="331">
        <f t="shared" si="6"/>
        <v>5887141.6789473686</v>
      </c>
      <c r="M197" s="244">
        <f>'M) Police'!O197</f>
        <v>271568.6041623085</v>
      </c>
      <c r="N197" s="244">
        <f t="shared" si="9"/>
        <v>6158710.283109677</v>
      </c>
      <c r="P197" s="339"/>
    </row>
    <row r="198" spans="1:16" s="163" customFormat="1" x14ac:dyDescent="0.25">
      <c r="A198" s="160">
        <f>'B) D RI'!A199</f>
        <v>5720</v>
      </c>
      <c r="B198" s="161" t="str">
        <f>'B) D RI'!B199</f>
        <v>Givrins</v>
      </c>
      <c r="C198" s="334">
        <f>'B) D RI'!S199</f>
        <v>61</v>
      </c>
      <c r="D198" s="162">
        <f>'B) D RI'!AA199</f>
        <v>995</v>
      </c>
      <c r="E198" s="332">
        <f>'D) Ecrêtage'!C197</f>
        <v>72642.976593806918</v>
      </c>
      <c r="F198" s="336">
        <f>'E) Fact soc'!G203</f>
        <v>1706637.1026934036</v>
      </c>
      <c r="G198" s="333">
        <f>'H) Péréquation directe'!I208</f>
        <v>1330876.5419843728</v>
      </c>
      <c r="H198" s="336">
        <f>+'I) Dépenses thématiques'!O197</f>
        <v>-43371.017554644815</v>
      </c>
      <c r="I198" s="333">
        <f>'K) Plafonnement aide'!J197</f>
        <v>0</v>
      </c>
      <c r="J198" s="336">
        <f>'J) Plafonnement effort'!I197</f>
        <v>0</v>
      </c>
      <c r="K198" s="333">
        <f>'L) Plafonnement taux'!Q198</f>
        <v>0</v>
      </c>
      <c r="L198" s="331">
        <f t="shared" si="6"/>
        <v>2994142.6271231314</v>
      </c>
      <c r="M198" s="244">
        <f>'M) Police'!O198</f>
        <v>177839.89987189812</v>
      </c>
      <c r="N198" s="244">
        <f t="shared" si="9"/>
        <v>3171982.5269950293</v>
      </c>
      <c r="P198" s="339"/>
    </row>
    <row r="199" spans="1:16" s="163" customFormat="1" x14ac:dyDescent="0.25">
      <c r="A199" s="160">
        <f>'B) D RI'!A200</f>
        <v>5721</v>
      </c>
      <c r="B199" s="161" t="str">
        <f>'B) D RI'!B200</f>
        <v>Gland</v>
      </c>
      <c r="C199" s="334">
        <f>'B) D RI'!S200</f>
        <v>62.5</v>
      </c>
      <c r="D199" s="162">
        <f>'B) D RI'!AA200</f>
        <v>13081</v>
      </c>
      <c r="E199" s="332">
        <f>'D) Ecrêtage'!C198</f>
        <v>599217.55248000007</v>
      </c>
      <c r="F199" s="336">
        <f>'E) Fact soc'!G204</f>
        <v>13456280.382098524</v>
      </c>
      <c r="G199" s="333">
        <f>'H) Péréquation directe'!I209</f>
        <v>4230537.6630202103</v>
      </c>
      <c r="H199" s="336">
        <f>+'I) Dépenses thématiques'!O198</f>
        <v>0</v>
      </c>
      <c r="I199" s="333">
        <f>'K) Plafonnement aide'!J198</f>
        <v>0</v>
      </c>
      <c r="J199" s="336">
        <f>'J) Plafonnement effort'!I198</f>
        <v>0</v>
      </c>
      <c r="K199" s="333">
        <f>'L) Plafonnement taux'!Q199</f>
        <v>0</v>
      </c>
      <c r="L199" s="331">
        <f t="shared" si="6"/>
        <v>17686818.045118734</v>
      </c>
      <c r="M199" s="244">
        <f>'M) Police'!O199</f>
        <v>1876297.1898641801</v>
      </c>
      <c r="N199" s="244">
        <f t="shared" si="9"/>
        <v>19563115.234982915</v>
      </c>
      <c r="P199" s="339"/>
    </row>
    <row r="200" spans="1:16" s="163" customFormat="1" x14ac:dyDescent="0.25">
      <c r="A200" s="160">
        <f>'B) D RI'!A201</f>
        <v>5722</v>
      </c>
      <c r="B200" s="161" t="str">
        <f>'B) D RI'!B201</f>
        <v>Grens</v>
      </c>
      <c r="C200" s="334">
        <f>'B) D RI'!S201</f>
        <v>62</v>
      </c>
      <c r="D200" s="162">
        <f>'B) D RI'!AA201</f>
        <v>382</v>
      </c>
      <c r="E200" s="332">
        <f>'D) Ecrêtage'!C199</f>
        <v>25282.227903225812</v>
      </c>
      <c r="F200" s="336">
        <f>'E) Fact soc'!G205</f>
        <v>551665.42936111661</v>
      </c>
      <c r="G200" s="333">
        <f>'H) Péréquation directe'!I210</f>
        <v>458780.94148764148</v>
      </c>
      <c r="H200" s="336">
        <f>+'I) Dépenses thématiques'!O199</f>
        <v>0</v>
      </c>
      <c r="I200" s="333">
        <f>'K) Plafonnement aide'!J199</f>
        <v>0</v>
      </c>
      <c r="J200" s="336">
        <f>'J) Plafonnement effort'!I199</f>
        <v>0</v>
      </c>
      <c r="K200" s="333">
        <f>'L) Plafonnement taux'!Q200</f>
        <v>0</v>
      </c>
      <c r="L200" s="331">
        <f t="shared" si="6"/>
        <v>1010446.3708487581</v>
      </c>
      <c r="M200" s="244">
        <f>'M) Police'!O200</f>
        <v>64893.373763772033</v>
      </c>
      <c r="N200" s="244">
        <f t="shared" si="9"/>
        <v>1075339.7446125301</v>
      </c>
      <c r="P200" s="339"/>
    </row>
    <row r="201" spans="1:16" s="163" customFormat="1" x14ac:dyDescent="0.25">
      <c r="A201" s="160">
        <f>'B) D RI'!A202</f>
        <v>5723</v>
      </c>
      <c r="B201" s="161" t="str">
        <f>'B) D RI'!B202</f>
        <v>Mies</v>
      </c>
      <c r="C201" s="334">
        <f>'B) D RI'!S202</f>
        <v>49</v>
      </c>
      <c r="D201" s="162">
        <f>'B) D RI'!AA202</f>
        <v>2037</v>
      </c>
      <c r="E201" s="332">
        <f>'D) Ecrêtage'!C200</f>
        <v>442357.54510204075</v>
      </c>
      <c r="F201" s="336">
        <f>'E) Fact soc'!G206</f>
        <v>16605664.982727528</v>
      </c>
      <c r="G201" s="333">
        <f>'H) Péréquation directe'!I211</f>
        <v>8370514.3298637839</v>
      </c>
      <c r="H201" s="336">
        <f>+'I) Dépenses thématiques'!O200</f>
        <v>0</v>
      </c>
      <c r="I201" s="333">
        <f>'K) Plafonnement aide'!J200</f>
        <v>0</v>
      </c>
      <c r="J201" s="336">
        <f>'J) Plafonnement effort'!I200</f>
        <v>-5070089.7829994773</v>
      </c>
      <c r="K201" s="333">
        <f>'L) Plafonnement taux'!Q201</f>
        <v>0</v>
      </c>
      <c r="L201" s="331">
        <f t="shared" si="6"/>
        <v>19906089.529591832</v>
      </c>
      <c r="M201" s="244">
        <f>'M) Police'!O201</f>
        <v>745132.68038954563</v>
      </c>
      <c r="N201" s="244">
        <f t="shared" si="9"/>
        <v>20651222.209981378</v>
      </c>
      <c r="P201" s="339"/>
    </row>
    <row r="202" spans="1:16" s="163" customFormat="1" x14ac:dyDescent="0.25">
      <c r="A202" s="160">
        <f>'B) D RI'!A203</f>
        <v>5724</v>
      </c>
      <c r="B202" s="161" t="str">
        <f>'B) D RI'!B203</f>
        <v>Nyon</v>
      </c>
      <c r="C202" s="334">
        <f>'B) D RI'!S203</f>
        <v>61</v>
      </c>
      <c r="D202" s="162">
        <f>'B) D RI'!AA203</f>
        <v>20551</v>
      </c>
      <c r="E202" s="332">
        <f>'D) Ecrêtage'!C201</f>
        <v>1295846.4763430012</v>
      </c>
      <c r="F202" s="336">
        <f>'E) Fact soc'!G207</f>
        <v>31816174.711764991</v>
      </c>
      <c r="G202" s="333">
        <f>'H) Péréquation directe'!I212</f>
        <v>10517637.625018131</v>
      </c>
      <c r="H202" s="336">
        <f>+'I) Dépenses thématiques'!O201</f>
        <v>-444864.14194199257</v>
      </c>
      <c r="I202" s="333">
        <f>'K) Plafonnement aide'!J201</f>
        <v>0</v>
      </c>
      <c r="J202" s="336">
        <f>'J) Plafonnement effort'!I201</f>
        <v>0</v>
      </c>
      <c r="K202" s="333">
        <f>'L) Plafonnement taux'!Q202</f>
        <v>0</v>
      </c>
      <c r="L202" s="331">
        <f t="shared" si="6"/>
        <v>41888948.194841132</v>
      </c>
      <c r="M202" s="244">
        <f>'M) Police'!O202</f>
        <v>1681600.0950771882</v>
      </c>
      <c r="N202" s="244">
        <f t="shared" si="9"/>
        <v>43570548.289918318</v>
      </c>
      <c r="P202" s="339"/>
    </row>
    <row r="203" spans="1:16" s="163" customFormat="1" x14ac:dyDescent="0.25">
      <c r="A203" s="160">
        <f>'B) D RI'!A204</f>
        <v>5725</v>
      </c>
      <c r="B203" s="161" t="str">
        <f>'B) D RI'!B204</f>
        <v>Prangins</v>
      </c>
      <c r="C203" s="334">
        <f>'B) D RI'!S204</f>
        <v>56</v>
      </c>
      <c r="D203" s="162">
        <f>'B) D RI'!AA204</f>
        <v>4069</v>
      </c>
      <c r="E203" s="332">
        <f>'D) Ecrêtage'!C202</f>
        <v>297756.63698979589</v>
      </c>
      <c r="F203" s="336">
        <f>'E) Fact soc'!G208</f>
        <v>7353389.3655196549</v>
      </c>
      <c r="G203" s="333">
        <f>'H) Péréquation directe'!I213</f>
        <v>4615695.2935856143</v>
      </c>
      <c r="H203" s="336">
        <f>+'I) Dépenses thématiques'!O202</f>
        <v>0</v>
      </c>
      <c r="I203" s="333">
        <f>'K) Plafonnement aide'!J202</f>
        <v>0</v>
      </c>
      <c r="J203" s="336">
        <f>'J) Plafonnement effort'!I202</f>
        <v>0</v>
      </c>
      <c r="K203" s="333">
        <f>'L) Plafonnement taux'!Q203</f>
        <v>0</v>
      </c>
      <c r="L203" s="331">
        <f t="shared" si="6"/>
        <v>11969084.659105269</v>
      </c>
      <c r="M203" s="244">
        <f>'M) Police'!O203</f>
        <v>386394.22046734102</v>
      </c>
      <c r="N203" s="244">
        <f t="shared" si="9"/>
        <v>12355478.879572609</v>
      </c>
      <c r="P203" s="339"/>
    </row>
    <row r="204" spans="1:16" s="163" customFormat="1" x14ac:dyDescent="0.25">
      <c r="A204" s="160">
        <f>'B) D RI'!A205</f>
        <v>5726</v>
      </c>
      <c r="B204" s="161" t="str">
        <f>'B) D RI'!B205</f>
        <v>La Rippe</v>
      </c>
      <c r="C204" s="334">
        <f>'B) D RI'!S205</f>
        <v>65</v>
      </c>
      <c r="D204" s="162">
        <f>'B) D RI'!AA205</f>
        <v>1164</v>
      </c>
      <c r="E204" s="332">
        <f>'D) Ecrêtage'!C203</f>
        <v>56821.794000000002</v>
      </c>
      <c r="F204" s="336">
        <f>'E) Fact soc'!G209</f>
        <v>1123486.8895642955</v>
      </c>
      <c r="G204" s="333">
        <f>'H) Péréquation directe'!I214</f>
        <v>956934.44760766439</v>
      </c>
      <c r="H204" s="336">
        <f>+'I) Dépenses thématiques'!O203</f>
        <v>0</v>
      </c>
      <c r="I204" s="333">
        <f>'K) Plafonnement aide'!J203</f>
        <v>0</v>
      </c>
      <c r="J204" s="336">
        <f>'J) Plafonnement effort'!I203</f>
        <v>0</v>
      </c>
      <c r="K204" s="333">
        <f>'L) Plafonnement taux'!Q204</f>
        <v>0</v>
      </c>
      <c r="L204" s="331">
        <f t="shared" si="6"/>
        <v>2080421.3371719599</v>
      </c>
      <c r="M204" s="244">
        <f>'M) Police'!O204</f>
        <v>171503.67306040053</v>
      </c>
      <c r="N204" s="244">
        <f t="shared" si="9"/>
        <v>2251925.0102323606</v>
      </c>
      <c r="P204" s="339"/>
    </row>
    <row r="205" spans="1:16" s="163" customFormat="1" x14ac:dyDescent="0.25">
      <c r="A205" s="160">
        <f>'B) D RI'!A206</f>
        <v>5727</v>
      </c>
      <c r="B205" s="161" t="str">
        <f>'B) D RI'!B206</f>
        <v>Saint-Cergue</v>
      </c>
      <c r="C205" s="334">
        <f>'B) D RI'!S206</f>
        <v>66</v>
      </c>
      <c r="D205" s="162">
        <f>'B) D RI'!AA206</f>
        <v>2559</v>
      </c>
      <c r="E205" s="332">
        <f>'D) Ecrêtage'!C204</f>
        <v>100367.45777777779</v>
      </c>
      <c r="F205" s="336">
        <f>'E) Fact soc'!G210</f>
        <v>1924115.2382637546</v>
      </c>
      <c r="G205" s="333">
        <f>'H) Péréquation directe'!I215</f>
        <v>1079829.1614257421</v>
      </c>
      <c r="H205" s="336">
        <f>+'I) Dépenses thématiques'!O204</f>
        <v>-281096.90999999992</v>
      </c>
      <c r="I205" s="333">
        <f>'K) Plafonnement aide'!J204</f>
        <v>0</v>
      </c>
      <c r="J205" s="336">
        <f>'J) Plafonnement effort'!I204</f>
        <v>0</v>
      </c>
      <c r="K205" s="333">
        <f>'L) Plafonnement taux'!Q205</f>
        <v>0</v>
      </c>
      <c r="L205" s="331">
        <f t="shared" si="6"/>
        <v>2722847.4896894963</v>
      </c>
      <c r="M205" s="244">
        <f>'M) Police'!O205</f>
        <v>316437.00979372824</v>
      </c>
      <c r="N205" s="244">
        <f t="shared" si="9"/>
        <v>3039284.4994832245</v>
      </c>
      <c r="P205" s="339"/>
    </row>
    <row r="206" spans="1:16" s="163" customFormat="1" x14ac:dyDescent="0.25">
      <c r="A206" s="160">
        <f>'B) D RI'!A207</f>
        <v>5728</v>
      </c>
      <c r="B206" s="161" t="str">
        <f>'B) D RI'!B207</f>
        <v>Signy-Avenex</v>
      </c>
      <c r="C206" s="334">
        <f>'B) D RI'!S207</f>
        <v>58</v>
      </c>
      <c r="D206" s="162">
        <f>'B) D RI'!AA207</f>
        <v>567</v>
      </c>
      <c r="E206" s="332">
        <f>'D) Ecrêtage'!C205</f>
        <v>36550.556034482761</v>
      </c>
      <c r="F206" s="336">
        <f>'E) Fact soc'!G211</f>
        <v>881852.96838348557</v>
      </c>
      <c r="G206" s="333">
        <f>'H) Péréquation directe'!I216</f>
        <v>661439.81306875614</v>
      </c>
      <c r="H206" s="336">
        <f>+'I) Dépenses thématiques'!O205</f>
        <v>0</v>
      </c>
      <c r="I206" s="333">
        <f>'K) Plafonnement aide'!J205</f>
        <v>0</v>
      </c>
      <c r="J206" s="336">
        <f>'J) Plafonnement effort'!I205</f>
        <v>0</v>
      </c>
      <c r="K206" s="333">
        <f>'L) Plafonnement taux'!Q206</f>
        <v>0</v>
      </c>
      <c r="L206" s="331">
        <f t="shared" si="6"/>
        <v>1543292.7814522418</v>
      </c>
      <c r="M206" s="244">
        <f>'M) Police'!O206</f>
        <v>95054.664437918153</v>
      </c>
      <c r="N206" s="244">
        <f t="shared" si="9"/>
        <v>1638347.44589016</v>
      </c>
      <c r="P206" s="339"/>
    </row>
    <row r="207" spans="1:16" s="163" customFormat="1" x14ac:dyDescent="0.25">
      <c r="A207" s="160">
        <f>'B) D RI'!A208</f>
        <v>5729</v>
      </c>
      <c r="B207" s="161" t="str">
        <f>'B) D RI'!B208</f>
        <v>Tannay</v>
      </c>
      <c r="C207" s="334">
        <f>'B) D RI'!S208</f>
        <v>61</v>
      </c>
      <c r="D207" s="162">
        <f>'B) D RI'!AA208</f>
        <v>1585</v>
      </c>
      <c r="E207" s="332">
        <f>'D) Ecrêtage'!C206</f>
        <v>172823.24043715847</v>
      </c>
      <c r="F207" s="336">
        <f>'E) Fact soc'!G212</f>
        <v>5631479.6083539054</v>
      </c>
      <c r="G207" s="333">
        <f>'H) Péréquation directe'!I217</f>
        <v>3132814.2646996565</v>
      </c>
      <c r="H207" s="336">
        <f>+'I) Dépenses thématiques'!O206</f>
        <v>0</v>
      </c>
      <c r="I207" s="333">
        <f>'K) Plafonnement aide'!J206</f>
        <v>0</v>
      </c>
      <c r="J207" s="336">
        <f>'J) Plafonnement effort'!I206</f>
        <v>-987248.05338143033</v>
      </c>
      <c r="K207" s="333">
        <f>'L) Plafonnement taux'!Q207</f>
        <v>0</v>
      </c>
      <c r="L207" s="331">
        <f t="shared" si="6"/>
        <v>7777045.8196721319</v>
      </c>
      <c r="M207" s="244">
        <f>'M) Police'!O207</f>
        <v>357397.68034350267</v>
      </c>
      <c r="N207" s="244">
        <f t="shared" si="9"/>
        <v>8134443.500015635</v>
      </c>
      <c r="P207" s="339"/>
    </row>
    <row r="208" spans="1:16" s="163" customFormat="1" x14ac:dyDescent="0.25">
      <c r="A208" s="160">
        <f>'B) D RI'!A209</f>
        <v>5730</v>
      </c>
      <c r="B208" s="161" t="str">
        <f>'B) D RI'!B209</f>
        <v>Trélex</v>
      </c>
      <c r="C208" s="334">
        <f>'B) D RI'!S209</f>
        <v>57</v>
      </c>
      <c r="D208" s="162">
        <f>'B) D RI'!AA209</f>
        <v>1405</v>
      </c>
      <c r="E208" s="332">
        <f>'D) Ecrêtage'!C207</f>
        <v>103185.50284600389</v>
      </c>
      <c r="F208" s="336">
        <f>'E) Fact soc'!G213</f>
        <v>2546513.1575819366</v>
      </c>
      <c r="G208" s="333">
        <f>'H) Péréquation directe'!I218</f>
        <v>1801445.288459464</v>
      </c>
      <c r="H208" s="336">
        <f>+'I) Dépenses thématiques'!O207</f>
        <v>-16646.622865497084</v>
      </c>
      <c r="I208" s="333">
        <f>'K) Plafonnement aide'!J207</f>
        <v>0</v>
      </c>
      <c r="J208" s="336">
        <f>'J) Plafonnement effort'!I207</f>
        <v>0</v>
      </c>
      <c r="K208" s="333">
        <f>'L) Plafonnement taux'!Q208</f>
        <v>0</v>
      </c>
      <c r="L208" s="331">
        <f t="shared" si="6"/>
        <v>4331311.8231759034</v>
      </c>
      <c r="M208" s="244">
        <f>'M) Police'!O208</f>
        <v>251911.26327618468</v>
      </c>
      <c r="N208" s="244">
        <f t="shared" si="9"/>
        <v>4583223.0864520883</v>
      </c>
      <c r="P208" s="339"/>
    </row>
    <row r="209" spans="1:16" s="163" customFormat="1" x14ac:dyDescent="0.25">
      <c r="A209" s="160">
        <f>'B) D RI'!A210</f>
        <v>5731</v>
      </c>
      <c r="B209" s="161" t="str">
        <f>'B) D RI'!B210</f>
        <v>Le Vaud</v>
      </c>
      <c r="C209" s="334">
        <f>'B) D RI'!S210</f>
        <v>75</v>
      </c>
      <c r="D209" s="162">
        <f>'B) D RI'!AA210</f>
        <v>1283</v>
      </c>
      <c r="E209" s="332">
        <f>'D) Ecrêtage'!C208</f>
        <v>50829.361333333334</v>
      </c>
      <c r="F209" s="336">
        <f>'E) Fact soc'!G214</f>
        <v>984534.79538022692</v>
      </c>
      <c r="G209" s="333">
        <f>'H) Péréquation directe'!I219</f>
        <v>634904.13706636685</v>
      </c>
      <c r="H209" s="336">
        <f>+'I) Dépenses thématiques'!O208</f>
        <v>-109308.83199999999</v>
      </c>
      <c r="I209" s="333">
        <f>'K) Plafonnement aide'!J208</f>
        <v>0</v>
      </c>
      <c r="J209" s="336">
        <f>'J) Plafonnement effort'!I208</f>
        <v>0</v>
      </c>
      <c r="K209" s="333">
        <f>'L) Plafonnement taux'!Q209</f>
        <v>0</v>
      </c>
      <c r="L209" s="331">
        <f t="shared" si="6"/>
        <v>1510130.1004465939</v>
      </c>
      <c r="M209" s="244">
        <f>'M) Police'!O209</f>
        <v>161049.09585288572</v>
      </c>
      <c r="N209" s="244">
        <f t="shared" si="9"/>
        <v>1671179.1962994796</v>
      </c>
      <c r="P209" s="339"/>
    </row>
    <row r="210" spans="1:16" s="163" customFormat="1" x14ac:dyDescent="0.25">
      <c r="A210" s="160">
        <f>'B) D RI'!A211</f>
        <v>5732</v>
      </c>
      <c r="B210" s="161" t="str">
        <f>'B) D RI'!B211</f>
        <v>Vich</v>
      </c>
      <c r="C210" s="334">
        <f>'B) D RI'!S211</f>
        <v>68</v>
      </c>
      <c r="D210" s="162">
        <f>'B) D RI'!AA211</f>
        <v>1026</v>
      </c>
      <c r="E210" s="332">
        <f>'D) Ecrêtage'!C209</f>
        <v>61037.471029411761</v>
      </c>
      <c r="F210" s="336">
        <f>'E) Fact soc'!G215</f>
        <v>1499571.687181856</v>
      </c>
      <c r="G210" s="333">
        <f>'H) Péréquation directe'!I220</f>
        <v>1089016.5678947184</v>
      </c>
      <c r="H210" s="336">
        <f>+'I) Dépenses thématiques'!O209</f>
        <v>-778845.17382352939</v>
      </c>
      <c r="I210" s="333">
        <f>'K) Plafonnement aide'!J209</f>
        <v>0</v>
      </c>
      <c r="J210" s="336">
        <f>'J) Plafonnement effort'!I209</f>
        <v>0</v>
      </c>
      <c r="K210" s="333">
        <f>'L) Plafonnement taux'!Q210</f>
        <v>0</v>
      </c>
      <c r="L210" s="331">
        <f t="shared" si="6"/>
        <v>1809743.0812530448</v>
      </c>
      <c r="M210" s="244">
        <f>'M) Police'!O210</f>
        <v>165383.37103536329</v>
      </c>
      <c r="N210" s="244">
        <f t="shared" si="9"/>
        <v>1975126.4522884081</v>
      </c>
      <c r="P210" s="339"/>
    </row>
    <row r="211" spans="1:16" s="163" customFormat="1" x14ac:dyDescent="0.25">
      <c r="A211" s="160">
        <f>'B) D RI'!A212</f>
        <v>5741</v>
      </c>
      <c r="B211" s="161" t="str">
        <f>'B) D RI'!B212</f>
        <v>L'Abergement</v>
      </c>
      <c r="C211" s="334">
        <f>'B) D RI'!S212</f>
        <v>81</v>
      </c>
      <c r="D211" s="162">
        <f>'B) D RI'!AA212</f>
        <v>237</v>
      </c>
      <c r="E211" s="332">
        <f>'D) Ecrêtage'!C210</f>
        <v>6619.5511522633742</v>
      </c>
      <c r="F211" s="336">
        <f>'E) Fact soc'!G216</f>
        <v>136269.30453372482</v>
      </c>
      <c r="G211" s="333">
        <f>'H) Péréquation directe'!I221</f>
        <v>-3811.0826013796323</v>
      </c>
      <c r="H211" s="336">
        <f>+'I) Dépenses thématiques'!O210</f>
        <v>-89441.279722222214</v>
      </c>
      <c r="I211" s="333">
        <f>'K) Plafonnement aide'!J210</f>
        <v>0</v>
      </c>
      <c r="J211" s="336">
        <f>'J) Plafonnement effort'!I210</f>
        <v>0</v>
      </c>
      <c r="K211" s="333">
        <f>'L) Plafonnement taux'!Q211</f>
        <v>0</v>
      </c>
      <c r="L211" s="331">
        <f t="shared" si="6"/>
        <v>43016.942210122972</v>
      </c>
      <c r="M211" s="244">
        <f>'M) Police'!O211</f>
        <v>20924.616164385687</v>
      </c>
      <c r="N211" s="244">
        <f t="shared" si="9"/>
        <v>63941.558374508662</v>
      </c>
      <c r="P211" s="339"/>
    </row>
    <row r="212" spans="1:16" s="163" customFormat="1" x14ac:dyDescent="0.25">
      <c r="A212" s="160">
        <f>'B) D RI'!A213</f>
        <v>5742</v>
      </c>
      <c r="B212" s="161" t="str">
        <f>'B) D RI'!B213</f>
        <v>Agiez</v>
      </c>
      <c r="C212" s="334">
        <f>'B) D RI'!S213</f>
        <v>76</v>
      </c>
      <c r="D212" s="162">
        <f>'B) D RI'!AA213</f>
        <v>314</v>
      </c>
      <c r="E212" s="332">
        <f>'D) Ecrêtage'!C211</f>
        <v>9354.2819736842121</v>
      </c>
      <c r="F212" s="336">
        <f>'E) Fact soc'!G217</f>
        <v>184354.17384121992</v>
      </c>
      <c r="G212" s="333">
        <f>'H) Péréquation directe'!I222</f>
        <v>37031.78841072222</v>
      </c>
      <c r="H212" s="336">
        <f>+'I) Dépenses thématiques'!O211</f>
        <v>-12150.346677631569</v>
      </c>
      <c r="I212" s="333">
        <f>'K) Plafonnement aide'!J211</f>
        <v>0</v>
      </c>
      <c r="J212" s="336">
        <f>'J) Plafonnement effort'!I211</f>
        <v>0</v>
      </c>
      <c r="K212" s="333">
        <f>'L) Plafonnement taux'!Q212</f>
        <v>0</v>
      </c>
      <c r="L212" s="331">
        <f t="shared" si="6"/>
        <v>209235.61557431056</v>
      </c>
      <c r="M212" s="244">
        <f>'M) Police'!O212</f>
        <v>29599.393229868536</v>
      </c>
      <c r="N212" s="244">
        <f t="shared" si="9"/>
        <v>238835.00880417909</v>
      </c>
      <c r="P212" s="339"/>
    </row>
    <row r="213" spans="1:16" s="163" customFormat="1" x14ac:dyDescent="0.25">
      <c r="A213" s="160">
        <f>'B) D RI'!A214</f>
        <v>5743</v>
      </c>
      <c r="B213" s="161" t="str">
        <f>'B) D RI'!B214</f>
        <v>Arnex-sur-Orbe</v>
      </c>
      <c r="C213" s="334">
        <f>'B) D RI'!S214</f>
        <v>73</v>
      </c>
      <c r="D213" s="162">
        <f>'B) D RI'!AA214</f>
        <v>642</v>
      </c>
      <c r="E213" s="332">
        <f>'D) Ecrêtage'!C212</f>
        <v>17594.003904109592</v>
      </c>
      <c r="F213" s="336">
        <f>'E) Fact soc'!G218</f>
        <v>361919.08560947113</v>
      </c>
      <c r="G213" s="333">
        <f>'H) Péréquation directe'!I223</f>
        <v>30200.470577262167</v>
      </c>
      <c r="H213" s="336">
        <f>+'I) Dépenses thématiques'!O212</f>
        <v>-112222.47657534244</v>
      </c>
      <c r="I213" s="333">
        <f>'K) Plafonnement aide'!J212</f>
        <v>0</v>
      </c>
      <c r="J213" s="336">
        <f>'J) Plafonnement effort'!I212</f>
        <v>0</v>
      </c>
      <c r="K213" s="333">
        <f>'L) Plafonnement taux'!Q213</f>
        <v>0</v>
      </c>
      <c r="L213" s="331">
        <f t="shared" si="6"/>
        <v>279897.07961139083</v>
      </c>
      <c r="M213" s="244">
        <f>'M) Police'!O213</f>
        <v>55877.589809998695</v>
      </c>
      <c r="N213" s="244">
        <f t="shared" si="9"/>
        <v>335774.66942138952</v>
      </c>
      <c r="P213" s="339"/>
    </row>
    <row r="214" spans="1:16" s="163" customFormat="1" x14ac:dyDescent="0.25">
      <c r="A214" s="160">
        <f>'B) D RI'!A215</f>
        <v>5744</v>
      </c>
      <c r="B214" s="161" t="str">
        <f>'B) D RI'!B215</f>
        <v>Ballaigues</v>
      </c>
      <c r="C214" s="334">
        <f>'B) D RI'!S215</f>
        <v>66</v>
      </c>
      <c r="D214" s="162">
        <f>'B) D RI'!AA215</f>
        <v>1095</v>
      </c>
      <c r="E214" s="332">
        <f>'D) Ecrêtage'!C213</f>
        <v>49791.438333333339</v>
      </c>
      <c r="F214" s="336">
        <f>'E) Fact soc'!G219</f>
        <v>1248414.0925247436</v>
      </c>
      <c r="G214" s="333">
        <f>'H) Péréquation directe'!I224</f>
        <v>840099.60267402988</v>
      </c>
      <c r="H214" s="336">
        <f>+'I) Dépenses thématiques'!O213</f>
        <v>-379164.37</v>
      </c>
      <c r="I214" s="333">
        <f>'K) Plafonnement aide'!J213</f>
        <v>0</v>
      </c>
      <c r="J214" s="336">
        <f>'J) Plafonnement effort'!I213</f>
        <v>0</v>
      </c>
      <c r="K214" s="333">
        <f>'L) Plafonnement taux'!Q214</f>
        <v>0</v>
      </c>
      <c r="L214" s="331">
        <f t="shared" si="6"/>
        <v>1709349.3251987733</v>
      </c>
      <c r="M214" s="244">
        <f>'M) Police'!O214</f>
        <v>156585.02763147821</v>
      </c>
      <c r="N214" s="244">
        <f t="shared" si="9"/>
        <v>1865934.3528302514</v>
      </c>
      <c r="P214" s="339"/>
    </row>
    <row r="215" spans="1:16" s="163" customFormat="1" x14ac:dyDescent="0.25">
      <c r="A215" s="160">
        <f>'B) D RI'!A216</f>
        <v>5745</v>
      </c>
      <c r="B215" s="161" t="str">
        <f>'B) D RI'!B216</f>
        <v>Baulmes</v>
      </c>
      <c r="C215" s="334">
        <f>'B) D RI'!S216</f>
        <v>78</v>
      </c>
      <c r="D215" s="162">
        <f>'B) D RI'!AA216</f>
        <v>1053</v>
      </c>
      <c r="E215" s="332">
        <f>'D) Ecrêtage'!C214</f>
        <v>25375.775641025641</v>
      </c>
      <c r="F215" s="336">
        <f>'E) Fact soc'!G220</f>
        <v>493979.60794915608</v>
      </c>
      <c r="G215" s="333">
        <f>'H) Péréquation directe'!I225</f>
        <v>-172616.16456143011</v>
      </c>
      <c r="H215" s="336">
        <f>+'I) Dépenses thématiques'!O214</f>
        <v>-197226.76442307694</v>
      </c>
      <c r="I215" s="333">
        <f>'K) Plafonnement aide'!J214</f>
        <v>0</v>
      </c>
      <c r="J215" s="336">
        <f>'J) Plafonnement effort'!I214</f>
        <v>0</v>
      </c>
      <c r="K215" s="333">
        <f>'L) Plafonnement taux'!Q215</f>
        <v>0</v>
      </c>
      <c r="L215" s="331">
        <f t="shared" si="6"/>
        <v>124136.67896464904</v>
      </c>
      <c r="M215" s="244">
        <f>'M) Police'!O215</f>
        <v>80497.311215030961</v>
      </c>
      <c r="N215" s="244">
        <f t="shared" si="9"/>
        <v>204633.99017968</v>
      </c>
      <c r="P215" s="339"/>
    </row>
    <row r="216" spans="1:16" s="163" customFormat="1" x14ac:dyDescent="0.25">
      <c r="A216" s="160">
        <f>'B) D RI'!A217</f>
        <v>5746</v>
      </c>
      <c r="B216" s="161" t="str">
        <f>'B) D RI'!B217</f>
        <v>Bavois</v>
      </c>
      <c r="C216" s="334">
        <f>'B) D RI'!S217</f>
        <v>73</v>
      </c>
      <c r="D216" s="162">
        <f>'B) D RI'!AA217</f>
        <v>928</v>
      </c>
      <c r="E216" s="332">
        <f>'D) Ecrêtage'!C215</f>
        <v>25508.009041095891</v>
      </c>
      <c r="F216" s="336">
        <f>'E) Fact soc'!G221</f>
        <v>484579.36935321346</v>
      </c>
      <c r="G216" s="333">
        <f>'H) Péréquation directe'!I226</f>
        <v>46794.607623203192</v>
      </c>
      <c r="H216" s="336">
        <f>+'I) Dépenses thématiques'!O215</f>
        <v>-202397.18897260274</v>
      </c>
      <c r="I216" s="333">
        <f>'K) Plafonnement aide'!J215</f>
        <v>0</v>
      </c>
      <c r="J216" s="336">
        <f>'J) Plafonnement effort'!I215</f>
        <v>0</v>
      </c>
      <c r="K216" s="333">
        <f>'L) Plafonnement taux'!Q216</f>
        <v>0</v>
      </c>
      <c r="L216" s="331">
        <f t="shared" si="6"/>
        <v>328976.78800381394</v>
      </c>
      <c r="M216" s="244">
        <f>'M) Police'!O216</f>
        <v>79568.561922702313</v>
      </c>
      <c r="N216" s="244">
        <f t="shared" si="9"/>
        <v>408545.34992651624</v>
      </c>
      <c r="P216" s="339"/>
    </row>
    <row r="217" spans="1:16" s="163" customFormat="1" x14ac:dyDescent="0.25">
      <c r="A217" s="160">
        <f>'B) D RI'!A218</f>
        <v>5747</v>
      </c>
      <c r="B217" s="161" t="str">
        <f>'B) D RI'!B218</f>
        <v>Bofflens</v>
      </c>
      <c r="C217" s="334">
        <f>'B) D RI'!S218</f>
        <v>69</v>
      </c>
      <c r="D217" s="162">
        <f>'B) D RI'!AA218</f>
        <v>191</v>
      </c>
      <c r="E217" s="332">
        <f>'D) Ecrêtage'!C216</f>
        <v>5402.2208695652162</v>
      </c>
      <c r="F217" s="336">
        <f>'E) Fact soc'!G222</f>
        <v>85731.946844072532</v>
      </c>
      <c r="G217" s="333">
        <f>'H) Péréquation directe'!I227</f>
        <v>23218.877639168029</v>
      </c>
      <c r="H217" s="336">
        <f>+'I) Dépenses thématiques'!O216</f>
        <v>-6187.674782608703</v>
      </c>
      <c r="I217" s="333">
        <f>'K) Plafonnement aide'!J216</f>
        <v>0</v>
      </c>
      <c r="J217" s="336">
        <f>'J) Plafonnement effort'!I216</f>
        <v>0</v>
      </c>
      <c r="K217" s="333">
        <f>'L) Plafonnement taux'!Q217</f>
        <v>0</v>
      </c>
      <c r="L217" s="331">
        <f t="shared" si="6"/>
        <v>102763.14970063185</v>
      </c>
      <c r="M217" s="244">
        <f>'M) Police'!O217</f>
        <v>17029.945533396396</v>
      </c>
      <c r="N217" s="244">
        <f t="shared" si="9"/>
        <v>119793.09523402825</v>
      </c>
      <c r="P217" s="339"/>
    </row>
    <row r="218" spans="1:16" s="163" customFormat="1" x14ac:dyDescent="0.25">
      <c r="A218" s="160">
        <f>'B) D RI'!A219</f>
        <v>5748</v>
      </c>
      <c r="B218" s="161" t="str">
        <f>'B) D RI'!B219</f>
        <v>Bretonnières</v>
      </c>
      <c r="C218" s="334">
        <f>'B) D RI'!S219</f>
        <v>72</v>
      </c>
      <c r="D218" s="162">
        <f>'B) D RI'!AA219</f>
        <v>262</v>
      </c>
      <c r="E218" s="332">
        <f>'D) Ecrêtage'!C217</f>
        <v>7661.0479629629635</v>
      </c>
      <c r="F218" s="336">
        <f>'E) Fact soc'!G223</f>
        <v>229779.38873690442</v>
      </c>
      <c r="G218" s="333">
        <f>'H) Péréquation directe'!I228</f>
        <v>34567.486829332862</v>
      </c>
      <c r="H218" s="336">
        <f>+'I) Dépenses thématiques'!O217</f>
        <v>-43303.962222222217</v>
      </c>
      <c r="I218" s="333">
        <f>'K) Plafonnement aide'!J217</f>
        <v>0</v>
      </c>
      <c r="J218" s="336">
        <f>'J) Plafonnement effort'!I217</f>
        <v>0</v>
      </c>
      <c r="K218" s="333">
        <f>'L) Plafonnement taux'!Q218</f>
        <v>0</v>
      </c>
      <c r="L218" s="331">
        <f t="shared" si="6"/>
        <v>221042.91334401505</v>
      </c>
      <c r="M218" s="244">
        <f>'M) Police'!O218</f>
        <v>24220.711093709851</v>
      </c>
      <c r="N218" s="244">
        <f t="shared" si="9"/>
        <v>245263.62443772491</v>
      </c>
      <c r="P218" s="339"/>
    </row>
    <row r="219" spans="1:16" s="163" customFormat="1" x14ac:dyDescent="0.25">
      <c r="A219" s="160">
        <f>'B) D RI'!A220</f>
        <v>5749</v>
      </c>
      <c r="B219" s="161" t="str">
        <f>'B) D RI'!B220</f>
        <v>Chavornay</v>
      </c>
      <c r="C219" s="334">
        <f>'B) D RI'!S220</f>
        <v>72</v>
      </c>
      <c r="D219" s="162">
        <f>'B) D RI'!AA220</f>
        <v>4908</v>
      </c>
      <c r="E219" s="332">
        <f>'D) Ecrêtage'!C218</f>
        <v>134740.63065656566</v>
      </c>
      <c r="F219" s="336">
        <f>'E) Fact soc'!G224</f>
        <v>2560278.8663164536</v>
      </c>
      <c r="G219" s="333">
        <f>'H) Péréquation directe'!I229</f>
        <v>-860453.4555945606</v>
      </c>
      <c r="H219" s="336">
        <f>+'I) Dépenses thématiques'!O218</f>
        <v>-579260.49306818179</v>
      </c>
      <c r="I219" s="333">
        <f>'K) Plafonnement aide'!J218</f>
        <v>0</v>
      </c>
      <c r="J219" s="336">
        <f>'J) Plafonnement effort'!I218</f>
        <v>0</v>
      </c>
      <c r="K219" s="333">
        <f>'L) Plafonnement taux'!Q219</f>
        <v>0</v>
      </c>
      <c r="L219" s="331">
        <f t="shared" ref="L219" si="10">F219+G219+H219+I219+J219+K219</f>
        <v>1120564.917653711</v>
      </c>
      <c r="M219" s="244">
        <f>'M) Police'!O219</f>
        <v>422524.7650667571</v>
      </c>
      <c r="N219" s="244">
        <f t="shared" ref="N219" si="11">L219+M219</f>
        <v>1543089.6827204681</v>
      </c>
      <c r="P219" s="339"/>
    </row>
    <row r="220" spans="1:16" s="163" customFormat="1" x14ac:dyDescent="0.25">
      <c r="A220" s="160">
        <f>'B) D RI'!A221</f>
        <v>5750</v>
      </c>
      <c r="B220" s="161" t="str">
        <f>'B) D RI'!B221</f>
        <v>Les Clées</v>
      </c>
      <c r="C220" s="334">
        <f>'B) D RI'!S221</f>
        <v>80</v>
      </c>
      <c r="D220" s="162">
        <f>'B) D RI'!AA221</f>
        <v>181</v>
      </c>
      <c r="E220" s="332">
        <f>'D) Ecrêtage'!C219</f>
        <v>5020.8349583333338</v>
      </c>
      <c r="F220" s="336">
        <f>'E) Fact soc'!G225</f>
        <v>89580.313435661956</v>
      </c>
      <c r="G220" s="333">
        <f>'H) Péréquation directe'!I230</f>
        <v>-2478.994694300316</v>
      </c>
      <c r="H220" s="336">
        <f>+'I) Dépenses thématiques'!O219</f>
        <v>-8591.4902499999971</v>
      </c>
      <c r="I220" s="333">
        <f>'K) Plafonnement aide'!J219</f>
        <v>0</v>
      </c>
      <c r="J220" s="336">
        <f>'J) Plafonnement effort'!I219</f>
        <v>0</v>
      </c>
      <c r="K220" s="333">
        <f>'L) Plafonnement taux'!Q220</f>
        <v>0</v>
      </c>
      <c r="L220" s="331">
        <f t="shared" si="6"/>
        <v>78509.828491361637</v>
      </c>
      <c r="M220" s="244">
        <f>'M) Police'!O220</f>
        <v>16043.785009741274</v>
      </c>
      <c r="N220" s="244">
        <f t="shared" si="9"/>
        <v>94553.613501102911</v>
      </c>
      <c r="P220" s="339"/>
    </row>
    <row r="221" spans="1:16" s="163" customFormat="1" x14ac:dyDescent="0.25">
      <c r="A221" s="160">
        <f>'B) D RI'!A222</f>
        <v>5752</v>
      </c>
      <c r="B221" s="161" t="str">
        <f>'B) D RI'!B222</f>
        <v>Croy</v>
      </c>
      <c r="C221" s="334">
        <f>'B) D RI'!S222</f>
        <v>74</v>
      </c>
      <c r="D221" s="162">
        <f>'B) D RI'!AA222</f>
        <v>379</v>
      </c>
      <c r="E221" s="332">
        <f>'D) Ecrêtage'!C220</f>
        <v>11140.896486486487</v>
      </c>
      <c r="F221" s="336">
        <f>'E) Fact soc'!G226</f>
        <v>198367.19548325497</v>
      </c>
      <c r="G221" s="333">
        <f>'H) Péréquation directe'!I231</f>
        <v>45418.669451021764</v>
      </c>
      <c r="H221" s="336">
        <f>+'I) Dépenses thématiques'!O220</f>
        <v>-99434.121081081073</v>
      </c>
      <c r="I221" s="333">
        <f>'K) Plafonnement aide'!J220</f>
        <v>0</v>
      </c>
      <c r="J221" s="336">
        <f>'J) Plafonnement effort'!I220</f>
        <v>0</v>
      </c>
      <c r="K221" s="333">
        <f>'L) Plafonnement taux'!Q221</f>
        <v>0</v>
      </c>
      <c r="L221" s="331">
        <f t="shared" ref="L221:L265" si="12">F221+G221+H221+I221+J221+K221</f>
        <v>144351.74385319566</v>
      </c>
      <c r="M221" s="244">
        <f>'M) Police'!O221</f>
        <v>35451.412099482062</v>
      </c>
      <c r="N221" s="244">
        <f t="shared" si="9"/>
        <v>179803.15595267771</v>
      </c>
      <c r="P221" s="339"/>
    </row>
    <row r="222" spans="1:16" s="163" customFormat="1" x14ac:dyDescent="0.25">
      <c r="A222" s="160">
        <f>'B) D RI'!A223</f>
        <v>5754</v>
      </c>
      <c r="B222" s="161" t="str">
        <f>'B) D RI'!B223</f>
        <v>Juriens</v>
      </c>
      <c r="C222" s="334">
        <f>'B) D RI'!S223</f>
        <v>79</v>
      </c>
      <c r="D222" s="162">
        <f>'B) D RI'!AA223</f>
        <v>309</v>
      </c>
      <c r="E222" s="332">
        <f>'D) Ecrêtage'!C221</f>
        <v>8138.4883785546344</v>
      </c>
      <c r="F222" s="336">
        <f>'E) Fact soc'!G227</f>
        <v>132948.00919361884</v>
      </c>
      <c r="G222" s="333">
        <f>'H) Péréquation directe'!I232</f>
        <v>-20234.826880305482</v>
      </c>
      <c r="H222" s="336">
        <f>+'I) Dépenses thématiques'!O221</f>
        <v>-58249.203444756218</v>
      </c>
      <c r="I222" s="333">
        <f>'K) Plafonnement aide'!J221</f>
        <v>0</v>
      </c>
      <c r="J222" s="336">
        <f>'J) Plafonnement effort'!I221</f>
        <v>0</v>
      </c>
      <c r="K222" s="333">
        <f>'L) Plafonnement taux'!Q222</f>
        <v>0</v>
      </c>
      <c r="L222" s="331">
        <f t="shared" si="12"/>
        <v>54463.97886855714</v>
      </c>
      <c r="M222" s="244">
        <f>'M) Police'!O222</f>
        <v>25906.193604358283</v>
      </c>
      <c r="N222" s="244">
        <f t="shared" si="9"/>
        <v>80370.172472915423</v>
      </c>
      <c r="P222" s="339"/>
    </row>
    <row r="223" spans="1:16" s="163" customFormat="1" x14ac:dyDescent="0.25">
      <c r="A223" s="160">
        <f>'B) D RI'!A224</f>
        <v>5755</v>
      </c>
      <c r="B223" s="161" t="str">
        <f>'B) D RI'!B224</f>
        <v>Lignerolle</v>
      </c>
      <c r="C223" s="334">
        <f>'B) D RI'!S224</f>
        <v>80</v>
      </c>
      <c r="D223" s="162">
        <f>'B) D RI'!AA224</f>
        <v>417</v>
      </c>
      <c r="E223" s="332">
        <f>'D) Ecrêtage'!C222</f>
        <v>9320.3381401087972</v>
      </c>
      <c r="F223" s="336">
        <f>'E) Fact soc'!G228</f>
        <v>170423.16520237137</v>
      </c>
      <c r="G223" s="333">
        <f>'H) Péréquation directe'!I233</f>
        <v>-107920.27470132272</v>
      </c>
      <c r="H223" s="336">
        <f>+'I) Dépenses thématiques'!O222</f>
        <v>-179360.21755426563</v>
      </c>
      <c r="I223" s="333">
        <f>'K) Plafonnement aide'!J222</f>
        <v>0</v>
      </c>
      <c r="J223" s="336">
        <f>'J) Plafonnement effort'!I222</f>
        <v>0</v>
      </c>
      <c r="K223" s="333">
        <f>'L) Plafonnement taux'!Q223</f>
        <v>0</v>
      </c>
      <c r="L223" s="331">
        <f t="shared" si="12"/>
        <v>-116857.32705321698</v>
      </c>
      <c r="M223" s="244">
        <f>'M) Police'!O223</f>
        <v>29250.780046498643</v>
      </c>
      <c r="N223" s="244">
        <f t="shared" si="9"/>
        <v>-87606.547006718349</v>
      </c>
      <c r="P223" s="339"/>
    </row>
    <row r="224" spans="1:16" s="163" customFormat="1" x14ac:dyDescent="0.25">
      <c r="A224" s="160">
        <f>'B) D RI'!A225</f>
        <v>5756</v>
      </c>
      <c r="B224" s="161" t="str">
        <f>'B) D RI'!B225</f>
        <v>Montcherand</v>
      </c>
      <c r="C224" s="334">
        <f>'B) D RI'!S225</f>
        <v>72</v>
      </c>
      <c r="D224" s="162">
        <f>'B) D RI'!AA225</f>
        <v>482</v>
      </c>
      <c r="E224" s="332">
        <f>'D) Ecrêtage'!C223</f>
        <v>18436.632028742581</v>
      </c>
      <c r="F224" s="336">
        <f>'E) Fact soc'!G229</f>
        <v>314846.12390704616</v>
      </c>
      <c r="G224" s="333">
        <f>'H) Péréquation directe'!I234</f>
        <v>240107.71682013955</v>
      </c>
      <c r="H224" s="336">
        <f>+'I) Dépenses thématiques'!O223</f>
        <v>-41265.707827544516</v>
      </c>
      <c r="I224" s="333">
        <f>'K) Plafonnement aide'!J223</f>
        <v>0</v>
      </c>
      <c r="J224" s="336">
        <f>'J) Plafonnement effort'!I223</f>
        <v>0</v>
      </c>
      <c r="K224" s="333">
        <f>'L) Plafonnement taux'!Q224</f>
        <v>0</v>
      </c>
      <c r="L224" s="331">
        <f t="shared" si="12"/>
        <v>513688.13289964118</v>
      </c>
      <c r="M224" s="244">
        <f>'M) Police'!O224</f>
        <v>23924.934580159614</v>
      </c>
      <c r="N224" s="244">
        <f t="shared" si="9"/>
        <v>537613.06747980078</v>
      </c>
      <c r="P224" s="339"/>
    </row>
    <row r="225" spans="1:16" s="163" customFormat="1" x14ac:dyDescent="0.25">
      <c r="A225" s="160">
        <f>'B) D RI'!A226</f>
        <v>5757</v>
      </c>
      <c r="B225" s="161" t="str">
        <f>'B) D RI'!B226</f>
        <v>Orbe</v>
      </c>
      <c r="C225" s="334">
        <f>'B) D RI'!S226</f>
        <v>77</v>
      </c>
      <c r="D225" s="162">
        <f>'B) D RI'!AA226</f>
        <v>6985</v>
      </c>
      <c r="E225" s="332">
        <f>'D) Ecrêtage'!C224</f>
        <v>195350.61852415255</v>
      </c>
      <c r="F225" s="336">
        <f>'E) Fact soc'!G230</f>
        <v>4310704.1591748865</v>
      </c>
      <c r="G225" s="333">
        <f>'H) Péréquation directe'!I235</f>
        <v>-1914370.8647345128</v>
      </c>
      <c r="H225" s="336">
        <f>+'I) Dépenses thématiques'!O224</f>
        <v>-1670162.2888550847</v>
      </c>
      <c r="I225" s="333">
        <f>'K) Plafonnement aide'!J224</f>
        <v>0</v>
      </c>
      <c r="J225" s="336">
        <f>'J) Plafonnement effort'!I224</f>
        <v>0</v>
      </c>
      <c r="K225" s="333">
        <f>'L) Plafonnement taux'!Q225</f>
        <v>0</v>
      </c>
      <c r="L225" s="331">
        <f t="shared" si="12"/>
        <v>726171.00558528909</v>
      </c>
      <c r="M225" s="244">
        <f>'M) Police'!O225</f>
        <v>253503.50113283825</v>
      </c>
      <c r="N225" s="244">
        <f t="shared" si="9"/>
        <v>979674.50671812729</v>
      </c>
      <c r="P225" s="339"/>
    </row>
    <row r="226" spans="1:16" s="163" customFormat="1" x14ac:dyDescent="0.25">
      <c r="A226" s="160">
        <f>'B) D RI'!A227</f>
        <v>5758</v>
      </c>
      <c r="B226" s="161" t="str">
        <f>'B) D RI'!B227</f>
        <v>La Praz</v>
      </c>
      <c r="C226" s="334">
        <f>'B) D RI'!S227</f>
        <v>83</v>
      </c>
      <c r="D226" s="162">
        <f>'B) D RI'!AA227</f>
        <v>160</v>
      </c>
      <c r="E226" s="332">
        <f>'D) Ecrêtage'!C225</f>
        <v>3217.0835405215335</v>
      </c>
      <c r="F226" s="336">
        <f>'E) Fact soc'!G231</f>
        <v>77137.152092210687</v>
      </c>
      <c r="G226" s="333">
        <f>'H) Péréquation directe'!I236</f>
        <v>-65562.237970830611</v>
      </c>
      <c r="H226" s="336">
        <f>+'I) Dépenses thématiques'!O225</f>
        <v>-20182.748756870798</v>
      </c>
      <c r="I226" s="333">
        <f>'K) Plafonnement aide'!J225</f>
        <v>0</v>
      </c>
      <c r="J226" s="336">
        <f>'J) Plafonnement effort'!I225</f>
        <v>0</v>
      </c>
      <c r="K226" s="333">
        <f>'L) Plafonnement taux'!Q226</f>
        <v>0</v>
      </c>
      <c r="L226" s="331">
        <f t="shared" si="12"/>
        <v>-8607.8346354907226</v>
      </c>
      <c r="M226" s="244">
        <f>'M) Police'!O226</f>
        <v>10045.72624081546</v>
      </c>
      <c r="N226" s="244">
        <f t="shared" si="9"/>
        <v>1437.8916053247376</v>
      </c>
      <c r="P226" s="339"/>
    </row>
    <row r="227" spans="1:16" s="163" customFormat="1" x14ac:dyDescent="0.25">
      <c r="A227" s="160">
        <f>'B) D RI'!A228</f>
        <v>5759</v>
      </c>
      <c r="B227" s="161" t="str">
        <f>'B) D RI'!B228</f>
        <v>Premier</v>
      </c>
      <c r="C227" s="334">
        <f>'B) D RI'!S228</f>
        <v>81</v>
      </c>
      <c r="D227" s="162">
        <f>'B) D RI'!AA228</f>
        <v>210</v>
      </c>
      <c r="E227" s="332">
        <f>'D) Ecrêtage'!C226</f>
        <v>4730.0976887452725</v>
      </c>
      <c r="F227" s="336">
        <f>'E) Fact soc'!G232</f>
        <v>94133.263274328579</v>
      </c>
      <c r="G227" s="333">
        <f>'H) Péréquation directe'!I237</f>
        <v>-55746.972140489204</v>
      </c>
      <c r="H227" s="336">
        <f>+'I) Dépenses thématiques'!O226</f>
        <v>-31085.340600969412</v>
      </c>
      <c r="I227" s="333">
        <f>'K) Plafonnement aide'!J226</f>
        <v>0</v>
      </c>
      <c r="J227" s="336">
        <f>'J) Plafonnement effort'!I226</f>
        <v>0</v>
      </c>
      <c r="K227" s="333">
        <f>'L) Plafonnement taux'!Q227</f>
        <v>0</v>
      </c>
      <c r="L227" s="331">
        <f t="shared" si="12"/>
        <v>7300.9505328699634</v>
      </c>
      <c r="M227" s="244">
        <f>'M) Police'!O227</f>
        <v>14955.169357602193</v>
      </c>
      <c r="N227" s="244">
        <f t="shared" si="9"/>
        <v>22256.119890472157</v>
      </c>
      <c r="P227" s="339"/>
    </row>
    <row r="228" spans="1:16" s="163" customFormat="1" x14ac:dyDescent="0.25">
      <c r="A228" s="160">
        <f>'B) D RI'!A229</f>
        <v>5760</v>
      </c>
      <c r="B228" s="161" t="str">
        <f>'B) D RI'!B229</f>
        <v>Rances</v>
      </c>
      <c r="C228" s="334">
        <f>'B) D RI'!S229</f>
        <v>78</v>
      </c>
      <c r="D228" s="162">
        <f>'B) D RI'!AA229</f>
        <v>485</v>
      </c>
      <c r="E228" s="332">
        <f>'D) Ecrêtage'!C227</f>
        <v>10427.733324716695</v>
      </c>
      <c r="F228" s="336">
        <f>'E) Fact soc'!G233</f>
        <v>187757.81825780973</v>
      </c>
      <c r="G228" s="333">
        <f>'H) Péréquation directe'!I238</f>
        <v>-129810.33561838965</v>
      </c>
      <c r="H228" s="336">
        <f>+'I) Dépenses thématiques'!O227</f>
        <v>-256665.30005816231</v>
      </c>
      <c r="I228" s="333">
        <f>'K) Plafonnement aide'!J227</f>
        <v>0</v>
      </c>
      <c r="J228" s="336">
        <f>'J) Plafonnement effort'!I227</f>
        <v>0</v>
      </c>
      <c r="K228" s="333">
        <f>'L) Plafonnement taux'!Q228</f>
        <v>0</v>
      </c>
      <c r="L228" s="331">
        <f t="shared" si="12"/>
        <v>-198717.81741874223</v>
      </c>
      <c r="M228" s="244">
        <f>'M) Police'!O228</f>
        <v>32683.860847015843</v>
      </c>
      <c r="N228" s="244">
        <f t="shared" si="9"/>
        <v>-166033.95657172639</v>
      </c>
      <c r="P228" s="339"/>
    </row>
    <row r="229" spans="1:16" s="163" customFormat="1" x14ac:dyDescent="0.25">
      <c r="A229" s="160">
        <f>'B) D RI'!A230</f>
        <v>5761</v>
      </c>
      <c r="B229" s="161" t="str">
        <f>'B) D RI'!B230</f>
        <v>Romainmôtier-Envy</v>
      </c>
      <c r="C229" s="334">
        <f>'B) D RI'!S230</f>
        <v>81</v>
      </c>
      <c r="D229" s="162">
        <f>'B) D RI'!AA230</f>
        <v>551</v>
      </c>
      <c r="E229" s="332">
        <f>'D) Ecrêtage'!C228</f>
        <v>12825.466828901401</v>
      </c>
      <c r="F229" s="336">
        <f>'E) Fact soc'!G234</f>
        <v>260522.60109633056</v>
      </c>
      <c r="G229" s="333">
        <f>'H) Péréquation directe'!I239</f>
        <v>-127145.27747491412</v>
      </c>
      <c r="H229" s="336">
        <f>+'I) Dépenses thématiques'!O228</f>
        <v>-79784.098904915547</v>
      </c>
      <c r="I229" s="333">
        <f>'K) Plafonnement aide'!J228</f>
        <v>0</v>
      </c>
      <c r="J229" s="336">
        <f>'J) Plafonnement effort'!I228</f>
        <v>0</v>
      </c>
      <c r="K229" s="333">
        <f>'L) Plafonnement taux'!Q229</f>
        <v>0</v>
      </c>
      <c r="L229" s="331">
        <f t="shared" si="12"/>
        <v>53593.224716500888</v>
      </c>
      <c r="M229" s="244">
        <f>'M) Police'!O229</f>
        <v>40335.877103319915</v>
      </c>
      <c r="N229" s="244">
        <f t="shared" si="9"/>
        <v>93929.101819820804</v>
      </c>
      <c r="P229" s="339"/>
    </row>
    <row r="230" spans="1:16" s="163" customFormat="1" x14ac:dyDescent="0.25">
      <c r="A230" s="160">
        <f>'B) D RI'!A231</f>
        <v>5762</v>
      </c>
      <c r="B230" s="161" t="str">
        <f>'B) D RI'!B231</f>
        <v>Sergey</v>
      </c>
      <c r="C230" s="334">
        <f>'B) D RI'!S231</f>
        <v>78</v>
      </c>
      <c r="D230" s="162">
        <f>'B) D RI'!AA231</f>
        <v>137</v>
      </c>
      <c r="E230" s="332">
        <f>'D) Ecrêtage'!C229</f>
        <v>3985.6390801086227</v>
      </c>
      <c r="F230" s="336">
        <f>'E) Fact soc'!G235</f>
        <v>66077.673805066632</v>
      </c>
      <c r="G230" s="333">
        <f>'H) Péréquation directe'!I240</f>
        <v>9333.3896958358382</v>
      </c>
      <c r="H230" s="336">
        <f>+'I) Dépenses thématiques'!O229</f>
        <v>-1705.770689918533</v>
      </c>
      <c r="I230" s="333">
        <f>'K) Plafonnement aide'!J229</f>
        <v>0</v>
      </c>
      <c r="J230" s="336">
        <f>'J) Plafonnement effort'!I229</f>
        <v>0</v>
      </c>
      <c r="K230" s="333">
        <f>'L) Plafonnement taux'!Q230</f>
        <v>0</v>
      </c>
      <c r="L230" s="331">
        <f t="shared" si="12"/>
        <v>73705.292810983941</v>
      </c>
      <c r="M230" s="244">
        <f>'M) Police'!O230</f>
        <v>12665.350088652012</v>
      </c>
      <c r="N230" s="244">
        <f t="shared" si="9"/>
        <v>86370.642899635946</v>
      </c>
      <c r="P230" s="339"/>
    </row>
    <row r="231" spans="1:16" s="163" customFormat="1" x14ac:dyDescent="0.25">
      <c r="A231" s="160">
        <f>'B) D RI'!A232</f>
        <v>5763</v>
      </c>
      <c r="B231" s="161" t="str">
        <f>'B) D RI'!B232</f>
        <v>Valeyres-sous-Rances</v>
      </c>
      <c r="C231" s="334">
        <f>'B) D RI'!S232</f>
        <v>65</v>
      </c>
      <c r="D231" s="162">
        <f>'B) D RI'!AA232</f>
        <v>631</v>
      </c>
      <c r="E231" s="332">
        <f>'D) Ecrêtage'!C230</f>
        <v>20114.818063776223</v>
      </c>
      <c r="F231" s="336">
        <f>'E) Fact soc'!G236</f>
        <v>355721.38961096347</v>
      </c>
      <c r="G231" s="333">
        <f>'H) Péréquation directe'!I241</f>
        <v>183026.50353873844</v>
      </c>
      <c r="H231" s="336">
        <f>+'I) Dépenses thématiques'!O230</f>
        <v>-120862.2280695105</v>
      </c>
      <c r="I231" s="333">
        <f>'K) Plafonnement aide'!J230</f>
        <v>0</v>
      </c>
      <c r="J231" s="336">
        <f>'J) Plafonnement effort'!I230</f>
        <v>0</v>
      </c>
      <c r="K231" s="333">
        <f>'L) Plafonnement taux'!Q231</f>
        <v>0</v>
      </c>
      <c r="L231" s="331">
        <f t="shared" si="12"/>
        <v>417885.66508019139</v>
      </c>
      <c r="M231" s="244">
        <f>'M) Police'!O231</f>
        <v>63581.910060234877</v>
      </c>
      <c r="N231" s="244">
        <f t="shared" si="9"/>
        <v>481467.57514042628</v>
      </c>
      <c r="P231" s="339"/>
    </row>
    <row r="232" spans="1:16" s="163" customFormat="1" x14ac:dyDescent="0.25">
      <c r="A232" s="160">
        <f>'B) D RI'!A233</f>
        <v>5764</v>
      </c>
      <c r="B232" s="161" t="str">
        <f>'B) D RI'!B233</f>
        <v>Vallorbe</v>
      </c>
      <c r="C232" s="334">
        <f>'B) D RI'!S233</f>
        <v>73</v>
      </c>
      <c r="D232" s="162">
        <f>'B) D RI'!AA233</f>
        <v>3851</v>
      </c>
      <c r="E232" s="332">
        <f>'D) Ecrêtage'!C231</f>
        <v>81234.457849579077</v>
      </c>
      <c r="F232" s="336">
        <f>'E) Fact soc'!G237</f>
        <v>2062750.9270199342</v>
      </c>
      <c r="G232" s="333">
        <f>'H) Péréquation directe'!I242</f>
        <v>-1580512.7849136046</v>
      </c>
      <c r="H232" s="336">
        <f>+'I) Dépenses thématiques'!O231</f>
        <v>-2109489.6595153413</v>
      </c>
      <c r="I232" s="333">
        <f>'K) Plafonnement aide'!J231</f>
        <v>0</v>
      </c>
      <c r="J232" s="336">
        <f>'J) Plafonnement effort'!I231</f>
        <v>0</v>
      </c>
      <c r="K232" s="333">
        <f>'L) Plafonnement taux'!Q232</f>
        <v>0</v>
      </c>
      <c r="L232" s="331">
        <f t="shared" si="12"/>
        <v>-1627251.5174090117</v>
      </c>
      <c r="M232" s="244">
        <f>'M) Police'!O232</f>
        <v>256133.56119384133</v>
      </c>
      <c r="N232" s="244">
        <f t="shared" si="9"/>
        <v>-1371117.9562151704</v>
      </c>
      <c r="P232" s="339"/>
    </row>
    <row r="233" spans="1:16" s="163" customFormat="1" x14ac:dyDescent="0.25">
      <c r="A233" s="160">
        <f>'B) D RI'!A234</f>
        <v>5765</v>
      </c>
      <c r="B233" s="161" t="str">
        <f>'B) D RI'!B234</f>
        <v>Vaulion</v>
      </c>
      <c r="C233" s="334">
        <f>'B) D RI'!S234</f>
        <v>81</v>
      </c>
      <c r="D233" s="162">
        <f>'B) D RI'!AA234</f>
        <v>482</v>
      </c>
      <c r="E233" s="332">
        <f>'D) Ecrêtage'!C232</f>
        <v>9570.1875488405149</v>
      </c>
      <c r="F233" s="336">
        <f>'E) Fact soc'!G238</f>
        <v>175008.82158023451</v>
      </c>
      <c r="G233" s="333">
        <f>'H) Péréquation directe'!I243</f>
        <v>-187296.47902418184</v>
      </c>
      <c r="H233" s="336">
        <f>+'I) Dépenses thématiques'!O232</f>
        <v>-174567.23404532654</v>
      </c>
      <c r="I233" s="333">
        <f>'K) Plafonnement aide'!J232</f>
        <v>0</v>
      </c>
      <c r="J233" s="336">
        <f>'J) Plafonnement effort'!I232</f>
        <v>0</v>
      </c>
      <c r="K233" s="333">
        <f>'L) Plafonnement taux'!Q233</f>
        <v>0</v>
      </c>
      <c r="L233" s="331">
        <f t="shared" si="12"/>
        <v>-186854.89148927387</v>
      </c>
      <c r="M233" s="244">
        <f>'M) Police'!O233</f>
        <v>30148.754507767451</v>
      </c>
      <c r="N233" s="244">
        <f t="shared" si="9"/>
        <v>-156706.13698150642</v>
      </c>
      <c r="P233" s="339"/>
    </row>
    <row r="234" spans="1:16" s="163" customFormat="1" x14ac:dyDescent="0.25">
      <c r="A234" s="160">
        <f>'B) D RI'!A235</f>
        <v>5766</v>
      </c>
      <c r="B234" s="161" t="str">
        <f>'B) D RI'!B235</f>
        <v>Vuiteboeuf</v>
      </c>
      <c r="C234" s="334">
        <f>'B) D RI'!S235</f>
        <v>77</v>
      </c>
      <c r="D234" s="162">
        <f>'B) D RI'!AA235</f>
        <v>574</v>
      </c>
      <c r="E234" s="332">
        <f>'D) Ecrêtage'!C233</f>
        <v>12893.801548266167</v>
      </c>
      <c r="F234" s="336">
        <f>'E) Fact soc'!G239</f>
        <v>249121.48614509392</v>
      </c>
      <c r="G234" s="333">
        <f>'H) Péréquation directe'!I244</f>
        <v>-121134.13555066744</v>
      </c>
      <c r="H234" s="336">
        <f>+'I) Dépenses thématiques'!O233</f>
        <v>-90699.589549203374</v>
      </c>
      <c r="I234" s="333">
        <f>'K) Plafonnement aide'!J233</f>
        <v>0</v>
      </c>
      <c r="J234" s="336">
        <f>'J) Plafonnement effort'!I233</f>
        <v>0</v>
      </c>
      <c r="K234" s="333">
        <f>'L) Plafonnement taux'!Q234</f>
        <v>0</v>
      </c>
      <c r="L234" s="331">
        <f t="shared" si="12"/>
        <v>37287.761045223102</v>
      </c>
      <c r="M234" s="244">
        <f>'M) Police'!O234</f>
        <v>40580.3110653888</v>
      </c>
      <c r="N234" s="244">
        <f t="shared" si="9"/>
        <v>77868.072110611902</v>
      </c>
      <c r="P234" s="339"/>
    </row>
    <row r="235" spans="1:16" s="163" customFormat="1" x14ac:dyDescent="0.25">
      <c r="A235" s="160">
        <f>'B) D RI'!A236</f>
        <v>5785</v>
      </c>
      <c r="B235" s="161" t="str">
        <f>'B) D RI'!B236</f>
        <v>Corcelles-le-Jorat</v>
      </c>
      <c r="C235" s="334">
        <f>'B) D RI'!S236</f>
        <v>77</v>
      </c>
      <c r="D235" s="162">
        <f>'B) D RI'!AA236</f>
        <v>460</v>
      </c>
      <c r="E235" s="332">
        <f>'D) Ecrêtage'!C234</f>
        <v>15470.207510777882</v>
      </c>
      <c r="F235" s="336">
        <f>'E) Fact soc'!G240</f>
        <v>279746.82579684327</v>
      </c>
      <c r="G235" s="333">
        <f>'H) Péréquation directe'!I245</f>
        <v>126967.76948039641</v>
      </c>
      <c r="H235" s="336">
        <f>+'I) Dépenses thématiques'!O234</f>
        <v>-4314.2549353327086</v>
      </c>
      <c r="I235" s="333">
        <f>'K) Plafonnement aide'!J234</f>
        <v>0</v>
      </c>
      <c r="J235" s="336">
        <f>'J) Plafonnement effort'!I234</f>
        <v>0</v>
      </c>
      <c r="K235" s="333">
        <f>'L) Plafonnement taux'!Q235</f>
        <v>0</v>
      </c>
      <c r="L235" s="331">
        <f t="shared" si="12"/>
        <v>402400.34034190699</v>
      </c>
      <c r="M235" s="244">
        <f>'M) Police'!O235</f>
        <v>49269.512760635203</v>
      </c>
      <c r="N235" s="244">
        <f t="shared" si="9"/>
        <v>451669.85310254223</v>
      </c>
      <c r="P235" s="339"/>
    </row>
    <row r="236" spans="1:16" s="163" customFormat="1" x14ac:dyDescent="0.25">
      <c r="A236" s="160">
        <f>'B) D RI'!A237</f>
        <v>5788</v>
      </c>
      <c r="B236" s="161" t="str">
        <f>'B) D RI'!B237</f>
        <v>Essertes</v>
      </c>
      <c r="C236" s="334">
        <f>'B) D RI'!S237</f>
        <v>72</v>
      </c>
      <c r="D236" s="162">
        <f>'B) D RI'!AA237</f>
        <v>346</v>
      </c>
      <c r="E236" s="332">
        <f>'D) Ecrêtage'!C235</f>
        <v>11538.273586899442</v>
      </c>
      <c r="F236" s="336">
        <f>'E) Fact soc'!G241</f>
        <v>243849.04858709103</v>
      </c>
      <c r="G236" s="333">
        <f>'H) Péréquation directe'!I246</f>
        <v>103409.62772775847</v>
      </c>
      <c r="H236" s="336">
        <f>+'I) Dépenses thématiques'!O235</f>
        <v>-15929.108478603346</v>
      </c>
      <c r="I236" s="333">
        <f>'K) Plafonnement aide'!J235</f>
        <v>0</v>
      </c>
      <c r="J236" s="336">
        <f>'J) Plafonnement effort'!I235</f>
        <v>0</v>
      </c>
      <c r="K236" s="333">
        <f>'L) Plafonnement taux'!Q236</f>
        <v>0</v>
      </c>
      <c r="L236" s="331">
        <f t="shared" si="12"/>
        <v>331329.56783624616</v>
      </c>
      <c r="M236" s="244">
        <f>'M) Police'!O236</f>
        <v>36467.353930521895</v>
      </c>
      <c r="N236" s="244">
        <f t="shared" si="9"/>
        <v>367796.92176676804</v>
      </c>
      <c r="P236" s="339"/>
    </row>
    <row r="237" spans="1:16" s="163" customFormat="1" x14ac:dyDescent="0.25">
      <c r="A237" s="160">
        <f>'B) D RI'!A238</f>
        <v>5790</v>
      </c>
      <c r="B237" s="161" t="str">
        <f>'B) D RI'!B238</f>
        <v>Maracon</v>
      </c>
      <c r="C237" s="334">
        <f>'B) D RI'!S238</f>
        <v>76</v>
      </c>
      <c r="D237" s="162">
        <f>'B) D RI'!AA238</f>
        <v>477</v>
      </c>
      <c r="E237" s="332">
        <f>'D) Ecrêtage'!C236</f>
        <v>12104.202592846941</v>
      </c>
      <c r="F237" s="336">
        <f>'E) Fact soc'!G242</f>
        <v>246653.96995774203</v>
      </c>
      <c r="G237" s="333">
        <f>'H) Péréquation directe'!I247</f>
        <v>-34307.708356979652</v>
      </c>
      <c r="H237" s="336">
        <f>+'I) Dépenses thématiques'!O236</f>
        <v>-117417.28444291835</v>
      </c>
      <c r="I237" s="333">
        <f>'K) Plafonnement aide'!J236</f>
        <v>0</v>
      </c>
      <c r="J237" s="336">
        <f>'J) Plafonnement effort'!I236</f>
        <v>0</v>
      </c>
      <c r="K237" s="333">
        <f>'L) Plafonnement taux'!Q237</f>
        <v>0</v>
      </c>
      <c r="L237" s="331">
        <f t="shared" si="12"/>
        <v>94928.977157844027</v>
      </c>
      <c r="M237" s="244">
        <f>'M) Police'!O237</f>
        <v>37949.028747730576</v>
      </c>
      <c r="N237" s="244">
        <f t="shared" si="9"/>
        <v>132878.0059055746</v>
      </c>
      <c r="P237" s="339"/>
    </row>
    <row r="238" spans="1:16" s="163" customFormat="1" x14ac:dyDescent="0.25">
      <c r="A238" s="160">
        <f>'B) D RI'!A239</f>
        <v>5792</v>
      </c>
      <c r="B238" s="161" t="str">
        <f>'B) D RI'!B239</f>
        <v>Montpreveyres</v>
      </c>
      <c r="C238" s="334">
        <f>'B) D RI'!S239</f>
        <v>77</v>
      </c>
      <c r="D238" s="162">
        <f>'B) D RI'!AA239</f>
        <v>648</v>
      </c>
      <c r="E238" s="332">
        <f>'D) Ecrêtage'!C237</f>
        <v>17389.927760878301</v>
      </c>
      <c r="F238" s="336">
        <f>'E) Fact soc'!G243</f>
        <v>335479.55598205299</v>
      </c>
      <c r="G238" s="333">
        <f>'H) Péréquation directe'!I248</f>
        <v>-13160.179780889826</v>
      </c>
      <c r="H238" s="336">
        <f>+'I) Dépenses thématiques'!O237</f>
        <v>-96098.683434730192</v>
      </c>
      <c r="I238" s="333">
        <f>'K) Plafonnement aide'!J237</f>
        <v>0</v>
      </c>
      <c r="J238" s="336">
        <f>'J) Plafonnement effort'!I237</f>
        <v>0</v>
      </c>
      <c r="K238" s="333">
        <f>'L) Plafonnement taux'!Q238</f>
        <v>0</v>
      </c>
      <c r="L238" s="331">
        <f t="shared" si="12"/>
        <v>226220.69276643297</v>
      </c>
      <c r="M238" s="244">
        <f>'M) Police'!O238</f>
        <v>54671.146081082974</v>
      </c>
      <c r="N238" s="244">
        <f t="shared" si="9"/>
        <v>280891.83884751593</v>
      </c>
      <c r="P238" s="339"/>
    </row>
    <row r="239" spans="1:16" s="163" customFormat="1" x14ac:dyDescent="0.25">
      <c r="A239" s="160">
        <f>'B) D RI'!A240</f>
        <v>5798</v>
      </c>
      <c r="B239" s="161" t="str">
        <f>'B) D RI'!B240</f>
        <v>Ropraz</v>
      </c>
      <c r="C239" s="334">
        <f>'B) D RI'!S240</f>
        <v>77.5</v>
      </c>
      <c r="D239" s="162">
        <f>'B) D RI'!AA240</f>
        <v>450</v>
      </c>
      <c r="E239" s="332">
        <f>'D) Ecrêtage'!C238</f>
        <v>13992.205782654681</v>
      </c>
      <c r="F239" s="336">
        <f>'E) Fact soc'!G244</f>
        <v>273840.0214546771</v>
      </c>
      <c r="G239" s="333">
        <f>'H) Péréquation directe'!I249</f>
        <v>72461.223907666077</v>
      </c>
      <c r="H239" s="336">
        <f>+'I) Dépenses thématiques'!O238</f>
        <v>-84287.360967080909</v>
      </c>
      <c r="I239" s="333">
        <f>'K) Plafonnement aide'!J238</f>
        <v>0</v>
      </c>
      <c r="J239" s="336">
        <f>'J) Plafonnement effort'!I238</f>
        <v>0</v>
      </c>
      <c r="K239" s="333">
        <f>'L) Plafonnement taux'!Q239</f>
        <v>0</v>
      </c>
      <c r="L239" s="331">
        <f t="shared" si="12"/>
        <v>262013.88439526223</v>
      </c>
      <c r="M239" s="244">
        <f>'M) Police'!O239</f>
        <v>44366.506896078063</v>
      </c>
      <c r="N239" s="244">
        <f t="shared" si="9"/>
        <v>306380.39129134029</v>
      </c>
      <c r="P239" s="339"/>
    </row>
    <row r="240" spans="1:16" s="163" customFormat="1" x14ac:dyDescent="0.25">
      <c r="A240" s="160">
        <f>'B) D RI'!A241</f>
        <v>5799</v>
      </c>
      <c r="B240" s="161" t="str">
        <f>'B) D RI'!B241</f>
        <v>Servion</v>
      </c>
      <c r="C240" s="334">
        <f>'B) D RI'!S241</f>
        <v>69</v>
      </c>
      <c r="D240" s="162">
        <f>'B) D RI'!AA241</f>
        <v>1904</v>
      </c>
      <c r="E240" s="332">
        <f>'D) Ecrêtage'!C239</f>
        <v>65260.062669214836</v>
      </c>
      <c r="F240" s="336">
        <f>'E) Fact soc'!G245</f>
        <v>1153169.4165797925</v>
      </c>
      <c r="G240" s="333">
        <f>'H) Péréquation directe'!I250</f>
        <v>474987.39451051853</v>
      </c>
      <c r="H240" s="336">
        <f>+'I) Dépenses thématiques'!O239</f>
        <v>-200098.12398471098</v>
      </c>
      <c r="I240" s="333">
        <f>'K) Plafonnement aide'!J239</f>
        <v>0</v>
      </c>
      <c r="J240" s="336">
        <f>'J) Plafonnement effort'!I239</f>
        <v>0</v>
      </c>
      <c r="K240" s="333">
        <f>'L) Plafonnement taux'!Q240</f>
        <v>0</v>
      </c>
      <c r="L240" s="331">
        <f t="shared" si="12"/>
        <v>1428058.6871056</v>
      </c>
      <c r="M240" s="244">
        <f>'M) Police'!O240</f>
        <v>205051.10327803867</v>
      </c>
      <c r="N240" s="244">
        <f t="shared" si="9"/>
        <v>1633109.7903836388</v>
      </c>
      <c r="P240" s="339"/>
    </row>
    <row r="241" spans="1:16" s="163" customFormat="1" x14ac:dyDescent="0.25">
      <c r="A241" s="160">
        <f>'B) D RI'!A242</f>
        <v>5803</v>
      </c>
      <c r="B241" s="161" t="str">
        <f>'B) D RI'!B242</f>
        <v>Vulliens</v>
      </c>
      <c r="C241" s="334">
        <f>'B) D RI'!S242</f>
        <v>78</v>
      </c>
      <c r="D241" s="162">
        <f>'B) D RI'!AA242</f>
        <v>515</v>
      </c>
      <c r="E241" s="332">
        <f>'D) Ecrêtage'!C240</f>
        <v>15516.870988563373</v>
      </c>
      <c r="F241" s="336">
        <f>'E) Fact soc'!G246</f>
        <v>289109.62168631988</v>
      </c>
      <c r="G241" s="333">
        <f>'H) Péréquation directe'!I251</f>
        <v>58719.574169167725</v>
      </c>
      <c r="H241" s="336">
        <f>+'I) Dépenses thématiques'!O240</f>
        <v>-18023.274068619765</v>
      </c>
      <c r="I241" s="333">
        <f>'K) Plafonnement aide'!J240</f>
        <v>0</v>
      </c>
      <c r="J241" s="336">
        <f>'J) Plafonnement effort'!I240</f>
        <v>0</v>
      </c>
      <c r="K241" s="333">
        <f>'L) Plafonnement taux'!Q241</f>
        <v>0</v>
      </c>
      <c r="L241" s="331">
        <f t="shared" si="12"/>
        <v>329805.92178686784</v>
      </c>
      <c r="M241" s="244">
        <f>'M) Police'!O241</f>
        <v>49087.320519223431</v>
      </c>
      <c r="N241" s="244">
        <f t="shared" si="9"/>
        <v>378893.24230609124</v>
      </c>
      <c r="P241" s="339"/>
    </row>
    <row r="242" spans="1:16" s="163" customFormat="1" x14ac:dyDescent="0.25">
      <c r="A242" s="160">
        <f>'B) D RI'!A243</f>
        <v>5804</v>
      </c>
      <c r="B242" s="161" t="str">
        <f>'B) D RI'!B243</f>
        <v>Jorat-Menthue</v>
      </c>
      <c r="C242" s="334">
        <f>'B) D RI'!S243</f>
        <v>72</v>
      </c>
      <c r="D242" s="162">
        <f>'B) D RI'!AA243</f>
        <v>1532</v>
      </c>
      <c r="E242" s="332">
        <f>'D) Ecrêtage'!C241</f>
        <v>47010.590890855121</v>
      </c>
      <c r="F242" s="336">
        <f>'E) Fact soc'!G247</f>
        <v>863490.73932384793</v>
      </c>
      <c r="G242" s="333">
        <f>'H) Péréquation directe'!I252</f>
        <v>173861.40416909021</v>
      </c>
      <c r="H242" s="336">
        <f>+'I) Dépenses thématiques'!O241</f>
        <v>-600849.51148672798</v>
      </c>
      <c r="I242" s="333">
        <f>'K) Plafonnement aide'!J241</f>
        <v>0</v>
      </c>
      <c r="J242" s="336">
        <f>'J) Plafonnement effort'!I241</f>
        <v>0</v>
      </c>
      <c r="K242" s="333">
        <f>'L) Plafonnement taux'!Q242</f>
        <v>0</v>
      </c>
      <c r="L242" s="331">
        <f>F242+G242+H242+I242+J242+K242</f>
        <v>436502.63200621016</v>
      </c>
      <c r="M242" s="244">
        <f>'M) Police'!O242</f>
        <v>147941.11003057103</v>
      </c>
      <c r="N242" s="244">
        <f t="shared" si="9"/>
        <v>584443.74203678116</v>
      </c>
      <c r="P242" s="339"/>
    </row>
    <row r="243" spans="1:16" s="163" customFormat="1" x14ac:dyDescent="0.25">
      <c r="A243" s="160">
        <f>'B) D RI'!A244</f>
        <v>5805</v>
      </c>
      <c r="B243" s="161" t="str">
        <f>'B) D RI'!B244</f>
        <v>Oron</v>
      </c>
      <c r="C243" s="334">
        <f>'B) D RI'!S244</f>
        <v>69</v>
      </c>
      <c r="D243" s="162">
        <f>'B) D RI'!AA244</f>
        <v>5463</v>
      </c>
      <c r="E243" s="332">
        <f>'D) Ecrêtage'!C242</f>
        <v>145333.30890614819</v>
      </c>
      <c r="F243" s="336">
        <f>'E) Fact soc'!G248</f>
        <v>2740463.4785061846</v>
      </c>
      <c r="G243" s="333">
        <f>'H) Péréquation directe'!I253</f>
        <v>-1096414.0003904155</v>
      </c>
      <c r="H243" s="336">
        <f>+'I) Dépenses thématiques'!O242</f>
        <v>-1045760.6465631109</v>
      </c>
      <c r="I243" s="333">
        <f>'K) Plafonnement aide'!J242</f>
        <v>0</v>
      </c>
      <c r="J243" s="336">
        <f>'J) Plafonnement effort'!I242</f>
        <v>0</v>
      </c>
      <c r="K243" s="333">
        <f>'L) Plafonnement taux'!Q243</f>
        <v>0</v>
      </c>
      <c r="L243" s="331">
        <f>F243+G243+H243+I243+J243+K243</f>
        <v>598288.83155265823</v>
      </c>
      <c r="M243" s="244">
        <f>'M) Police'!O243</f>
        <v>453127.9950218274</v>
      </c>
      <c r="N243" s="244">
        <f t="shared" si="9"/>
        <v>1051416.8265744857</v>
      </c>
      <c r="P243" s="339"/>
    </row>
    <row r="244" spans="1:16" s="163" customFormat="1" x14ac:dyDescent="0.25">
      <c r="A244" s="160">
        <f>'B) D RI'!A245</f>
        <v>5806</v>
      </c>
      <c r="B244" s="161" t="str">
        <f>'B) D RI'!B245</f>
        <v>Jorat-Mézières</v>
      </c>
      <c r="C244" s="334">
        <f>'B) D RI'!S245</f>
        <v>76</v>
      </c>
      <c r="D244" s="162">
        <f>'B) D RI'!AA245</f>
        <v>2850</v>
      </c>
      <c r="E244" s="332">
        <f>'D) Ecrêtage'!C243</f>
        <v>85087.623552631558</v>
      </c>
      <c r="F244" s="336">
        <f>'E) Fact soc'!G249</f>
        <v>1590908.2835035722</v>
      </c>
      <c r="G244" s="333">
        <f>'H) Péréquation directe'!I254</f>
        <v>-67191.048260322073</v>
      </c>
      <c r="H244" s="336">
        <f>+'I) Dépenses thématiques'!O243</f>
        <v>-361162.50868421065</v>
      </c>
      <c r="I244" s="333">
        <f>'K) Plafonnement aide'!J243</f>
        <v>0</v>
      </c>
      <c r="J244" s="336">
        <f>'J) Plafonnement effort'!I243</f>
        <v>0</v>
      </c>
      <c r="K244" s="333">
        <f>'L) Plafonnement taux'!Q244</f>
        <v>0</v>
      </c>
      <c r="L244" s="331">
        <f>F244+G244+H244+I244+J244+K244</f>
        <v>1162554.7265590394</v>
      </c>
      <c r="M244" s="244">
        <f>'M) Police'!O244</f>
        <v>267168.81811706908</v>
      </c>
      <c r="N244" s="244">
        <f t="shared" ref="N244" si="13">L244+M244</f>
        <v>1429723.5446761085</v>
      </c>
      <c r="P244" s="339"/>
    </row>
    <row r="245" spans="1:16" s="163" customFormat="1" x14ac:dyDescent="0.25">
      <c r="A245" s="160">
        <f>'B) D RI'!A246</f>
        <v>5812</v>
      </c>
      <c r="B245" s="161" t="str">
        <f>'B) D RI'!B246</f>
        <v>Champtauroz</v>
      </c>
      <c r="C245" s="334">
        <f>'B) D RI'!S246</f>
        <v>77</v>
      </c>
      <c r="D245" s="162">
        <f>'B) D RI'!AA246</f>
        <v>128</v>
      </c>
      <c r="E245" s="332">
        <f>'D) Ecrêtage'!C244</f>
        <v>2414.7620603829159</v>
      </c>
      <c r="F245" s="336">
        <f>'E) Fact soc'!G250</f>
        <v>51775.593210830346</v>
      </c>
      <c r="G245" s="333">
        <f>'H) Péréquation directe'!I255</f>
        <v>-47096.332162301624</v>
      </c>
      <c r="H245" s="336">
        <f>+'I) Dépenses thématiques'!O244</f>
        <v>-38724.106092415313</v>
      </c>
      <c r="I245" s="333">
        <f>'K) Plafonnement aide'!J244</f>
        <v>0</v>
      </c>
      <c r="J245" s="336">
        <f>'J) Plafonnement effort'!I244</f>
        <v>0</v>
      </c>
      <c r="K245" s="333">
        <f>'L) Plafonnement taux'!Q245</f>
        <v>0</v>
      </c>
      <c r="L245" s="331">
        <f t="shared" si="12"/>
        <v>-34044.845043886591</v>
      </c>
      <c r="M245" s="244">
        <f>'M) Police'!O245</f>
        <v>7537.6660137524377</v>
      </c>
      <c r="N245" s="244">
        <f t="shared" si="9"/>
        <v>-26507.179030134153</v>
      </c>
      <c r="P245" s="339"/>
    </row>
    <row r="246" spans="1:16" s="163" customFormat="1" x14ac:dyDescent="0.25">
      <c r="A246" s="160">
        <f>'B) D RI'!A247</f>
        <v>5813</v>
      </c>
      <c r="B246" s="161" t="str">
        <f>'B) D RI'!B247</f>
        <v>Chevroux</v>
      </c>
      <c r="C246" s="334">
        <f>'B) D RI'!S247</f>
        <v>70</v>
      </c>
      <c r="D246" s="162">
        <f>'B) D RI'!AA247</f>
        <v>470</v>
      </c>
      <c r="E246" s="332">
        <f>'D) Ecrêtage'!C245</f>
        <v>13113.471464382501</v>
      </c>
      <c r="F246" s="336">
        <f>'E) Fact soc'!G251</f>
        <v>284797.88576147711</v>
      </c>
      <c r="G246" s="333">
        <f>'H) Péréquation directe'!I256</f>
        <v>45620.142326607311</v>
      </c>
      <c r="H246" s="336">
        <f>+'I) Dépenses thématiques'!O245</f>
        <v>-18136.671213704994</v>
      </c>
      <c r="I246" s="333">
        <f>'K) Plafonnement aide'!J245</f>
        <v>0</v>
      </c>
      <c r="J246" s="336">
        <f>'J) Plafonnement effort'!I245</f>
        <v>0</v>
      </c>
      <c r="K246" s="333">
        <f>'L) Plafonnement taux'!Q246</f>
        <v>0</v>
      </c>
      <c r="L246" s="331">
        <f t="shared" si="12"/>
        <v>312281.35687437945</v>
      </c>
      <c r="M246" s="244">
        <f>'M) Police'!O246</f>
        <v>41026.123459585928</v>
      </c>
      <c r="N246" s="244">
        <f t="shared" si="9"/>
        <v>353307.48033396539</v>
      </c>
      <c r="P246" s="339"/>
    </row>
    <row r="247" spans="1:16" s="163" customFormat="1" x14ac:dyDescent="0.25">
      <c r="A247" s="160">
        <f>'B) D RI'!A248</f>
        <v>5816</v>
      </c>
      <c r="B247" s="161" t="str">
        <f>'B) D RI'!B248</f>
        <v>Corcelles-près-Payerne</v>
      </c>
      <c r="C247" s="334">
        <f>'B) D RI'!S248</f>
        <v>72</v>
      </c>
      <c r="D247" s="162">
        <f>'B) D RI'!AA248</f>
        <v>2448</v>
      </c>
      <c r="E247" s="332">
        <f>'D) Ecrêtage'!C246</f>
        <v>56475.749877973358</v>
      </c>
      <c r="F247" s="336">
        <f>'E) Fact soc'!G252</f>
        <v>1049618.4626144806</v>
      </c>
      <c r="G247" s="333">
        <f>'H) Péréquation directe'!I257</f>
        <v>-612867.2512876566</v>
      </c>
      <c r="H247" s="336">
        <f>+'I) Dépenses thématiques'!O246</f>
        <v>-309579.75073215982</v>
      </c>
      <c r="I247" s="333">
        <f>'K) Plafonnement aide'!J246</f>
        <v>0</v>
      </c>
      <c r="J247" s="336">
        <f>'J) Plafonnement effort'!I246</f>
        <v>0</v>
      </c>
      <c r="K247" s="333">
        <f>'L) Plafonnement taux'!Q247</f>
        <v>0</v>
      </c>
      <c r="L247" s="331">
        <f t="shared" si="12"/>
        <v>127171.46059466421</v>
      </c>
      <c r="M247" s="244">
        <f>'M) Police'!O247</f>
        <v>176479.50971360761</v>
      </c>
      <c r="N247" s="244">
        <f t="shared" si="9"/>
        <v>303650.97030827182</v>
      </c>
      <c r="P247" s="339"/>
    </row>
    <row r="248" spans="1:16" s="163" customFormat="1" x14ac:dyDescent="0.25">
      <c r="A248" s="160">
        <f>'B) D RI'!A249</f>
        <v>5817</v>
      </c>
      <c r="B248" s="161" t="str">
        <f>'B) D RI'!B249</f>
        <v>Grandcour</v>
      </c>
      <c r="C248" s="334">
        <f>'B) D RI'!S249</f>
        <v>79.5</v>
      </c>
      <c r="D248" s="162">
        <f>'B) D RI'!AA249</f>
        <v>890</v>
      </c>
      <c r="E248" s="332">
        <f>'D) Ecrêtage'!C247</f>
        <v>22082.516537974258</v>
      </c>
      <c r="F248" s="336">
        <f>'E) Fact soc'!G253</f>
        <v>411624.2523450366</v>
      </c>
      <c r="G248" s="333">
        <f>'H) Péréquation directe'!I258</f>
        <v>-124942.66926466394</v>
      </c>
      <c r="H248" s="336">
        <f>+'I) Dépenses thématiques'!O247</f>
        <v>-116104.01336867375</v>
      </c>
      <c r="I248" s="333">
        <f>'K) Plafonnement aide'!J247</f>
        <v>0</v>
      </c>
      <c r="J248" s="336">
        <f>'J) Plafonnement effort'!I247</f>
        <v>0</v>
      </c>
      <c r="K248" s="333">
        <f>'L) Plafonnement taux'!Q248</f>
        <v>0</v>
      </c>
      <c r="L248" s="331">
        <f t="shared" si="12"/>
        <v>170577.56971169892</v>
      </c>
      <c r="M248" s="244">
        <f>'M) Police'!O248</f>
        <v>69981.308134188192</v>
      </c>
      <c r="N248" s="244">
        <f t="shared" si="9"/>
        <v>240558.87784588709</v>
      </c>
      <c r="P248" s="339"/>
    </row>
    <row r="249" spans="1:16" s="163" customFormat="1" x14ac:dyDescent="0.25">
      <c r="A249" s="160">
        <f>'B) D RI'!A250</f>
        <v>5819</v>
      </c>
      <c r="B249" s="161" t="str">
        <f>'B) D RI'!B250</f>
        <v>Henniez</v>
      </c>
      <c r="C249" s="334">
        <f>'B) D RI'!S250</f>
        <v>69</v>
      </c>
      <c r="D249" s="162">
        <f>'B) D RI'!AA250</f>
        <v>359</v>
      </c>
      <c r="E249" s="332">
        <f>'D) Ecrêtage'!C248</f>
        <v>13743.862603576948</v>
      </c>
      <c r="F249" s="336">
        <f>'E) Fact soc'!G254</f>
        <v>252035.31260967167</v>
      </c>
      <c r="G249" s="333">
        <f>'H) Péréquation directe'!I259</f>
        <v>183516.93329430543</v>
      </c>
      <c r="H249" s="336">
        <f>+'I) Dépenses thématiques'!O248</f>
        <v>-54975.824378538309</v>
      </c>
      <c r="I249" s="333">
        <f>'K) Plafonnement aide'!J248</f>
        <v>0</v>
      </c>
      <c r="J249" s="336">
        <f>'J) Plafonnement effort'!I248</f>
        <v>0</v>
      </c>
      <c r="K249" s="333">
        <f>'L) Plafonnement taux'!Q249</f>
        <v>0</v>
      </c>
      <c r="L249" s="331">
        <f t="shared" si="12"/>
        <v>380576.42152543878</v>
      </c>
      <c r="M249" s="244">
        <f>'M) Police'!O249</f>
        <v>42925.977061607889</v>
      </c>
      <c r="N249" s="244">
        <f t="shared" si="9"/>
        <v>423502.39858704666</v>
      </c>
      <c r="P249" s="339"/>
    </row>
    <row r="250" spans="1:16" s="163" customFormat="1" x14ac:dyDescent="0.25">
      <c r="A250" s="160">
        <f>'B) D RI'!A251</f>
        <v>5821</v>
      </c>
      <c r="B250" s="161" t="str">
        <f>'B) D RI'!B251</f>
        <v>Missy</v>
      </c>
      <c r="C250" s="334">
        <f>'B) D RI'!S251</f>
        <v>72</v>
      </c>
      <c r="D250" s="162">
        <f>'B) D RI'!AA251</f>
        <v>352</v>
      </c>
      <c r="E250" s="332">
        <f>'D) Ecrêtage'!C249</f>
        <v>7638.0636098287778</v>
      </c>
      <c r="F250" s="336">
        <f>'E) Fact soc'!G255</f>
        <v>127175.75370843612</v>
      </c>
      <c r="G250" s="333">
        <f>'H) Péréquation directe'!I260</f>
        <v>-61460.617104735778</v>
      </c>
      <c r="H250" s="336">
        <f>+'I) Dépenses thématiques'!O249</f>
        <v>-17786.618341027333</v>
      </c>
      <c r="I250" s="333">
        <f>'K) Plafonnement aide'!J249</f>
        <v>0</v>
      </c>
      <c r="J250" s="336">
        <f>'J) Plafonnement effort'!I249</f>
        <v>0</v>
      </c>
      <c r="K250" s="333">
        <f>'L) Plafonnement taux'!Q250</f>
        <v>0</v>
      </c>
      <c r="L250" s="331">
        <f t="shared" si="12"/>
        <v>47928.518262673009</v>
      </c>
      <c r="M250" s="244">
        <f>'M) Police'!O250</f>
        <v>23778.037704200535</v>
      </c>
      <c r="N250" s="244">
        <f t="shared" si="9"/>
        <v>71706.555966873537</v>
      </c>
      <c r="P250" s="339"/>
    </row>
    <row r="251" spans="1:16" s="163" customFormat="1" x14ac:dyDescent="0.25">
      <c r="A251" s="160">
        <f>'B) D RI'!A252</f>
        <v>5822</v>
      </c>
      <c r="B251" s="161" t="str">
        <f>'B) D RI'!B252</f>
        <v>Payerne</v>
      </c>
      <c r="C251" s="334">
        <f>'B) D RI'!S252</f>
        <v>75</v>
      </c>
      <c r="D251" s="162">
        <f>'B) D RI'!AA252</f>
        <v>9716</v>
      </c>
      <c r="E251" s="332">
        <f>'D) Ecrêtage'!C250</f>
        <v>236156.50420606061</v>
      </c>
      <c r="F251" s="336">
        <f>'E) Fact soc'!G256</f>
        <v>4437687.6984784147</v>
      </c>
      <c r="G251" s="333">
        <f>'H) Péréquation directe'!I261</f>
        <v>-4599043.9342418909</v>
      </c>
      <c r="H251" s="336">
        <f>+'I) Dépenses thématiques'!O250</f>
        <v>-1360751.2247636365</v>
      </c>
      <c r="I251" s="333">
        <f>'K) Plafonnement aide'!J250</f>
        <v>0</v>
      </c>
      <c r="J251" s="336">
        <f>'J) Plafonnement effort'!I250</f>
        <v>0</v>
      </c>
      <c r="K251" s="333">
        <f>'L) Plafonnement taux'!Q251</f>
        <v>0</v>
      </c>
      <c r="L251" s="331">
        <f t="shared" si="12"/>
        <v>-1522107.4605271127</v>
      </c>
      <c r="M251" s="244">
        <f>'M) Police'!O251</f>
        <v>740231.57079728064</v>
      </c>
      <c r="N251" s="244">
        <f t="shared" si="9"/>
        <v>-781875.88972983207</v>
      </c>
      <c r="P251" s="339"/>
    </row>
    <row r="252" spans="1:16" s="163" customFormat="1" x14ac:dyDescent="0.25">
      <c r="A252" s="160">
        <f>'B) D RI'!A253</f>
        <v>5827</v>
      </c>
      <c r="B252" s="161" t="str">
        <f>'B) D RI'!B253</f>
        <v>Trey</v>
      </c>
      <c r="C252" s="334">
        <f>'B) D RI'!S253</f>
        <v>80</v>
      </c>
      <c r="D252" s="162">
        <f>'B) D RI'!AA253</f>
        <v>268</v>
      </c>
      <c r="E252" s="332">
        <f>'D) Ecrêtage'!C251</f>
        <v>6690.1986933784046</v>
      </c>
      <c r="F252" s="336">
        <f>'E) Fact soc'!G257</f>
        <v>120823.53204818715</v>
      </c>
      <c r="G252" s="333">
        <f>'H) Péréquation directe'!I262</f>
        <v>-37511.233235313062</v>
      </c>
      <c r="H252" s="336">
        <f>+'I) Dépenses thématiques'!O251</f>
        <v>-54608.408819695775</v>
      </c>
      <c r="I252" s="333">
        <f>'K) Plafonnement aide'!J251</f>
        <v>0</v>
      </c>
      <c r="J252" s="336">
        <f>'J) Plafonnement effort'!I251</f>
        <v>0</v>
      </c>
      <c r="K252" s="333">
        <f>'L) Plafonnement taux'!Q252</f>
        <v>0</v>
      </c>
      <c r="L252" s="331">
        <f t="shared" si="12"/>
        <v>28703.889993178309</v>
      </c>
      <c r="M252" s="244">
        <f>'M) Police'!O252</f>
        <v>21171.190608729848</v>
      </c>
      <c r="N252" s="244">
        <f t="shared" si="9"/>
        <v>49875.080601908157</v>
      </c>
      <c r="P252" s="339"/>
    </row>
    <row r="253" spans="1:16" s="163" customFormat="1" x14ac:dyDescent="0.25">
      <c r="A253" s="160">
        <f>'B) D RI'!A254</f>
        <v>5828</v>
      </c>
      <c r="B253" s="161" t="str">
        <f>'B) D RI'!B254</f>
        <v>Treytorrens (Payerne)</v>
      </c>
      <c r="C253" s="334">
        <f>'B) D RI'!S254</f>
        <v>84</v>
      </c>
      <c r="D253" s="162">
        <f>'B) D RI'!AA254</f>
        <v>122</v>
      </c>
      <c r="E253" s="332">
        <f>'D) Ecrêtage'!C252</f>
        <v>2279.6786771708244</v>
      </c>
      <c r="F253" s="336">
        <f>'E) Fact soc'!G258</f>
        <v>53979.169992435767</v>
      </c>
      <c r="G253" s="333">
        <f>'H) Péréquation directe'!I263</f>
        <v>-60365.554751838361</v>
      </c>
      <c r="H253" s="336">
        <f>+'I) Dépenses thématiques'!O252</f>
        <v>-55358.91892909693</v>
      </c>
      <c r="I253" s="333">
        <f>'K) Plafonnement aide'!J252</f>
        <v>0</v>
      </c>
      <c r="J253" s="336">
        <f>'J) Plafonnement effort'!I252</f>
        <v>0</v>
      </c>
      <c r="K253" s="333">
        <f>'L) Plafonnement taux'!Q253</f>
        <v>0</v>
      </c>
      <c r="L253" s="331">
        <f t="shared" si="12"/>
        <v>-61745.303688499524</v>
      </c>
      <c r="M253" s="244">
        <f>'M) Police'!O253</f>
        <v>7171.9264845804173</v>
      </c>
      <c r="N253" s="244">
        <f t="shared" si="9"/>
        <v>-54573.37720391911</v>
      </c>
      <c r="P253" s="339"/>
    </row>
    <row r="254" spans="1:16" s="163" customFormat="1" x14ac:dyDescent="0.25">
      <c r="A254" s="160">
        <f>'B) D RI'!A255</f>
        <v>5830</v>
      </c>
      <c r="B254" s="161" t="str">
        <f>'B) D RI'!B255</f>
        <v>Villarzel</v>
      </c>
      <c r="C254" s="334">
        <f>'B) D RI'!S255</f>
        <v>79</v>
      </c>
      <c r="D254" s="162">
        <f>'B) D RI'!AA255</f>
        <v>417</v>
      </c>
      <c r="E254" s="332">
        <f>'D) Ecrêtage'!C253</f>
        <v>10447.04854538646</v>
      </c>
      <c r="F254" s="336">
        <f>'E) Fact soc'!G259</f>
        <v>196207.39843418112</v>
      </c>
      <c r="G254" s="333">
        <f>'H) Péréquation directe'!I264</f>
        <v>-51347.139500906691</v>
      </c>
      <c r="H254" s="336">
        <f>+'I) Dépenses thématiques'!O253</f>
        <v>-118035.45872768124</v>
      </c>
      <c r="I254" s="333">
        <f>'K) Plafonnement aide'!J253</f>
        <v>0</v>
      </c>
      <c r="J254" s="336">
        <f>'J) Plafonnement effort'!I253</f>
        <v>0</v>
      </c>
      <c r="K254" s="333">
        <f>'L) Plafonnement taux'!Q254</f>
        <v>0</v>
      </c>
      <c r="L254" s="331">
        <f t="shared" si="12"/>
        <v>26824.800205593187</v>
      </c>
      <c r="M254" s="244">
        <f>'M) Police'!O254</f>
        <v>33048.399586654778</v>
      </c>
      <c r="N254" s="244">
        <f t="shared" si="9"/>
        <v>59873.199792247964</v>
      </c>
      <c r="P254" s="339"/>
    </row>
    <row r="255" spans="1:16" s="163" customFormat="1" x14ac:dyDescent="0.25">
      <c r="A255" s="160">
        <f>'B) D RI'!A256</f>
        <v>5831</v>
      </c>
      <c r="B255" s="161" t="str">
        <f>'B) D RI'!B256</f>
        <v>Valbroye</v>
      </c>
      <c r="C255" s="334">
        <f>'B) D RI'!S256</f>
        <v>73</v>
      </c>
      <c r="D255" s="162">
        <f>'B) D RI'!AA256</f>
        <v>3035</v>
      </c>
      <c r="E255" s="332">
        <f>'D) Ecrêtage'!C254</f>
        <v>80393.76686206559</v>
      </c>
      <c r="F255" s="336">
        <f>'E) Fact soc'!G260</f>
        <v>1601937.9243240114</v>
      </c>
      <c r="G255" s="333">
        <f>'H) Péréquation directe'!I265</f>
        <v>-429381.77419715514</v>
      </c>
      <c r="H255" s="336">
        <f>+'I) Dépenses thématiques'!O254</f>
        <v>-716640.07368105731</v>
      </c>
      <c r="I255" s="333">
        <f>'K) Plafonnement aide'!J254</f>
        <v>0</v>
      </c>
      <c r="J255" s="336">
        <f>'J) Plafonnement effort'!I254</f>
        <v>0</v>
      </c>
      <c r="K255" s="333">
        <f>'L) Plafonnement taux'!Q255</f>
        <v>0</v>
      </c>
      <c r="L255" s="331">
        <f>F255+G255+H255+I255+J255+K255</f>
        <v>455916.07644579897</v>
      </c>
      <c r="M255" s="244">
        <f>'M) Police'!O255</f>
        <v>254179.30687191623</v>
      </c>
      <c r="N255" s="244">
        <f t="shared" ref="N255:N314" si="14">L255+M255</f>
        <v>710095.38331771526</v>
      </c>
      <c r="P255" s="339"/>
    </row>
    <row r="256" spans="1:16" s="163" customFormat="1" x14ac:dyDescent="0.25">
      <c r="A256" s="160">
        <f>'B) D RI'!A257</f>
        <v>5841</v>
      </c>
      <c r="B256" s="161" t="str">
        <f>'B) D RI'!B257</f>
        <v>Château-d'Oex</v>
      </c>
      <c r="C256" s="334">
        <f>'B) D RI'!S257</f>
        <v>83</v>
      </c>
      <c r="D256" s="162">
        <f>'B) D RI'!AA257</f>
        <v>3433</v>
      </c>
      <c r="E256" s="332">
        <f>'D) Ecrêtage'!C255</f>
        <v>112439.97706211945</v>
      </c>
      <c r="F256" s="336">
        <f>'E) Fact soc'!G261</f>
        <v>2341663.0170071078</v>
      </c>
      <c r="G256" s="333">
        <f>'H) Péréquation directe'!I266</f>
        <v>47539.996314123739</v>
      </c>
      <c r="H256" s="336">
        <f>+'I) Dépenses thématiques'!O255</f>
        <v>-2257979.3876272831</v>
      </c>
      <c r="I256" s="333">
        <f>'K) Plafonnement aide'!J255</f>
        <v>0</v>
      </c>
      <c r="J256" s="336">
        <f>'J) Plafonnement effort'!I255</f>
        <v>0</v>
      </c>
      <c r="K256" s="333">
        <f>'L) Plafonnement taux'!Q256</f>
        <v>0</v>
      </c>
      <c r="L256" s="331">
        <f t="shared" si="12"/>
        <v>131223.62569394847</v>
      </c>
      <c r="M256" s="244">
        <f>'M) Police'!O256</f>
        <v>347557.29725485278</v>
      </c>
      <c r="N256" s="244">
        <f t="shared" si="14"/>
        <v>478780.92294880125</v>
      </c>
      <c r="P256" s="339"/>
    </row>
    <row r="257" spans="1:16" s="163" customFormat="1" x14ac:dyDescent="0.25">
      <c r="A257" s="160">
        <f>'B) D RI'!A258</f>
        <v>5842</v>
      </c>
      <c r="B257" s="161" t="str">
        <f>'B) D RI'!B258</f>
        <v>Rossinière</v>
      </c>
      <c r="C257" s="334">
        <f>'B) D RI'!S258</f>
        <v>81</v>
      </c>
      <c r="D257" s="162">
        <f>'B) D RI'!AA258</f>
        <v>545</v>
      </c>
      <c r="E257" s="332">
        <f>'D) Ecrêtage'!C256</f>
        <v>12463.858686572428</v>
      </c>
      <c r="F257" s="336">
        <f>'E) Fact soc'!G262</f>
        <v>239650.78510316813</v>
      </c>
      <c r="G257" s="333">
        <f>'H) Péréquation directe'!I267</f>
        <v>-135998.70533587711</v>
      </c>
      <c r="H257" s="336">
        <f>+'I) Dépenses thématiques'!O256</f>
        <v>-317220.09788056544</v>
      </c>
      <c r="I257" s="333">
        <f>'K) Plafonnement aide'!J256</f>
        <v>0</v>
      </c>
      <c r="J257" s="336">
        <f>'J) Plafonnement effort'!I256</f>
        <v>0</v>
      </c>
      <c r="K257" s="333">
        <f>'L) Plafonnement taux'!Q257</f>
        <v>0</v>
      </c>
      <c r="L257" s="331">
        <f t="shared" si="12"/>
        <v>-213568.01811327442</v>
      </c>
      <c r="M257" s="244">
        <f>'M) Police'!O257</f>
        <v>38972.441448471072</v>
      </c>
      <c r="N257" s="244">
        <f t="shared" si="14"/>
        <v>-174595.57666480335</v>
      </c>
      <c r="P257" s="339"/>
    </row>
    <row r="258" spans="1:16" s="163" customFormat="1" x14ac:dyDescent="0.25">
      <c r="A258" s="160">
        <f>'B) D RI'!A259</f>
        <v>5843</v>
      </c>
      <c r="B258" s="161" t="str">
        <f>'B) D RI'!B259</f>
        <v>Rougemont</v>
      </c>
      <c r="C258" s="334">
        <f>'B) D RI'!S259</f>
        <v>74</v>
      </c>
      <c r="D258" s="162">
        <f>'B) D RI'!AA259</f>
        <v>882</v>
      </c>
      <c r="E258" s="332">
        <f>'D) Ecrêtage'!C257</f>
        <v>87105.84628297943</v>
      </c>
      <c r="F258" s="336">
        <f>'E) Fact soc'!G263</f>
        <v>3097881.7624754133</v>
      </c>
      <c r="G258" s="333">
        <f>'H) Péréquation directe'!I268</f>
        <v>1634265.7071356946</v>
      </c>
      <c r="H258" s="336">
        <f>+'I) Dépenses thématiques'!O257</f>
        <v>-866379.92230212351</v>
      </c>
      <c r="I258" s="333">
        <f>'K) Plafonnement aide'!J257</f>
        <v>0</v>
      </c>
      <c r="J258" s="336">
        <f>'J) Plafonnement effort'!I257</f>
        <v>0</v>
      </c>
      <c r="K258" s="333">
        <f>'L) Plafonnement taux'!Q258</f>
        <v>0</v>
      </c>
      <c r="L258" s="331">
        <f t="shared" si="12"/>
        <v>3865767.5473089847</v>
      </c>
      <c r="M258" s="244">
        <f>'M) Police'!O258</f>
        <v>187117.02718635893</v>
      </c>
      <c r="N258" s="244">
        <f t="shared" si="14"/>
        <v>4052884.5744953435</v>
      </c>
      <c r="P258" s="339"/>
    </row>
    <row r="259" spans="1:16" s="163" customFormat="1" x14ac:dyDescent="0.25">
      <c r="A259" s="160">
        <f>'B) D RI'!A260</f>
        <v>5851</v>
      </c>
      <c r="B259" s="161" t="str">
        <f>'B) D RI'!B260</f>
        <v>Allaman</v>
      </c>
      <c r="C259" s="334">
        <f>'B) D RI'!S260</f>
        <v>62</v>
      </c>
      <c r="D259" s="162">
        <f>'B) D RI'!AA260</f>
        <v>442</v>
      </c>
      <c r="E259" s="332">
        <f>'D) Ecrêtage'!C258</f>
        <v>27785.537982029753</v>
      </c>
      <c r="F259" s="336">
        <f>'E) Fact soc'!G264</f>
        <v>601264.78249701206</v>
      </c>
      <c r="G259" s="333">
        <f>'H) Péréquation directe'!I269</f>
        <v>501468.3733954209</v>
      </c>
      <c r="H259" s="336">
        <f>+'I) Dépenses thématiques'!O258</f>
        <v>0</v>
      </c>
      <c r="I259" s="333">
        <f>'K) Plafonnement aide'!J258</f>
        <v>0</v>
      </c>
      <c r="J259" s="336">
        <f>'J) Plafonnement effort'!I258</f>
        <v>0</v>
      </c>
      <c r="K259" s="333">
        <f>'L) Plafonnement taux'!Q259</f>
        <v>0</v>
      </c>
      <c r="L259" s="331">
        <f t="shared" si="12"/>
        <v>1102733.1558924329</v>
      </c>
      <c r="M259" s="244">
        <f>'M) Police'!O259</f>
        <v>73181.411915479548</v>
      </c>
      <c r="N259" s="244">
        <f t="shared" si="14"/>
        <v>1175914.5678079124</v>
      </c>
      <c r="P259" s="339"/>
    </row>
    <row r="260" spans="1:16" s="163" customFormat="1" x14ac:dyDescent="0.25">
      <c r="A260" s="160">
        <f>'B) D RI'!A261</f>
        <v>5852</v>
      </c>
      <c r="B260" s="161" t="str">
        <f>'B) D RI'!B261</f>
        <v>Bursinel</v>
      </c>
      <c r="C260" s="334">
        <f>'B) D RI'!S261</f>
        <v>65.5</v>
      </c>
      <c r="D260" s="162">
        <f>'B) D RI'!AA261</f>
        <v>488</v>
      </c>
      <c r="E260" s="332">
        <f>'D) Ecrêtage'!C259</f>
        <v>38740.127027310053</v>
      </c>
      <c r="F260" s="336">
        <f>'E) Fact soc'!G265</f>
        <v>2447572.6090655671</v>
      </c>
      <c r="G260" s="333">
        <f>'H) Péréquation directe'!I270</f>
        <v>715013.85870433541</v>
      </c>
      <c r="H260" s="336">
        <f>+'I) Dépenses thématiques'!O259</f>
        <v>0</v>
      </c>
      <c r="I260" s="333">
        <f>'K) Plafonnement aide'!J259</f>
        <v>0</v>
      </c>
      <c r="J260" s="336">
        <f>'J) Plafonnement effort'!I259</f>
        <v>-1419280.7515409505</v>
      </c>
      <c r="K260" s="333">
        <f>'L) Plafonnement taux'!Q260</f>
        <v>0</v>
      </c>
      <c r="L260" s="331">
        <f t="shared" si="12"/>
        <v>1743305.7162289522</v>
      </c>
      <c r="M260" s="244">
        <f>'M) Police'!O260</f>
        <v>91260.654565001038</v>
      </c>
      <c r="N260" s="244">
        <f t="shared" si="14"/>
        <v>1834566.3707939533</v>
      </c>
      <c r="P260" s="339"/>
    </row>
    <row r="261" spans="1:16" s="163" customFormat="1" x14ac:dyDescent="0.25">
      <c r="A261" s="160">
        <f>'B) D RI'!A262</f>
        <v>5853</v>
      </c>
      <c r="B261" s="161" t="str">
        <f>'B) D RI'!B262</f>
        <v>Bursins</v>
      </c>
      <c r="C261" s="334">
        <f>'B) D RI'!S262</f>
        <v>71</v>
      </c>
      <c r="D261" s="162">
        <f>'B) D RI'!AA262</f>
        <v>745</v>
      </c>
      <c r="E261" s="332">
        <f>'D) Ecrêtage'!C260</f>
        <v>35932.419772150381</v>
      </c>
      <c r="F261" s="336">
        <f>'E) Fact soc'!G266</f>
        <v>750762.89262605342</v>
      </c>
      <c r="G261" s="333">
        <f>'H) Péréquation directe'!I271</f>
        <v>627088.12200812565</v>
      </c>
      <c r="H261" s="336">
        <f>+'I) Dépenses thématiques'!O260</f>
        <v>-8550.4813670977164</v>
      </c>
      <c r="I261" s="333">
        <f>'K) Plafonnement aide'!J260</f>
        <v>0</v>
      </c>
      <c r="J261" s="336">
        <f>'J) Plafonnement effort'!I260</f>
        <v>0</v>
      </c>
      <c r="K261" s="333">
        <f>'L) Plafonnement taux'!Q261</f>
        <v>0</v>
      </c>
      <c r="L261" s="331">
        <f t="shared" si="12"/>
        <v>1369300.5332670812</v>
      </c>
      <c r="M261" s="244">
        <f>'M) Police'!O261</f>
        <v>109203.12730710502</v>
      </c>
      <c r="N261" s="244">
        <f t="shared" si="14"/>
        <v>1478503.6605741864</v>
      </c>
      <c r="P261" s="339"/>
    </row>
    <row r="262" spans="1:16" s="163" customFormat="1" x14ac:dyDescent="0.25">
      <c r="A262" s="160">
        <f>'B) D RI'!A263</f>
        <v>5854</v>
      </c>
      <c r="B262" s="161" t="str">
        <f>'B) D RI'!B263</f>
        <v>Burtigny</v>
      </c>
      <c r="C262" s="334">
        <f>'B) D RI'!S263</f>
        <v>80</v>
      </c>
      <c r="D262" s="162">
        <f>'B) D RI'!AA263</f>
        <v>361</v>
      </c>
      <c r="E262" s="332">
        <f>'D) Ecrêtage'!C261</f>
        <v>9853.2751063664073</v>
      </c>
      <c r="F262" s="336">
        <f>'E) Fact soc'!G267</f>
        <v>224655.70359491228</v>
      </c>
      <c r="G262" s="333">
        <f>'H) Péréquation directe'!I272</f>
        <v>-12252.004812659055</v>
      </c>
      <c r="H262" s="336">
        <f>+'I) Dépenses thématiques'!O261</f>
        <v>-49234.349361801556</v>
      </c>
      <c r="I262" s="333">
        <f>'K) Plafonnement aide'!J261</f>
        <v>0</v>
      </c>
      <c r="J262" s="336">
        <f>'J) Plafonnement effort'!I261</f>
        <v>0</v>
      </c>
      <c r="K262" s="333">
        <f>'L) Plafonnement taux'!Q262</f>
        <v>0</v>
      </c>
      <c r="L262" s="331">
        <f t="shared" si="12"/>
        <v>163169.34942045168</v>
      </c>
      <c r="M262" s="244">
        <f>'M) Police'!O262</f>
        <v>31072.848343384674</v>
      </c>
      <c r="N262" s="244">
        <f t="shared" si="14"/>
        <v>194242.19776383636</v>
      </c>
      <c r="P262" s="339"/>
    </row>
    <row r="263" spans="1:16" s="163" customFormat="1" x14ac:dyDescent="0.25">
      <c r="A263" s="160">
        <f>'B) D RI'!A264</f>
        <v>5855</v>
      </c>
      <c r="B263" s="161" t="str">
        <f>'B) D RI'!B264</f>
        <v>Dully</v>
      </c>
      <c r="C263" s="334">
        <f>'B) D RI'!S264</f>
        <v>49</v>
      </c>
      <c r="D263" s="162">
        <f>'B) D RI'!AA264</f>
        <v>640</v>
      </c>
      <c r="E263" s="332">
        <f>'D) Ecrêtage'!C262</f>
        <v>78259.066078216143</v>
      </c>
      <c r="F263" s="336">
        <f>'E) Fact soc'!G268</f>
        <v>2293976.7388773798</v>
      </c>
      <c r="G263" s="333">
        <f>'H) Péréquation directe'!I273</f>
        <v>1487106.4627706532</v>
      </c>
      <c r="H263" s="336">
        <f>+'I) Dépenses thématiques'!O262</f>
        <v>0</v>
      </c>
      <c r="I263" s="333">
        <f>'K) Plafonnement aide'!J262</f>
        <v>0</v>
      </c>
      <c r="J263" s="336">
        <f>'J) Plafonnement effort'!I262</f>
        <v>-259425.22812830663</v>
      </c>
      <c r="K263" s="333">
        <f>'L) Plafonnement taux'!Q263</f>
        <v>0</v>
      </c>
      <c r="L263" s="331">
        <f t="shared" si="12"/>
        <v>3521657.9735197267</v>
      </c>
      <c r="M263" s="244">
        <f>'M) Police'!O263</f>
        <v>155310.58760356688</v>
      </c>
      <c r="N263" s="244">
        <f t="shared" si="14"/>
        <v>3676968.5611232934</v>
      </c>
      <c r="P263" s="339"/>
    </row>
    <row r="264" spans="1:16" s="163" customFormat="1" x14ac:dyDescent="0.25">
      <c r="A264" s="160">
        <f>'B) D RI'!A265</f>
        <v>5856</v>
      </c>
      <c r="B264" s="161" t="str">
        <f>'B) D RI'!B265</f>
        <v>Essertines-sur-Rolle</v>
      </c>
      <c r="C264" s="334">
        <f>'B) D RI'!S265</f>
        <v>68</v>
      </c>
      <c r="D264" s="162">
        <f>'B) D RI'!AA265</f>
        <v>696</v>
      </c>
      <c r="E264" s="332">
        <f>'D) Ecrêtage'!C263</f>
        <v>34358.63256703021</v>
      </c>
      <c r="F264" s="336">
        <f>'E) Fact soc'!G269</f>
        <v>741339.84049295343</v>
      </c>
      <c r="G264" s="333">
        <f>'H) Péréquation directe'!I274</f>
        <v>601644.1418189283</v>
      </c>
      <c r="H264" s="336">
        <f>+'I) Dépenses thématiques'!O263</f>
        <v>-10142.954597818738</v>
      </c>
      <c r="I264" s="333">
        <f>'K) Plafonnement aide'!J263</f>
        <v>0</v>
      </c>
      <c r="J264" s="336">
        <f>'J) Plafonnement effort'!I263</f>
        <v>0</v>
      </c>
      <c r="K264" s="333">
        <f>'L) Plafonnement taux'!Q264</f>
        <v>0</v>
      </c>
      <c r="L264" s="331">
        <f t="shared" si="12"/>
        <v>1332841.0277140629</v>
      </c>
      <c r="M264" s="244">
        <f>'M) Police'!O264</f>
        <v>103045.23075832054</v>
      </c>
      <c r="N264" s="244">
        <f t="shared" si="14"/>
        <v>1435886.2584723835</v>
      </c>
      <c r="P264" s="339"/>
    </row>
    <row r="265" spans="1:16" s="163" customFormat="1" x14ac:dyDescent="0.25">
      <c r="A265" s="160">
        <f>'B) D RI'!A266</f>
        <v>5857</v>
      </c>
      <c r="B265" s="161" t="str">
        <f>'B) D RI'!B266</f>
        <v>Gilly</v>
      </c>
      <c r="C265" s="334">
        <f>'B) D RI'!S266</f>
        <v>66</v>
      </c>
      <c r="D265" s="162">
        <f>'B) D RI'!AA266</f>
        <v>1294</v>
      </c>
      <c r="E265" s="332">
        <f>'D) Ecrêtage'!C264</f>
        <v>76506.459222154648</v>
      </c>
      <c r="F265" s="336">
        <f>'E) Fact soc'!G270</f>
        <v>1754012.0250062319</v>
      </c>
      <c r="G265" s="333">
        <f>'H) Péréquation directe'!I275</f>
        <v>1305918.3542248411</v>
      </c>
      <c r="H265" s="336">
        <f>+'I) Dépenses thématiques'!O264</f>
        <v>0</v>
      </c>
      <c r="I265" s="333">
        <f>'K) Plafonnement aide'!J264</f>
        <v>0</v>
      </c>
      <c r="J265" s="336">
        <f>'J) Plafonnement effort'!I264</f>
        <v>0</v>
      </c>
      <c r="K265" s="333">
        <f>'L) Plafonnement taux'!Q265</f>
        <v>0</v>
      </c>
      <c r="L265" s="331">
        <f t="shared" si="12"/>
        <v>3059930.379231073</v>
      </c>
      <c r="M265" s="244">
        <f>'M) Police'!O265</f>
        <v>207967.14513787179</v>
      </c>
      <c r="N265" s="244">
        <f t="shared" si="14"/>
        <v>3267897.5243689446</v>
      </c>
      <c r="P265" s="339"/>
    </row>
    <row r="266" spans="1:16" s="163" customFormat="1" x14ac:dyDescent="0.25">
      <c r="A266" s="160">
        <f>'B) D RI'!A267</f>
        <v>5858</v>
      </c>
      <c r="B266" s="161" t="str">
        <f>'B) D RI'!B267</f>
        <v>Luins</v>
      </c>
      <c r="C266" s="334">
        <f>'B) D RI'!S267</f>
        <v>60</v>
      </c>
      <c r="D266" s="162">
        <f>'B) D RI'!AA267</f>
        <v>608</v>
      </c>
      <c r="E266" s="332">
        <f>'D) Ecrêtage'!C265</f>
        <v>34277.61170447935</v>
      </c>
      <c r="F266" s="336">
        <f>'E) Fact soc'!G271</f>
        <v>685354.2763318863</v>
      </c>
      <c r="G266" s="333">
        <f>'H) Péréquation directe'!I276</f>
        <v>610889.93458503636</v>
      </c>
      <c r="H266" s="336">
        <f>+'I) Dépenses thématiques'!O265</f>
        <v>0</v>
      </c>
      <c r="I266" s="333">
        <f>'K) Plafonnement aide'!J265</f>
        <v>0</v>
      </c>
      <c r="J266" s="336">
        <f>'J) Plafonnement effort'!I265</f>
        <v>0</v>
      </c>
      <c r="K266" s="333">
        <f>'L) Plafonnement taux'!Q266</f>
        <v>0</v>
      </c>
      <c r="L266" s="331">
        <f t="shared" ref="L266:L315" si="15">F266+G266+H266+I266+J266+K266</f>
        <v>1296244.2109169227</v>
      </c>
      <c r="M266" s="244">
        <f>'M) Police'!O266</f>
        <v>95548.77900459549</v>
      </c>
      <c r="N266" s="244">
        <f t="shared" si="14"/>
        <v>1391792.9899215181</v>
      </c>
      <c r="P266" s="339"/>
    </row>
    <row r="267" spans="1:16" s="163" customFormat="1" x14ac:dyDescent="0.25">
      <c r="A267" s="160">
        <f>'B) D RI'!A268</f>
        <v>5859</v>
      </c>
      <c r="B267" s="161" t="str">
        <f>'B) D RI'!B268</f>
        <v>Mont-sur-Rolle</v>
      </c>
      <c r="C267" s="334">
        <f>'B) D RI'!S268</f>
        <v>64</v>
      </c>
      <c r="D267" s="162">
        <f>'B) D RI'!AA268</f>
        <v>2701</v>
      </c>
      <c r="E267" s="332">
        <f>'D) Ecrêtage'!C266</f>
        <v>136265.21065164401</v>
      </c>
      <c r="F267" s="336">
        <f>'E) Fact soc'!G272</f>
        <v>2931500.3802462257</v>
      </c>
      <c r="G267" s="333">
        <f>'H) Péréquation directe'!I277</f>
        <v>2015321.0117531198</v>
      </c>
      <c r="H267" s="336">
        <f>+'I) Dépenses thématiques'!O266</f>
        <v>0</v>
      </c>
      <c r="I267" s="333">
        <f>'K) Plafonnement aide'!J266</f>
        <v>0</v>
      </c>
      <c r="J267" s="336">
        <f>'J) Plafonnement effort'!I266</f>
        <v>0</v>
      </c>
      <c r="K267" s="333">
        <f>'L) Plafonnement taux'!Q267</f>
        <v>0</v>
      </c>
      <c r="L267" s="331">
        <f t="shared" si="15"/>
        <v>4946821.3919993453</v>
      </c>
      <c r="M267" s="244">
        <f>'M) Police'!O267</f>
        <v>403692.16360201268</v>
      </c>
      <c r="N267" s="244">
        <f t="shared" si="14"/>
        <v>5350513.5556013584</v>
      </c>
      <c r="P267" s="339"/>
    </row>
    <row r="268" spans="1:16" s="163" customFormat="1" x14ac:dyDescent="0.25">
      <c r="A268" s="160">
        <f>'B) D RI'!A269</f>
        <v>5860</v>
      </c>
      <c r="B268" s="161" t="str">
        <f>'B) D RI'!B269</f>
        <v>Perroy</v>
      </c>
      <c r="C268" s="334">
        <f>'B) D RI'!S269</f>
        <v>60</v>
      </c>
      <c r="D268" s="162">
        <f>'B) D RI'!AA269</f>
        <v>1514</v>
      </c>
      <c r="E268" s="332">
        <f>'D) Ecrêtage'!C267</f>
        <v>87566.238279299258</v>
      </c>
      <c r="F268" s="336">
        <f>'E) Fact soc'!G273</f>
        <v>1945943.2015413162</v>
      </c>
      <c r="G268" s="333">
        <f>'H) Péréquation directe'!I278</f>
        <v>1451179.0902189149</v>
      </c>
      <c r="H268" s="336">
        <f>+'I) Dépenses thématiques'!O267</f>
        <v>0</v>
      </c>
      <c r="I268" s="333">
        <f>'K) Plafonnement aide'!J267</f>
        <v>0</v>
      </c>
      <c r="J268" s="336">
        <f>'J) Plafonnement effort'!I267</f>
        <v>0</v>
      </c>
      <c r="K268" s="333">
        <f>'L) Plafonnement taux'!Q268</f>
        <v>0</v>
      </c>
      <c r="L268" s="331">
        <f t="shared" si="15"/>
        <v>3397122.2917602314</v>
      </c>
      <c r="M268" s="244">
        <f>'M) Police'!O268</f>
        <v>240797.53132992721</v>
      </c>
      <c r="N268" s="244">
        <f t="shared" si="14"/>
        <v>3637919.8230901584</v>
      </c>
      <c r="P268" s="339"/>
    </row>
    <row r="269" spans="1:16" s="163" customFormat="1" x14ac:dyDescent="0.25">
      <c r="A269" s="160">
        <f>'B) D RI'!A270</f>
        <v>5861</v>
      </c>
      <c r="B269" s="161" t="str">
        <f>'B) D RI'!B270</f>
        <v>Rolle</v>
      </c>
      <c r="C269" s="334">
        <f>'B) D RI'!S270</f>
        <v>59.5</v>
      </c>
      <c r="D269" s="162">
        <f>'B) D RI'!AA270</f>
        <v>6225</v>
      </c>
      <c r="E269" s="332">
        <f>'D) Ecrêtage'!C268</f>
        <v>773954.77123318054</v>
      </c>
      <c r="F269" s="336">
        <f>'E) Fact soc'!G274</f>
        <v>24853270.796318822</v>
      </c>
      <c r="G269" s="333">
        <f>'H) Péréquation directe'!I279</f>
        <v>12959488.457737265</v>
      </c>
      <c r="H269" s="336">
        <f>+'I) Dépenses thématiques'!O268</f>
        <v>0</v>
      </c>
      <c r="I269" s="333">
        <f>'K) Plafonnement aide'!J268</f>
        <v>0</v>
      </c>
      <c r="J269" s="336">
        <f>'J) Plafonnement effort'!I268</f>
        <v>-2984794.5485629621</v>
      </c>
      <c r="K269" s="333">
        <f>'L) Plafonnement taux'!Q269</f>
        <v>0</v>
      </c>
      <c r="L269" s="331">
        <f t="shared" si="15"/>
        <v>34827964.70549313</v>
      </c>
      <c r="M269" s="244">
        <f>'M) Police'!O269</f>
        <v>1527200.5823737343</v>
      </c>
      <c r="N269" s="244">
        <f t="shared" si="14"/>
        <v>36355165.287866861</v>
      </c>
      <c r="P269" s="339"/>
    </row>
    <row r="270" spans="1:16" s="163" customFormat="1" x14ac:dyDescent="0.25">
      <c r="A270" s="160">
        <f>'B) D RI'!A271</f>
        <v>5862</v>
      </c>
      <c r="B270" s="161" t="str">
        <f>'B) D RI'!B271</f>
        <v>Tartegnin</v>
      </c>
      <c r="C270" s="334">
        <f>'B) D RI'!S271</f>
        <v>81</v>
      </c>
      <c r="D270" s="162">
        <f>'B) D RI'!AA271</f>
        <v>235</v>
      </c>
      <c r="E270" s="332">
        <f>'D) Ecrêtage'!C269</f>
        <v>10589.245656408681</v>
      </c>
      <c r="F270" s="336">
        <f>'E) Fact soc'!G275</f>
        <v>239970.4990213447</v>
      </c>
      <c r="G270" s="333">
        <f>'H) Péréquation directe'!I280</f>
        <v>181910.78396692741</v>
      </c>
      <c r="H270" s="336">
        <f>+'I) Dépenses thématiques'!O269</f>
        <v>0</v>
      </c>
      <c r="I270" s="333">
        <f>'K) Plafonnement aide'!J269</f>
        <v>0</v>
      </c>
      <c r="J270" s="336">
        <f>'J) Plafonnement effort'!I269</f>
        <v>0</v>
      </c>
      <c r="K270" s="333">
        <f>'L) Plafonnement taux'!Q270</f>
        <v>-24261.884260726591</v>
      </c>
      <c r="L270" s="331">
        <f t="shared" si="15"/>
        <v>397619.39872754557</v>
      </c>
      <c r="M270" s="244">
        <f>'M) Police'!O270</f>
        <v>33479.66498085179</v>
      </c>
      <c r="N270" s="244">
        <f t="shared" si="14"/>
        <v>431099.06370839739</v>
      </c>
      <c r="P270" s="339"/>
    </row>
    <row r="271" spans="1:16" s="163" customFormat="1" x14ac:dyDescent="0.25">
      <c r="A271" s="160">
        <f>'B) D RI'!A272</f>
        <v>5863</v>
      </c>
      <c r="B271" s="161" t="str">
        <f>'B) D RI'!B272</f>
        <v>Vinzel</v>
      </c>
      <c r="C271" s="334">
        <f>'B) D RI'!S272</f>
        <v>67</v>
      </c>
      <c r="D271" s="162">
        <f>'B) D RI'!AA272</f>
        <v>371</v>
      </c>
      <c r="E271" s="332">
        <f>'D) Ecrêtage'!C270</f>
        <v>22777.907701128508</v>
      </c>
      <c r="F271" s="336">
        <f>'E) Fact soc'!G276</f>
        <v>465422.05137131066</v>
      </c>
      <c r="G271" s="333">
        <f>'H) Péréquation directe'!I281</f>
        <v>410022.23839327117</v>
      </c>
      <c r="H271" s="336">
        <f>+'I) Dépenses thématiques'!O270</f>
        <v>-285920.80379322893</v>
      </c>
      <c r="I271" s="333">
        <f>'K) Plafonnement aide'!J270</f>
        <v>0</v>
      </c>
      <c r="J271" s="336">
        <f>'J) Plafonnement effort'!I270</f>
        <v>0</v>
      </c>
      <c r="K271" s="333">
        <f>'L) Plafonnement taux'!Q271</f>
        <v>0</v>
      </c>
      <c r="L271" s="331">
        <f t="shared" si="15"/>
        <v>589523.4859713529</v>
      </c>
      <c r="M271" s="244">
        <f>'M) Police'!O271</f>
        <v>60719.641823928148</v>
      </c>
      <c r="N271" s="244">
        <f t="shared" si="14"/>
        <v>650243.12779528101</v>
      </c>
      <c r="P271" s="339"/>
    </row>
    <row r="272" spans="1:16" s="163" customFormat="1" x14ac:dyDescent="0.25">
      <c r="A272" s="160">
        <f>'B) D RI'!A273</f>
        <v>5871</v>
      </c>
      <c r="B272" s="161" t="str">
        <f>'B) D RI'!B273</f>
        <v>L'Abbaye</v>
      </c>
      <c r="C272" s="334">
        <f>'B) D RI'!S273</f>
        <v>77.3</v>
      </c>
      <c r="D272" s="162">
        <f>'B) D RI'!AA273</f>
        <v>1492</v>
      </c>
      <c r="E272" s="332">
        <f>'D) Ecrêtage'!C271</f>
        <v>46463.831419219103</v>
      </c>
      <c r="F272" s="336">
        <f>'E) Fact soc'!G277</f>
        <v>1072880.6447570282</v>
      </c>
      <c r="G272" s="333">
        <f>'H) Péréquation directe'!I282</f>
        <v>136631.87444832805</v>
      </c>
      <c r="H272" s="336">
        <f>+'I) Dépenses thématiques'!O271</f>
        <v>-385629.26148468535</v>
      </c>
      <c r="I272" s="333">
        <f>'K) Plafonnement aide'!J271</f>
        <v>0</v>
      </c>
      <c r="J272" s="336">
        <f>'J) Plafonnement effort'!I271</f>
        <v>0</v>
      </c>
      <c r="K272" s="333">
        <f>'L) Plafonnement taux'!Q272</f>
        <v>0</v>
      </c>
      <c r="L272" s="331">
        <f t="shared" si="15"/>
        <v>823883.2577206709</v>
      </c>
      <c r="M272" s="244">
        <f>'M) Police'!O272</f>
        <v>146905.80412639154</v>
      </c>
      <c r="N272" s="244">
        <f t="shared" si="14"/>
        <v>970789.06184706243</v>
      </c>
      <c r="P272" s="339"/>
    </row>
    <row r="273" spans="1:16" s="163" customFormat="1" x14ac:dyDescent="0.25">
      <c r="A273" s="160">
        <f>'B) D RI'!A274</f>
        <v>5872</v>
      </c>
      <c r="B273" s="161" t="str">
        <f>'B) D RI'!B274</f>
        <v>Le Chenit</v>
      </c>
      <c r="C273" s="334">
        <f>'B) D RI'!S274</f>
        <v>69.56</v>
      </c>
      <c r="D273" s="162">
        <f>'B) D RI'!AA274</f>
        <v>4612</v>
      </c>
      <c r="E273" s="332">
        <f>'D) Ecrêtage'!C272</f>
        <v>203474.88252883923</v>
      </c>
      <c r="F273" s="336">
        <f>'E) Fact soc'!G278</f>
        <v>5055090.4672492109</v>
      </c>
      <c r="G273" s="333">
        <f>'H) Péréquation directe'!I283</f>
        <v>2362769.5403964659</v>
      </c>
      <c r="H273" s="336">
        <f>+'I) Dépenses thématiques'!O272</f>
        <v>-1989773.292930335</v>
      </c>
      <c r="I273" s="333">
        <f>'K) Plafonnement aide'!J272</f>
        <v>0</v>
      </c>
      <c r="J273" s="336">
        <f>'J) Plafonnement effort'!I272</f>
        <v>0</v>
      </c>
      <c r="K273" s="333">
        <f>'L) Plafonnement taux'!Q273</f>
        <v>0</v>
      </c>
      <c r="L273" s="331">
        <f t="shared" si="15"/>
        <v>5428086.714715342</v>
      </c>
      <c r="M273" s="244">
        <f>'M) Police'!O273</f>
        <v>649578.70680654875</v>
      </c>
      <c r="N273" s="244">
        <f t="shared" si="14"/>
        <v>6077665.4215218909</v>
      </c>
      <c r="P273" s="339"/>
    </row>
    <row r="274" spans="1:16" s="163" customFormat="1" x14ac:dyDescent="0.25">
      <c r="A274" s="160">
        <f>'B) D RI'!A275</f>
        <v>5873</v>
      </c>
      <c r="B274" s="161" t="str">
        <f>'B) D RI'!B275</f>
        <v>Le Lieu</v>
      </c>
      <c r="C274" s="334">
        <f>'B) D RI'!S275</f>
        <v>65</v>
      </c>
      <c r="D274" s="162">
        <f>'B) D RI'!AA275</f>
        <v>869</v>
      </c>
      <c r="E274" s="332">
        <f>'D) Ecrêtage'!C273</f>
        <v>32044.127943123549</v>
      </c>
      <c r="F274" s="336">
        <f>'E) Fact soc'!G279</f>
        <v>786966.29264685302</v>
      </c>
      <c r="G274" s="333">
        <f>'H) Péréquation directe'!I284</f>
        <v>411989.41274397518</v>
      </c>
      <c r="H274" s="336">
        <f>+'I) Dépenses thématiques'!O273</f>
        <v>-775952.88638391613</v>
      </c>
      <c r="I274" s="333">
        <f>'K) Plafonnement aide'!J273</f>
        <v>0</v>
      </c>
      <c r="J274" s="336">
        <f>'J) Plafonnement effort'!I273</f>
        <v>0</v>
      </c>
      <c r="K274" s="333">
        <f>'L) Plafonnement taux'!Q274</f>
        <v>0</v>
      </c>
      <c r="L274" s="331">
        <f t="shared" si="15"/>
        <v>423002.81900691206</v>
      </c>
      <c r="M274" s="244">
        <f>'M) Police'!O274</f>
        <v>101407.91636562374</v>
      </c>
      <c r="N274" s="244">
        <f t="shared" si="14"/>
        <v>524410.73537253577</v>
      </c>
      <c r="P274" s="339"/>
    </row>
    <row r="275" spans="1:16" s="163" customFormat="1" x14ac:dyDescent="0.25">
      <c r="A275" s="160">
        <f>'B) D RI'!A276</f>
        <v>5881</v>
      </c>
      <c r="B275" s="161" t="str">
        <f>'B) D RI'!B276</f>
        <v>Blonay</v>
      </c>
      <c r="C275" s="334">
        <f>'B) D RI'!S276</f>
        <v>70</v>
      </c>
      <c r="D275" s="162">
        <f>'B) D RI'!AA276</f>
        <v>6183</v>
      </c>
      <c r="E275" s="332">
        <f>'D) Ecrêtage'!C274</f>
        <v>337666.7615162601</v>
      </c>
      <c r="F275" s="336">
        <f>'E) Fact soc'!G280</f>
        <v>6802574.6492344476</v>
      </c>
      <c r="G275" s="333">
        <f>'H) Péréquation directe'!I285</f>
        <v>4253275.758685438</v>
      </c>
      <c r="H275" s="336">
        <f>+'I) Dépenses thématiques'!O274</f>
        <v>-932276.3597652443</v>
      </c>
      <c r="I275" s="333">
        <f>'K) Plafonnement aide'!J274</f>
        <v>0</v>
      </c>
      <c r="J275" s="336">
        <f>'J) Plafonnement effort'!I274</f>
        <v>0</v>
      </c>
      <c r="K275" s="333">
        <f>'L) Plafonnement taux'!Q275</f>
        <v>0</v>
      </c>
      <c r="L275" s="331">
        <f t="shared" si="15"/>
        <v>10123574.048154641</v>
      </c>
      <c r="M275" s="244">
        <f>'M) Police'!O275</f>
        <v>438184.97687518602</v>
      </c>
      <c r="N275" s="244">
        <f t="shared" si="14"/>
        <v>10561759.025029827</v>
      </c>
      <c r="P275" s="339"/>
    </row>
    <row r="276" spans="1:16" s="163" customFormat="1" x14ac:dyDescent="0.25">
      <c r="A276" s="160">
        <f>'B) D RI'!A277</f>
        <v>5882</v>
      </c>
      <c r="B276" s="161" t="str">
        <f>'B) D RI'!B277</f>
        <v>Chardonne</v>
      </c>
      <c r="C276" s="334">
        <f>'B) D RI'!S277</f>
        <v>68</v>
      </c>
      <c r="D276" s="162">
        <f>'B) D RI'!AA277</f>
        <v>2921</v>
      </c>
      <c r="E276" s="332">
        <f>'D) Ecrêtage'!C275</f>
        <v>156481.45987298383</v>
      </c>
      <c r="F276" s="336">
        <f>'E) Fact soc'!G281</f>
        <v>4083022.5337699228</v>
      </c>
      <c r="G276" s="333">
        <f>'H) Péréquation directe'!I286</f>
        <v>2343823.3965187366</v>
      </c>
      <c r="H276" s="336">
        <f>+'I) Dépenses thématiques'!O275</f>
        <v>-289930.740762097</v>
      </c>
      <c r="I276" s="333">
        <f>'K) Plafonnement aide'!J275</f>
        <v>0</v>
      </c>
      <c r="J276" s="336">
        <f>'J) Plafonnement effort'!I275</f>
        <v>0</v>
      </c>
      <c r="K276" s="333">
        <f>'L) Plafonnement taux'!Q276</f>
        <v>0</v>
      </c>
      <c r="L276" s="331">
        <f t="shared" si="15"/>
        <v>6136915.1895265626</v>
      </c>
      <c r="M276" s="244">
        <f>'M) Police'!O276</f>
        <v>203063.59017376052</v>
      </c>
      <c r="N276" s="244">
        <f t="shared" si="14"/>
        <v>6339978.779700323</v>
      </c>
      <c r="P276" s="339"/>
    </row>
    <row r="277" spans="1:16" s="163" customFormat="1" x14ac:dyDescent="0.25">
      <c r="A277" s="160">
        <f>'B) D RI'!A278</f>
        <v>5883</v>
      </c>
      <c r="B277" s="161" t="str">
        <f>'B) D RI'!B278</f>
        <v>Corseaux</v>
      </c>
      <c r="C277" s="334">
        <f>'B) D RI'!S278</f>
        <v>69</v>
      </c>
      <c r="D277" s="162">
        <f>'B) D RI'!AA278</f>
        <v>2289</v>
      </c>
      <c r="E277" s="332">
        <f>'D) Ecrêtage'!C276</f>
        <v>150144.54939318728</v>
      </c>
      <c r="F277" s="336">
        <f>'E) Fact soc'!G282</f>
        <v>3622750.4327109</v>
      </c>
      <c r="G277" s="333">
        <f>'H) Péréquation directe'!I287</f>
        <v>2435537.082748909</v>
      </c>
      <c r="H277" s="336">
        <f>+'I) Dépenses thématiques'!O276</f>
        <v>0</v>
      </c>
      <c r="I277" s="333">
        <f>'K) Plafonnement aide'!J276</f>
        <v>0</v>
      </c>
      <c r="J277" s="336">
        <f>'J) Plafonnement effort'!I276</f>
        <v>0</v>
      </c>
      <c r="K277" s="333">
        <f>'L) Plafonnement taux'!Q277</f>
        <v>0</v>
      </c>
      <c r="L277" s="331">
        <f t="shared" si="15"/>
        <v>6058287.5154598095</v>
      </c>
      <c r="M277" s="244">
        <f>'M) Police'!O277</f>
        <v>194840.27864738728</v>
      </c>
      <c r="N277" s="244">
        <f t="shared" si="14"/>
        <v>6253127.7941071969</v>
      </c>
      <c r="P277" s="339"/>
    </row>
    <row r="278" spans="1:16" s="163" customFormat="1" x14ac:dyDescent="0.25">
      <c r="A278" s="160">
        <f>'B) D RI'!A279</f>
        <v>5884</v>
      </c>
      <c r="B278" s="161" t="str">
        <f>'B) D RI'!B279</f>
        <v>Corsier-sur-Vevey</v>
      </c>
      <c r="C278" s="334">
        <f>'B) D RI'!S279</f>
        <v>66</v>
      </c>
      <c r="D278" s="162">
        <f>'B) D RI'!AA279</f>
        <v>3396</v>
      </c>
      <c r="E278" s="332">
        <f>'D) Ecrêtage'!C277</f>
        <v>120582.14380721933</v>
      </c>
      <c r="F278" s="336">
        <f>'E) Fact soc'!G283</f>
        <v>2324458.5267312392</v>
      </c>
      <c r="G278" s="333">
        <f>'H) Péréquation directe'!I288</f>
        <v>830503.76588925114</v>
      </c>
      <c r="H278" s="336">
        <f>+'I) Dépenses thématiques'!O277</f>
        <v>-1138694.887156684</v>
      </c>
      <c r="I278" s="333">
        <f>'K) Plafonnement aide'!J277</f>
        <v>0</v>
      </c>
      <c r="J278" s="336">
        <f>'J) Plafonnement effort'!I277</f>
        <v>0</v>
      </c>
      <c r="K278" s="333">
        <f>'L) Plafonnement taux'!Q278</f>
        <v>0</v>
      </c>
      <c r="L278" s="331">
        <f t="shared" si="15"/>
        <v>2016267.4054638064</v>
      </c>
      <c r="M278" s="244">
        <f>'M) Police'!O278</f>
        <v>156477.59838269546</v>
      </c>
      <c r="N278" s="244">
        <f t="shared" si="14"/>
        <v>2172745.0038465019</v>
      </c>
      <c r="P278" s="339"/>
    </row>
    <row r="279" spans="1:16" s="163" customFormat="1" x14ac:dyDescent="0.25">
      <c r="A279" s="160">
        <f>'B) D RI'!A280</f>
        <v>5885</v>
      </c>
      <c r="B279" s="161" t="str">
        <f>'B) D RI'!B280</f>
        <v>Jongny</v>
      </c>
      <c r="C279" s="334">
        <f>'B) D RI'!S280</f>
        <v>71</v>
      </c>
      <c r="D279" s="162">
        <f>'B) D RI'!AA280</f>
        <v>1549</v>
      </c>
      <c r="E279" s="332">
        <f>'D) Ecrêtage'!C278</f>
        <v>92637.81830716609</v>
      </c>
      <c r="F279" s="336">
        <f>'E) Fact soc'!G284</f>
        <v>2174117.0404799539</v>
      </c>
      <c r="G279" s="333">
        <f>'H) Péréquation directe'!I289</f>
        <v>1540570.748561423</v>
      </c>
      <c r="H279" s="336">
        <f>+'I) Dépenses thématiques'!O278</f>
        <v>-17530.090157003462</v>
      </c>
      <c r="I279" s="333">
        <f>'K) Plafonnement aide'!J278</f>
        <v>0</v>
      </c>
      <c r="J279" s="336">
        <f>'J) Plafonnement effort'!I278</f>
        <v>0</v>
      </c>
      <c r="K279" s="333">
        <f>'L) Plafonnement taux'!Q279</f>
        <v>0</v>
      </c>
      <c r="L279" s="331">
        <f t="shared" si="15"/>
        <v>3697157.6988843731</v>
      </c>
      <c r="M279" s="244">
        <f>'M) Police'!O279</f>
        <v>120214.67582541006</v>
      </c>
      <c r="N279" s="244">
        <f t="shared" si="14"/>
        <v>3817372.3747097831</v>
      </c>
      <c r="P279" s="339"/>
    </row>
    <row r="280" spans="1:16" s="163" customFormat="1" x14ac:dyDescent="0.25">
      <c r="A280" s="160">
        <f>'B) D RI'!A281</f>
        <v>5886</v>
      </c>
      <c r="B280" s="161" t="str">
        <f>'B) D RI'!B281</f>
        <v>Montreux</v>
      </c>
      <c r="C280" s="334">
        <f>'B) D RI'!S281</f>
        <v>65</v>
      </c>
      <c r="D280" s="162">
        <f>'B) D RI'!AA281</f>
        <v>26653</v>
      </c>
      <c r="E280" s="332">
        <f>'D) Ecrêtage'!C279</f>
        <v>1120957.3291830304</v>
      </c>
      <c r="F280" s="336">
        <f>'E) Fact soc'!G285</f>
        <v>25817541.908807367</v>
      </c>
      <c r="G280" s="333">
        <f>'H) Péréquation directe'!I290</f>
        <v>-729982.82626866177</v>
      </c>
      <c r="H280" s="336">
        <f>+'I) Dépenses thématiques'!O279</f>
        <v>-5980257.7780145444</v>
      </c>
      <c r="I280" s="333">
        <f>'K) Plafonnement aide'!J279</f>
        <v>0</v>
      </c>
      <c r="J280" s="336">
        <f>'J) Plafonnement effort'!I279</f>
        <v>0</v>
      </c>
      <c r="K280" s="333">
        <f>'L) Plafonnement taux'!Q280</f>
        <v>0</v>
      </c>
      <c r="L280" s="331">
        <f t="shared" si="15"/>
        <v>19107301.304524161</v>
      </c>
      <c r="M280" s="244">
        <f>'M) Police'!O280</f>
        <v>1454649.1314706546</v>
      </c>
      <c r="N280" s="244">
        <f t="shared" si="14"/>
        <v>20561950.435994815</v>
      </c>
      <c r="P280" s="339"/>
    </row>
    <row r="281" spans="1:16" s="163" customFormat="1" x14ac:dyDescent="0.25">
      <c r="A281" s="160">
        <f>'B) D RI'!A282</f>
        <v>5888</v>
      </c>
      <c r="B281" s="161" t="str">
        <f>'B) D RI'!B282</f>
        <v>Saint-Légier-La Chiésaz</v>
      </c>
      <c r="C281" s="334">
        <f>'B) D RI'!S282</f>
        <v>67</v>
      </c>
      <c r="D281" s="162">
        <f>'B) D RI'!AA282</f>
        <v>5167</v>
      </c>
      <c r="E281" s="332">
        <f>'D) Ecrêtage'!C280</f>
        <v>291113.86411428853</v>
      </c>
      <c r="F281" s="336">
        <f>'E) Fact soc'!G286</f>
        <v>6439492.6691527469</v>
      </c>
      <c r="G281" s="333">
        <f>'H) Péréquation directe'!I291</f>
        <v>3923887.7812501481</v>
      </c>
      <c r="H281" s="336">
        <f>+'I) Dépenses thématiques'!O280</f>
        <v>-312774.85191428359</v>
      </c>
      <c r="I281" s="333">
        <f>'K) Plafonnement aide'!J280</f>
        <v>0</v>
      </c>
      <c r="J281" s="336">
        <f>'J) Plafonnement effort'!I280</f>
        <v>0</v>
      </c>
      <c r="K281" s="333">
        <f>'L) Plafonnement taux'!Q281</f>
        <v>0</v>
      </c>
      <c r="L281" s="331">
        <f t="shared" si="15"/>
        <v>10050605.598488612</v>
      </c>
      <c r="M281" s="244">
        <f>'M) Police'!O281</f>
        <v>377773.99600174424</v>
      </c>
      <c r="N281" s="244">
        <f t="shared" si="14"/>
        <v>10428379.594490357</v>
      </c>
      <c r="P281" s="339"/>
    </row>
    <row r="282" spans="1:16" s="163" customFormat="1" x14ac:dyDescent="0.25">
      <c r="A282" s="160">
        <f>'B) D RI'!A283</f>
        <v>5889</v>
      </c>
      <c r="B282" s="161" t="str">
        <f>'B) D RI'!B283</f>
        <v>La Tour-de-Peilz</v>
      </c>
      <c r="C282" s="334">
        <f>'B) D RI'!S283</f>
        <v>64</v>
      </c>
      <c r="D282" s="162">
        <f>'B) D RI'!AA283</f>
        <v>11779</v>
      </c>
      <c r="E282" s="332">
        <f>'D) Ecrêtage'!C281</f>
        <v>674531.22490925156</v>
      </c>
      <c r="F282" s="336">
        <f>'E) Fact soc'!G287</f>
        <v>14480253.034720687</v>
      </c>
      <c r="G282" s="333">
        <f>'H) Péréquation directe'!I292</f>
        <v>6991266.2429940961</v>
      </c>
      <c r="H282" s="336">
        <f>+'I) Dépenses thématiques'!O281</f>
        <v>0</v>
      </c>
      <c r="I282" s="333">
        <f>'K) Plafonnement aide'!J281</f>
        <v>0</v>
      </c>
      <c r="J282" s="336">
        <f>'J) Plafonnement effort'!I281</f>
        <v>0</v>
      </c>
      <c r="K282" s="333">
        <f>'L) Plafonnement taux'!Q282</f>
        <v>0</v>
      </c>
      <c r="L282" s="331">
        <f t="shared" si="15"/>
        <v>21471519.277714781</v>
      </c>
      <c r="M282" s="244">
        <f>'M) Police'!O282</f>
        <v>875328.82378243306</v>
      </c>
      <c r="N282" s="244">
        <f t="shared" si="14"/>
        <v>22346848.101497214</v>
      </c>
      <c r="P282" s="339"/>
    </row>
    <row r="283" spans="1:16" s="163" customFormat="1" x14ac:dyDescent="0.25">
      <c r="A283" s="160">
        <f>'B) D RI'!A284</f>
        <v>5890</v>
      </c>
      <c r="B283" s="161" t="str">
        <f>'B) D RI'!B284</f>
        <v>Vevey</v>
      </c>
      <c r="C283" s="334">
        <f>'B) D RI'!S284</f>
        <v>73</v>
      </c>
      <c r="D283" s="162">
        <f>'B) D RI'!AA284</f>
        <v>19829</v>
      </c>
      <c r="E283" s="332">
        <f>'D) Ecrêtage'!C282</f>
        <v>953247.91463963222</v>
      </c>
      <c r="F283" s="336">
        <f>'E) Fact soc'!G288</f>
        <v>18931922.019213811</v>
      </c>
      <c r="G283" s="333">
        <f>'H) Péréquation directe'!I293</f>
        <v>4410414.500201581</v>
      </c>
      <c r="H283" s="336">
        <f>+'I) Dépenses thématiques'!O282</f>
        <v>-1986061.2621622067</v>
      </c>
      <c r="I283" s="333">
        <f>'K) Plafonnement aide'!J282</f>
        <v>0</v>
      </c>
      <c r="J283" s="336">
        <f>'J) Plafonnement effort'!I282</f>
        <v>0</v>
      </c>
      <c r="K283" s="333">
        <f>'L) Plafonnement taux'!Q283</f>
        <v>0</v>
      </c>
      <c r="L283" s="331">
        <f t="shared" si="15"/>
        <v>21356275.257253185</v>
      </c>
      <c r="M283" s="244">
        <f>'M) Police'!O283</f>
        <v>1237015.1967491552</v>
      </c>
      <c r="N283" s="244">
        <f t="shared" si="14"/>
        <v>22593290.454002339</v>
      </c>
      <c r="P283" s="339"/>
    </row>
    <row r="284" spans="1:16" s="163" customFormat="1" x14ac:dyDescent="0.25">
      <c r="A284" s="160">
        <f>'B) D RI'!A285</f>
        <v>5891</v>
      </c>
      <c r="B284" s="161" t="str">
        <f>'B) D RI'!B285</f>
        <v>Veytaux</v>
      </c>
      <c r="C284" s="334">
        <f>'B) D RI'!S285</f>
        <v>69</v>
      </c>
      <c r="D284" s="162">
        <f>'B) D RI'!AA285</f>
        <v>870</v>
      </c>
      <c r="E284" s="332">
        <f>'D) Ecrêtage'!C283</f>
        <v>35139.330604262883</v>
      </c>
      <c r="F284" s="336">
        <f>'E) Fact soc'!G289</f>
        <v>676037.65144603304</v>
      </c>
      <c r="G284" s="333">
        <f>'H) Péréquation directe'!I294</f>
        <v>516133.39968707325</v>
      </c>
      <c r="H284" s="336">
        <f>+'I) Dépenses thématiques'!O283</f>
        <v>-318407.26842122554</v>
      </c>
      <c r="I284" s="333">
        <f>'K) Plafonnement aide'!J283</f>
        <v>0</v>
      </c>
      <c r="J284" s="336">
        <f>'J) Plafonnement effort'!I283</f>
        <v>0</v>
      </c>
      <c r="K284" s="333">
        <f>'L) Plafonnement taux'!Q284</f>
        <v>0</v>
      </c>
      <c r="L284" s="331">
        <f t="shared" si="15"/>
        <v>873763.78271188075</v>
      </c>
      <c r="M284" s="244">
        <f>'M) Police'!O284</f>
        <v>45599.770315257963</v>
      </c>
      <c r="N284" s="244">
        <f t="shared" si="14"/>
        <v>919363.5530271387</v>
      </c>
      <c r="P284" s="339"/>
    </row>
    <row r="285" spans="1:16" s="163" customFormat="1" x14ac:dyDescent="0.25">
      <c r="A285" s="160">
        <f>'B) D RI'!A286</f>
        <v>5902</v>
      </c>
      <c r="B285" s="161" t="str">
        <f>'B) D RI'!B286</f>
        <v>Belmont-sur-Yverdon</v>
      </c>
      <c r="C285" s="334">
        <f>'B) D RI'!S286</f>
        <v>76</v>
      </c>
      <c r="D285" s="162">
        <f>'B) D RI'!AA286</f>
        <v>378</v>
      </c>
      <c r="E285" s="332">
        <f>'D) Ecrêtage'!C284</f>
        <v>9890.2176826722334</v>
      </c>
      <c r="F285" s="336">
        <f>'E) Fact soc'!G290</f>
        <v>187746.09090443701</v>
      </c>
      <c r="G285" s="333">
        <f>'H) Péréquation directe'!I295</f>
        <v>-14363.368937787018</v>
      </c>
      <c r="H285" s="336">
        <f>+'I) Dépenses thématiques'!O284</f>
        <v>-360732.78064196242</v>
      </c>
      <c r="I285" s="333">
        <f>'K) Plafonnement aide'!J284</f>
        <v>0</v>
      </c>
      <c r="J285" s="336">
        <f>'J) Plafonnement effort'!I284</f>
        <v>0</v>
      </c>
      <c r="K285" s="333">
        <f>'L) Plafonnement taux'!Q285</f>
        <v>0</v>
      </c>
      <c r="L285" s="331">
        <f t="shared" si="15"/>
        <v>-187350.05867531244</v>
      </c>
      <c r="M285" s="244">
        <f>'M) Police'!O285</f>
        <v>31245.255986036711</v>
      </c>
      <c r="N285" s="244">
        <f t="shared" si="14"/>
        <v>-156104.80268927573</v>
      </c>
      <c r="P285" s="339"/>
    </row>
    <row r="286" spans="1:16" s="163" customFormat="1" x14ac:dyDescent="0.25">
      <c r="A286" s="160">
        <f>'B) D RI'!A287</f>
        <v>5903</v>
      </c>
      <c r="B286" s="161" t="str">
        <f>'B) D RI'!B287</f>
        <v>Bioley-Magnoux</v>
      </c>
      <c r="C286" s="334">
        <f>'B) D RI'!S287</f>
        <v>74</v>
      </c>
      <c r="D286" s="162">
        <f>'B) D RI'!AA287</f>
        <v>225</v>
      </c>
      <c r="E286" s="332">
        <f>'D) Ecrêtage'!C285</f>
        <v>5925.8519470372794</v>
      </c>
      <c r="F286" s="336">
        <f>'E) Fact soc'!G291</f>
        <v>108983.29896686372</v>
      </c>
      <c r="G286" s="333">
        <f>'H) Péréquation directe'!I296</f>
        <v>-1806.7024151522346</v>
      </c>
      <c r="H286" s="336">
        <f>+'I) Dépenses thématiques'!O285</f>
        <v>-294018.24935749837</v>
      </c>
      <c r="I286" s="333">
        <f>'K) Plafonnement aide'!J285</f>
        <v>0</v>
      </c>
      <c r="J286" s="336">
        <f>'J) Plafonnement effort'!I285</f>
        <v>0</v>
      </c>
      <c r="K286" s="333">
        <f>'L) Plafonnement taux'!Q286</f>
        <v>0</v>
      </c>
      <c r="L286" s="331">
        <f t="shared" si="15"/>
        <v>-186841.65280578687</v>
      </c>
      <c r="M286" s="244">
        <f>'M) Police'!O286</f>
        <v>18635.108442320365</v>
      </c>
      <c r="N286" s="244">
        <f t="shared" si="14"/>
        <v>-168206.5443634665</v>
      </c>
      <c r="P286" s="339"/>
    </row>
    <row r="287" spans="1:16" s="163" customFormat="1" x14ac:dyDescent="0.25">
      <c r="A287" s="160">
        <f>'B) D RI'!A288</f>
        <v>5904</v>
      </c>
      <c r="B287" s="161" t="str">
        <f>'B) D RI'!B288</f>
        <v>Chamblon</v>
      </c>
      <c r="C287" s="334">
        <f>'B) D RI'!S288</f>
        <v>66</v>
      </c>
      <c r="D287" s="162">
        <f>'B) D RI'!AA288</f>
        <v>534</v>
      </c>
      <c r="E287" s="332">
        <f>'D) Ecrêtage'!C286</f>
        <v>21650.618671075306</v>
      </c>
      <c r="F287" s="336">
        <f>'E) Fact soc'!G292</f>
        <v>392853.98881152738</v>
      </c>
      <c r="G287" s="333">
        <f>'H) Péréquation directe'!I297</f>
        <v>324033.1944065179</v>
      </c>
      <c r="H287" s="336">
        <f>+'I) Dépenses thématiques'!O286</f>
        <v>0</v>
      </c>
      <c r="I287" s="333">
        <f>'K) Plafonnement aide'!J286</f>
        <v>0</v>
      </c>
      <c r="J287" s="336">
        <f>'J) Plafonnement effort'!I286</f>
        <v>0</v>
      </c>
      <c r="K287" s="333">
        <f>'L) Plafonnement taux'!Q287</f>
        <v>0</v>
      </c>
      <c r="L287" s="331">
        <f t="shared" si="15"/>
        <v>716887.18321804528</v>
      </c>
      <c r="M287" s="244">
        <f>'M) Police'!O287</f>
        <v>28095.675745869245</v>
      </c>
      <c r="N287" s="244">
        <f t="shared" si="14"/>
        <v>744982.85896391456</v>
      </c>
      <c r="P287" s="339"/>
    </row>
    <row r="288" spans="1:16" s="163" customFormat="1" x14ac:dyDescent="0.25">
      <c r="A288" s="160">
        <f>'B) D RI'!A289</f>
        <v>5905</v>
      </c>
      <c r="B288" s="161" t="str">
        <f>'B) D RI'!B289</f>
        <v>Champvent</v>
      </c>
      <c r="C288" s="334">
        <f>'B) D RI'!S289</f>
        <v>71</v>
      </c>
      <c r="D288" s="162">
        <f>'B) D RI'!AA289</f>
        <v>669</v>
      </c>
      <c r="E288" s="332">
        <f>'D) Ecrêtage'!C287</f>
        <v>22161.114023042239</v>
      </c>
      <c r="F288" s="336">
        <f>'E) Fact soc'!G293</f>
        <v>407632.79951505992</v>
      </c>
      <c r="G288" s="333">
        <f>'H) Péréquation directe'!I298</f>
        <v>198517.44611522381</v>
      </c>
      <c r="H288" s="336">
        <f>+'I) Dépenses thématiques'!O287</f>
        <v>-77600.980344464886</v>
      </c>
      <c r="I288" s="333">
        <f>'K) Plafonnement aide'!J287</f>
        <v>0</v>
      </c>
      <c r="J288" s="336">
        <f>'J) Plafonnement effort'!I287</f>
        <v>0</v>
      </c>
      <c r="K288" s="333">
        <f>'L) Plafonnement taux'!Q288</f>
        <v>0</v>
      </c>
      <c r="L288" s="331">
        <f t="shared" si="15"/>
        <v>528549.26528581884</v>
      </c>
      <c r="M288" s="244">
        <f>'M) Police'!O288</f>
        <v>70371.324934530698</v>
      </c>
      <c r="N288" s="244">
        <f t="shared" si="14"/>
        <v>598920.59022034949</v>
      </c>
      <c r="P288" s="339"/>
    </row>
    <row r="289" spans="1:16" s="163" customFormat="1" x14ac:dyDescent="0.25">
      <c r="A289" s="160">
        <f>'B) D RI'!A290</f>
        <v>5907</v>
      </c>
      <c r="B289" s="161" t="str">
        <f>'B) D RI'!B290</f>
        <v>Chavannes-le-Chêne</v>
      </c>
      <c r="C289" s="334">
        <f>'B) D RI'!S290</f>
        <v>78</v>
      </c>
      <c r="D289" s="162">
        <f>'B) D RI'!AA290</f>
        <v>298</v>
      </c>
      <c r="E289" s="332">
        <f>'D) Ecrêtage'!C288</f>
        <v>8634.8729280902389</v>
      </c>
      <c r="F289" s="336">
        <f>'E) Fact soc'!G294</f>
        <v>142794.91049998082</v>
      </c>
      <c r="G289" s="333">
        <f>'H) Péréquation directe'!I299</f>
        <v>18770.643063383381</v>
      </c>
      <c r="H289" s="336">
        <f>+'I) Dépenses thématiques'!O288</f>
        <v>-81694.607735390891</v>
      </c>
      <c r="I289" s="333">
        <f>'K) Plafonnement aide'!J288</f>
        <v>0</v>
      </c>
      <c r="J289" s="336">
        <f>'J) Plafonnement effort'!I288</f>
        <v>0</v>
      </c>
      <c r="K289" s="333">
        <f>'L) Plafonnement taux'!Q289</f>
        <v>0</v>
      </c>
      <c r="L289" s="331">
        <f t="shared" si="15"/>
        <v>79870.945827973308</v>
      </c>
      <c r="M289" s="244">
        <f>'M) Police'!O289</f>
        <v>27438.454669421411</v>
      </c>
      <c r="N289" s="244">
        <f t="shared" si="14"/>
        <v>107309.40049739472</v>
      </c>
      <c r="P289" s="339"/>
    </row>
    <row r="290" spans="1:16" s="163" customFormat="1" x14ac:dyDescent="0.25">
      <c r="A290" s="160">
        <f>'B) D RI'!A291</f>
        <v>5908</v>
      </c>
      <c r="B290" s="161" t="str">
        <f>'B) D RI'!B291</f>
        <v>Chêne-Pâquier</v>
      </c>
      <c r="C290" s="334">
        <f>'B) D RI'!S291</f>
        <v>79</v>
      </c>
      <c r="D290" s="162">
        <f>'B) D RI'!AA291</f>
        <v>139</v>
      </c>
      <c r="E290" s="332">
        <f>'D) Ecrêtage'!C289</f>
        <v>2752.8487805406176</v>
      </c>
      <c r="F290" s="336">
        <f>'E) Fact soc'!G295</f>
        <v>44849.231283886198</v>
      </c>
      <c r="G290" s="333">
        <f>'H) Péréquation directe'!I300</f>
        <v>-49836.731179022696</v>
      </c>
      <c r="H290" s="336">
        <f>+'I) Dépenses thématiques'!O289</f>
        <v>-35249.520731350829</v>
      </c>
      <c r="I290" s="333">
        <f>'K) Plafonnement aide'!J289</f>
        <v>0</v>
      </c>
      <c r="J290" s="336">
        <f>'J) Plafonnement effort'!I289</f>
        <v>0</v>
      </c>
      <c r="K290" s="333">
        <f>'L) Plafonnement taux'!Q290</f>
        <v>0</v>
      </c>
      <c r="L290" s="331">
        <f t="shared" si="15"/>
        <v>-40237.020626487327</v>
      </c>
      <c r="M290" s="244">
        <f>'M) Police'!O290</f>
        <v>8665.0271970379799</v>
      </c>
      <c r="N290" s="244">
        <f t="shared" si="14"/>
        <v>-31571.993429449347</v>
      </c>
      <c r="P290" s="339"/>
    </row>
    <row r="291" spans="1:16" s="163" customFormat="1" x14ac:dyDescent="0.25">
      <c r="A291" s="160">
        <f>'B) D RI'!A292</f>
        <v>5909</v>
      </c>
      <c r="B291" s="161" t="str">
        <f>'B) D RI'!B292</f>
        <v>Cheseaux-Noréaz</v>
      </c>
      <c r="C291" s="334">
        <f>'B) D RI'!S292</f>
        <v>70</v>
      </c>
      <c r="D291" s="162">
        <f>'B) D RI'!AA292</f>
        <v>705</v>
      </c>
      <c r="E291" s="332">
        <f>'D) Ecrêtage'!C290</f>
        <v>27860.638922764225</v>
      </c>
      <c r="F291" s="336">
        <f>'E) Fact soc'!G296</f>
        <v>576775.45984185697</v>
      </c>
      <c r="G291" s="333">
        <f>'H) Péréquation directe'!I301</f>
        <v>392085.452027147</v>
      </c>
      <c r="H291" s="336">
        <f>+'I) Dépenses thématiques'!O290</f>
        <v>-120644.91646341464</v>
      </c>
      <c r="I291" s="333">
        <f>'K) Plafonnement aide'!J290</f>
        <v>0</v>
      </c>
      <c r="J291" s="336">
        <f>'J) Plafonnement effort'!I290</f>
        <v>0</v>
      </c>
      <c r="K291" s="333">
        <f>'L) Plafonnement taux'!Q291</f>
        <v>0</v>
      </c>
      <c r="L291" s="331">
        <f t="shared" si="15"/>
        <v>848215.99540558923</v>
      </c>
      <c r="M291" s="244">
        <f>'M) Police'!O291</f>
        <v>36154.323769624199</v>
      </c>
      <c r="N291" s="244">
        <f t="shared" si="14"/>
        <v>884370.31917521346</v>
      </c>
      <c r="P291" s="339"/>
    </row>
    <row r="292" spans="1:16" s="163" customFormat="1" x14ac:dyDescent="0.25">
      <c r="A292" s="160">
        <f>'B) D RI'!A293</f>
        <v>5910</v>
      </c>
      <c r="B292" s="161" t="str">
        <f>'B) D RI'!B293</f>
        <v>Cronay</v>
      </c>
      <c r="C292" s="334">
        <f>'B) D RI'!S293</f>
        <v>79</v>
      </c>
      <c r="D292" s="162">
        <f>'B) D RI'!AA293</f>
        <v>380</v>
      </c>
      <c r="E292" s="332">
        <f>'D) Ecrêtage'!C291</f>
        <v>10082.92355515589</v>
      </c>
      <c r="F292" s="336">
        <f>'E) Fact soc'!G297</f>
        <v>163295.0762243729</v>
      </c>
      <c r="G292" s="333">
        <f>'H) Péréquation directe'!I302</f>
        <v>-21545.92680131059</v>
      </c>
      <c r="H292" s="336">
        <f>+'I) Dépenses thématiques'!O291</f>
        <v>-94178.016002697725</v>
      </c>
      <c r="I292" s="333">
        <f>'K) Plafonnement aide'!J291</f>
        <v>0</v>
      </c>
      <c r="J292" s="336">
        <f>'J) Plafonnement effort'!I291</f>
        <v>0</v>
      </c>
      <c r="K292" s="333">
        <f>'L) Plafonnement taux'!Q292</f>
        <v>0</v>
      </c>
      <c r="L292" s="331">
        <f t="shared" si="15"/>
        <v>47571.133420364582</v>
      </c>
      <c r="M292" s="244">
        <f>'M) Police'!O292</f>
        <v>31942.816267713824</v>
      </c>
      <c r="N292" s="244">
        <f t="shared" si="14"/>
        <v>79513.949688078399</v>
      </c>
      <c r="P292" s="339"/>
    </row>
    <row r="293" spans="1:16" s="163" customFormat="1" x14ac:dyDescent="0.25">
      <c r="A293" s="160">
        <f>'B) D RI'!A294</f>
        <v>5911</v>
      </c>
      <c r="B293" s="161" t="str">
        <f>'B) D RI'!B294</f>
        <v>Cuarny</v>
      </c>
      <c r="C293" s="334">
        <f>'B) D RI'!S294</f>
        <v>79</v>
      </c>
      <c r="D293" s="162">
        <f>'B) D RI'!AA294</f>
        <v>241</v>
      </c>
      <c r="E293" s="332">
        <f>'D) Ecrêtage'!C292</f>
        <v>7082.7432735873799</v>
      </c>
      <c r="F293" s="336">
        <f>'E) Fact soc'!G298</f>
        <v>117032.87649888787</v>
      </c>
      <c r="G293" s="333">
        <f>'H) Péréquation directe'!I303</f>
        <v>17196.999921640614</v>
      </c>
      <c r="H293" s="336">
        <f>+'I) Dépenses thématiques'!O292</f>
        <v>-20956.732903285189</v>
      </c>
      <c r="I293" s="333">
        <f>'K) Plafonnement aide'!J292</f>
        <v>0</v>
      </c>
      <c r="J293" s="336">
        <f>'J) Plafonnement effort'!I292</f>
        <v>0</v>
      </c>
      <c r="K293" s="333">
        <f>'L) Plafonnement taux'!Q293</f>
        <v>0</v>
      </c>
      <c r="L293" s="331">
        <f t="shared" si="15"/>
        <v>113273.1435172433</v>
      </c>
      <c r="M293" s="244">
        <f>'M) Police'!O293</f>
        <v>22556.577900190547</v>
      </c>
      <c r="N293" s="244">
        <f t="shared" si="14"/>
        <v>135829.72141743384</v>
      </c>
      <c r="P293" s="339"/>
    </row>
    <row r="294" spans="1:16" s="163" customFormat="1" x14ac:dyDescent="0.25">
      <c r="A294" s="160">
        <f>'B) D RI'!A295</f>
        <v>5912</v>
      </c>
      <c r="B294" s="161" t="str">
        <f>'B) D RI'!B295</f>
        <v>Démoret</v>
      </c>
      <c r="C294" s="334">
        <f>'B) D RI'!S295</f>
        <v>81</v>
      </c>
      <c r="D294" s="162">
        <f>'B) D RI'!AA295</f>
        <v>146</v>
      </c>
      <c r="E294" s="332">
        <f>'D) Ecrêtage'!C293</f>
        <v>3186.2414803898018</v>
      </c>
      <c r="F294" s="336">
        <f>'E) Fact soc'!G299</f>
        <v>57396.857553934067</v>
      </c>
      <c r="G294" s="333">
        <f>'H) Péréquation directe'!I304</f>
        <v>-43476.405650085915</v>
      </c>
      <c r="H294" s="336">
        <f>+'I) Dépenses thématiques'!O293</f>
        <v>-15291.568889707647</v>
      </c>
      <c r="I294" s="333">
        <f>'K) Plafonnement aide'!J293</f>
        <v>0</v>
      </c>
      <c r="J294" s="336">
        <f>'J) Plafonnement effort'!I293</f>
        <v>0</v>
      </c>
      <c r="K294" s="333">
        <f>'L) Plafonnement taux'!Q294</f>
        <v>0</v>
      </c>
      <c r="L294" s="331">
        <f t="shared" si="15"/>
        <v>-1371.1169858594949</v>
      </c>
      <c r="M294" s="244">
        <f>'M) Police'!O294</f>
        <v>10034.634470239835</v>
      </c>
      <c r="N294" s="244">
        <f t="shared" si="14"/>
        <v>8663.5174843803397</v>
      </c>
      <c r="P294" s="339"/>
    </row>
    <row r="295" spans="1:16" s="163" customFormat="1" x14ac:dyDescent="0.25">
      <c r="A295" s="160">
        <f>'B) D RI'!A296</f>
        <v>5913</v>
      </c>
      <c r="B295" s="161" t="str">
        <f>'B) D RI'!B296</f>
        <v>Donneloye</v>
      </c>
      <c r="C295" s="334">
        <f>'B) D RI'!S296</f>
        <v>73</v>
      </c>
      <c r="D295" s="162">
        <f>'B) D RI'!AA296</f>
        <v>813</v>
      </c>
      <c r="E295" s="332">
        <f>'D) Ecrêtage'!C294</f>
        <v>20035.3963318641</v>
      </c>
      <c r="F295" s="336">
        <f>'E) Fact soc'!G300</f>
        <v>360966.81898382131</v>
      </c>
      <c r="G295" s="333">
        <f>'H) Péréquation directe'!I305</f>
        <v>-54297.304254885064</v>
      </c>
      <c r="H295" s="336">
        <f>+'I) Dépenses thématiques'!O294</f>
        <v>-128653.07475991733</v>
      </c>
      <c r="I295" s="333">
        <f>'K) Plafonnement aide'!J294</f>
        <v>0</v>
      </c>
      <c r="J295" s="336">
        <f>'J) Plafonnement effort'!I294</f>
        <v>0</v>
      </c>
      <c r="K295" s="333">
        <f>'L) Plafonnement taux'!Q295</f>
        <v>0</v>
      </c>
      <c r="L295" s="331">
        <f t="shared" si="15"/>
        <v>178016.43996901892</v>
      </c>
      <c r="M295" s="244">
        <f>'M) Police'!O295</f>
        <v>63150.283539814191</v>
      </c>
      <c r="N295" s="244">
        <f t="shared" si="14"/>
        <v>241166.72350883309</v>
      </c>
      <c r="P295" s="339"/>
    </row>
    <row r="296" spans="1:16" s="163" customFormat="1" x14ac:dyDescent="0.25">
      <c r="A296" s="160">
        <f>'B) D RI'!A297</f>
        <v>5914</v>
      </c>
      <c r="B296" s="161" t="str">
        <f>'B) D RI'!B297</f>
        <v>Ependes</v>
      </c>
      <c r="C296" s="334">
        <f>'B) D RI'!S297</f>
        <v>75</v>
      </c>
      <c r="D296" s="162">
        <f>'B) D RI'!AA297</f>
        <v>361</v>
      </c>
      <c r="E296" s="332">
        <f>'D) Ecrêtage'!C295</f>
        <v>10170.223624242424</v>
      </c>
      <c r="F296" s="336">
        <f>'E) Fact soc'!G301</f>
        <v>179307.1118264703</v>
      </c>
      <c r="G296" s="333">
        <f>'H) Péréquation directe'!I306</f>
        <v>21150.545481341338</v>
      </c>
      <c r="H296" s="336">
        <f>+'I) Dépenses thématiques'!O295</f>
        <v>-68497.490536363635</v>
      </c>
      <c r="I296" s="333">
        <f>'K) Plafonnement aide'!J295</f>
        <v>0</v>
      </c>
      <c r="J296" s="336">
        <f>'J) Plafonnement effort'!I295</f>
        <v>0</v>
      </c>
      <c r="K296" s="333">
        <f>'L) Plafonnement taux'!Q296</f>
        <v>0</v>
      </c>
      <c r="L296" s="331">
        <f t="shared" si="15"/>
        <v>131960.16677144798</v>
      </c>
      <c r="M296" s="244">
        <f>'M) Police'!O296</f>
        <v>13197.743193890112</v>
      </c>
      <c r="N296" s="244">
        <f t="shared" si="14"/>
        <v>145157.9099653381</v>
      </c>
      <c r="P296" s="339"/>
    </row>
    <row r="297" spans="1:16" s="163" customFormat="1" x14ac:dyDescent="0.25">
      <c r="A297" s="160">
        <f>'B) D RI'!A298</f>
        <v>5919</v>
      </c>
      <c r="B297" s="161" t="str">
        <f>'B) D RI'!B298</f>
        <v>Mathod</v>
      </c>
      <c r="C297" s="334">
        <f>'B) D RI'!S298</f>
        <v>72</v>
      </c>
      <c r="D297" s="162">
        <f>'B) D RI'!AA298</f>
        <v>617</v>
      </c>
      <c r="E297" s="332">
        <f>'D) Ecrêtage'!C296</f>
        <v>15960.347228765168</v>
      </c>
      <c r="F297" s="336">
        <f>'E) Fact soc'!G302</f>
        <v>264235.91258829267</v>
      </c>
      <c r="G297" s="333">
        <f>'H) Péréquation directe'!I307</f>
        <v>-3185.8803497349727</v>
      </c>
      <c r="H297" s="336">
        <f>+'I) Dépenses thématiques'!O296</f>
        <v>-256329.16662740899</v>
      </c>
      <c r="I297" s="333">
        <f>'K) Plafonnement aide'!J296</f>
        <v>0</v>
      </c>
      <c r="J297" s="336">
        <f>'J) Plafonnement effort'!I296</f>
        <v>0</v>
      </c>
      <c r="K297" s="333">
        <f>'L) Plafonnement taux'!Q297</f>
        <v>0</v>
      </c>
      <c r="L297" s="331">
        <f t="shared" si="15"/>
        <v>4720.8656111487071</v>
      </c>
      <c r="M297" s="244">
        <f>'M) Police'!O297</f>
        <v>20711.497779504225</v>
      </c>
      <c r="N297" s="244">
        <f t="shared" si="14"/>
        <v>25432.363390652932</v>
      </c>
      <c r="P297" s="339"/>
    </row>
    <row r="298" spans="1:16" s="163" customFormat="1" x14ac:dyDescent="0.25">
      <c r="A298" s="160">
        <f>'B) D RI'!A299</f>
        <v>5921</v>
      </c>
      <c r="B298" s="161" t="str">
        <f>'B) D RI'!B299</f>
        <v>Molondin</v>
      </c>
      <c r="C298" s="334">
        <f>'B) D RI'!S299</f>
        <v>81</v>
      </c>
      <c r="D298" s="162">
        <f>'B) D RI'!AA299</f>
        <v>232</v>
      </c>
      <c r="E298" s="332">
        <f>'D) Ecrêtage'!C297</f>
        <v>5323.6574375620139</v>
      </c>
      <c r="F298" s="336">
        <f>'E) Fact soc'!G303</f>
        <v>95959.066900937949</v>
      </c>
      <c r="G298" s="333">
        <f>'H) Péréquation directe'!I308</f>
        <v>-57065.428853120495</v>
      </c>
      <c r="H298" s="336">
        <f>+'I) Dépenses thématiques'!O297</f>
        <v>-38946.06229645641</v>
      </c>
      <c r="I298" s="333">
        <f>'K) Plafonnement aide'!J297</f>
        <v>0</v>
      </c>
      <c r="J298" s="336">
        <f>'J) Plafonnement effort'!I297</f>
        <v>0</v>
      </c>
      <c r="K298" s="333">
        <f>'L) Plafonnement taux'!Q298</f>
        <v>0</v>
      </c>
      <c r="L298" s="331">
        <f t="shared" si="15"/>
        <v>-52.42424863895576</v>
      </c>
      <c r="M298" s="244">
        <f>'M) Police'!O298</f>
        <v>16847.570631593808</v>
      </c>
      <c r="N298" s="244">
        <f t="shared" si="14"/>
        <v>16795.146382954852</v>
      </c>
      <c r="P298" s="339"/>
    </row>
    <row r="299" spans="1:16" s="163" customFormat="1" x14ac:dyDescent="0.25">
      <c r="A299" s="160">
        <f>'B) D RI'!A300</f>
        <v>5922</v>
      </c>
      <c r="B299" s="161" t="str">
        <f>'B) D RI'!B300</f>
        <v>Montagny-près-Yverdon</v>
      </c>
      <c r="C299" s="334">
        <f>'B) D RI'!S300</f>
        <v>61</v>
      </c>
      <c r="D299" s="162">
        <f>'B) D RI'!AA300</f>
        <v>717</v>
      </c>
      <c r="E299" s="332">
        <f>'D) Ecrêtage'!C298</f>
        <v>42538.107931378596</v>
      </c>
      <c r="F299" s="336">
        <f>'E) Fact soc'!G304</f>
        <v>942526.25436318631</v>
      </c>
      <c r="G299" s="333">
        <f>'H) Péréquation directe'!I309</f>
        <v>762740.60814779543</v>
      </c>
      <c r="H299" s="336">
        <f>+'I) Dépenses thématiques'!O298</f>
        <v>-198546.85241172841</v>
      </c>
      <c r="I299" s="333">
        <f>'K) Plafonnement aide'!J298</f>
        <v>0</v>
      </c>
      <c r="J299" s="336">
        <f>'J) Plafonnement effort'!I298</f>
        <v>0</v>
      </c>
      <c r="K299" s="333">
        <f>'L) Plafonnement taux'!Q299</f>
        <v>0</v>
      </c>
      <c r="L299" s="331">
        <f t="shared" si="15"/>
        <v>1506720.0100992534</v>
      </c>
      <c r="M299" s="244">
        <f>'M) Police'!O299</f>
        <v>115423.446343313</v>
      </c>
      <c r="N299" s="244">
        <f t="shared" si="14"/>
        <v>1622143.4564425664</v>
      </c>
      <c r="P299" s="339"/>
    </row>
    <row r="300" spans="1:16" s="163" customFormat="1" x14ac:dyDescent="0.25">
      <c r="A300" s="160">
        <f>'B) D RI'!A301</f>
        <v>5923</v>
      </c>
      <c r="B300" s="161" t="str">
        <f>'B) D RI'!B301</f>
        <v>Oppens</v>
      </c>
      <c r="C300" s="334">
        <f>'B) D RI'!S301</f>
        <v>81</v>
      </c>
      <c r="D300" s="162">
        <f>'B) D RI'!AA301</f>
        <v>187</v>
      </c>
      <c r="E300" s="332">
        <f>'D) Ecrêtage'!C299</f>
        <v>4631.0916713851466</v>
      </c>
      <c r="F300" s="336">
        <f>'E) Fact soc'!G305</f>
        <v>83053.732659529574</v>
      </c>
      <c r="G300" s="333">
        <f>'H) Péréquation directe'!I310</f>
        <v>-30311.424223646944</v>
      </c>
      <c r="H300" s="336">
        <f>+'I) Dépenses thématiques'!O299</f>
        <v>-44763.881218150258</v>
      </c>
      <c r="I300" s="333">
        <f>'K) Plafonnement aide'!J299</f>
        <v>0</v>
      </c>
      <c r="J300" s="336">
        <f>'J) Plafonnement effort'!I299</f>
        <v>0</v>
      </c>
      <c r="K300" s="333">
        <f>'L) Plafonnement taux'!Q300</f>
        <v>0</v>
      </c>
      <c r="L300" s="331">
        <f t="shared" si="15"/>
        <v>7978.4272177323728</v>
      </c>
      <c r="M300" s="244">
        <f>'M) Police'!O300</f>
        <v>14684.067621717595</v>
      </c>
      <c r="N300" s="244">
        <f t="shared" si="14"/>
        <v>22662.494839449966</v>
      </c>
      <c r="P300" s="339"/>
    </row>
    <row r="301" spans="1:16" s="163" customFormat="1" x14ac:dyDescent="0.25">
      <c r="A301" s="160">
        <f>'B) D RI'!A302</f>
        <v>5924</v>
      </c>
      <c r="B301" s="161" t="str">
        <f>'B) D RI'!B302</f>
        <v>Orges</v>
      </c>
      <c r="C301" s="334">
        <f>'B) D RI'!S302</f>
        <v>74</v>
      </c>
      <c r="D301" s="162">
        <f>'B) D RI'!AA302</f>
        <v>336</v>
      </c>
      <c r="E301" s="332">
        <f>'D) Ecrêtage'!C300</f>
        <v>10396.618626656635</v>
      </c>
      <c r="F301" s="336">
        <f>'E) Fact soc'!G306</f>
        <v>174583.55253762961</v>
      </c>
      <c r="G301" s="333">
        <f>'H) Péréquation directe'!I311</f>
        <v>61994.959716975281</v>
      </c>
      <c r="H301" s="336">
        <f>+'I) Dépenses thématiques'!O300</f>
        <v>0</v>
      </c>
      <c r="I301" s="333">
        <f>'K) Plafonnement aide'!J300</f>
        <v>0</v>
      </c>
      <c r="J301" s="336">
        <f>'J) Plafonnement effort'!I300</f>
        <v>0</v>
      </c>
      <c r="K301" s="333">
        <f>'L) Plafonnement taux'!Q301</f>
        <v>0</v>
      </c>
      <c r="L301" s="331">
        <f t="shared" si="15"/>
        <v>236578.5122546049</v>
      </c>
      <c r="M301" s="244">
        <f>'M) Police'!O301</f>
        <v>33214.227877221849</v>
      </c>
      <c r="N301" s="244">
        <f t="shared" si="14"/>
        <v>269792.74013182672</v>
      </c>
      <c r="P301" s="339"/>
    </row>
    <row r="302" spans="1:16" s="163" customFormat="1" x14ac:dyDescent="0.25">
      <c r="A302" s="160">
        <f>'B) D RI'!A303</f>
        <v>5925</v>
      </c>
      <c r="B302" s="161" t="str">
        <f>'B) D RI'!B303</f>
        <v>Orzens</v>
      </c>
      <c r="C302" s="334">
        <f>'B) D RI'!S303</f>
        <v>79</v>
      </c>
      <c r="D302" s="162">
        <f>'B) D RI'!AA303</f>
        <v>195</v>
      </c>
      <c r="E302" s="332">
        <f>'D) Ecrêtage'!C301</f>
        <v>4755.0256411268865</v>
      </c>
      <c r="F302" s="336">
        <f>'E) Fact soc'!G307</f>
        <v>79086.085852068121</v>
      </c>
      <c r="G302" s="333">
        <f>'H) Péréquation directe'!I312</f>
        <v>-29855.046620098656</v>
      </c>
      <c r="H302" s="336">
        <f>+'I) Dépenses thématiques'!O301</f>
        <v>-11044.326922393517</v>
      </c>
      <c r="I302" s="333">
        <f>'K) Plafonnement aide'!J301</f>
        <v>0</v>
      </c>
      <c r="J302" s="336">
        <f>'J) Plafonnement effort'!I301</f>
        <v>0</v>
      </c>
      <c r="K302" s="333">
        <f>'L) Plafonnement taux'!Q302</f>
        <v>0</v>
      </c>
      <c r="L302" s="331">
        <f t="shared" si="15"/>
        <v>38186.712309575945</v>
      </c>
      <c r="M302" s="244">
        <f>'M) Police'!O302</f>
        <v>14897.785244945895</v>
      </c>
      <c r="N302" s="244">
        <f t="shared" si="14"/>
        <v>53084.49755452184</v>
      </c>
      <c r="P302" s="339"/>
    </row>
    <row r="303" spans="1:16" s="163" customFormat="1" x14ac:dyDescent="0.25">
      <c r="A303" s="160">
        <f>'B) D RI'!A304</f>
        <v>5926</v>
      </c>
      <c r="B303" s="161" t="str">
        <f>'B) D RI'!B304</f>
        <v>Pomy</v>
      </c>
      <c r="C303" s="334">
        <f>'B) D RI'!S304</f>
        <v>71</v>
      </c>
      <c r="D303" s="162">
        <f>'B) D RI'!AA304</f>
        <v>785</v>
      </c>
      <c r="E303" s="332">
        <f>'D) Ecrêtage'!C302</f>
        <v>23259.861194280857</v>
      </c>
      <c r="F303" s="336">
        <f>'E) Fact soc'!G308</f>
        <v>412039.5700541836</v>
      </c>
      <c r="G303" s="333">
        <f>'H) Péréquation directe'!I313</f>
        <v>122972.85751347127</v>
      </c>
      <c r="H303" s="336">
        <f>+'I) Dépenses thématiques'!O302</f>
        <v>-36599.436938604216</v>
      </c>
      <c r="I303" s="333">
        <f>'K) Plafonnement aide'!J302</f>
        <v>0</v>
      </c>
      <c r="J303" s="336">
        <f>'J) Plafonnement effort'!I302</f>
        <v>0</v>
      </c>
      <c r="K303" s="333">
        <f>'L) Plafonnement taux'!Q303</f>
        <v>0</v>
      </c>
      <c r="L303" s="331">
        <f t="shared" si="15"/>
        <v>498412.99062905065</v>
      </c>
      <c r="M303" s="244">
        <f>'M) Police'!O303</f>
        <v>30183.96508370931</v>
      </c>
      <c r="N303" s="244">
        <f t="shared" si="14"/>
        <v>528596.95571275998</v>
      </c>
      <c r="P303" s="339"/>
    </row>
    <row r="304" spans="1:16" s="163" customFormat="1" x14ac:dyDescent="0.25">
      <c r="A304" s="160">
        <f>'B) D RI'!A305</f>
        <v>5928</v>
      </c>
      <c r="B304" s="161" t="str">
        <f>'B) D RI'!B305</f>
        <v>Rovray</v>
      </c>
      <c r="C304" s="334">
        <f>'B) D RI'!S305</f>
        <v>73</v>
      </c>
      <c r="D304" s="162">
        <f>'B) D RI'!AA305</f>
        <v>187</v>
      </c>
      <c r="E304" s="332">
        <f>'D) Ecrêtage'!C303</f>
        <v>4486.3585880513701</v>
      </c>
      <c r="F304" s="336">
        <f>'E) Fact soc'!G309</f>
        <v>75963.904145805747</v>
      </c>
      <c r="G304" s="333">
        <f>'H) Péréquation directe'!I314</f>
        <v>-17519.554068262732</v>
      </c>
      <c r="H304" s="336">
        <f>+'I) Dépenses thématiques'!O303</f>
        <v>-13529.348471691779</v>
      </c>
      <c r="I304" s="333">
        <f>'K) Plafonnement aide'!J303</f>
        <v>0</v>
      </c>
      <c r="J304" s="336">
        <f>'J) Plafonnement effort'!I303</f>
        <v>0</v>
      </c>
      <c r="K304" s="333">
        <f>'L) Plafonnement taux'!Q304</f>
        <v>0</v>
      </c>
      <c r="L304" s="331">
        <f t="shared" si="15"/>
        <v>44915.001605851234</v>
      </c>
      <c r="M304" s="244">
        <f>'M) Police'!O304</f>
        <v>14236.436994469712</v>
      </c>
      <c r="N304" s="244">
        <f t="shared" si="14"/>
        <v>59151.438600320944</v>
      </c>
      <c r="P304" s="339"/>
    </row>
    <row r="305" spans="1:16" s="163" customFormat="1" x14ac:dyDescent="0.25">
      <c r="A305" s="160">
        <f>'B) D RI'!A306</f>
        <v>5929</v>
      </c>
      <c r="B305" s="161" t="str">
        <f>'B) D RI'!B306</f>
        <v>Suchy</v>
      </c>
      <c r="C305" s="334">
        <f>'B) D RI'!S306</f>
        <v>70</v>
      </c>
      <c r="D305" s="162">
        <f>'B) D RI'!AA306</f>
        <v>605</v>
      </c>
      <c r="E305" s="332">
        <f>'D) Ecrêtage'!C304</f>
        <v>17021.216382984901</v>
      </c>
      <c r="F305" s="336">
        <f>'E) Fact soc'!G310</f>
        <v>312903.98814755795</v>
      </c>
      <c r="G305" s="333">
        <f>'H) Péréquation directe'!I315</f>
        <v>64299.919993552961</v>
      </c>
      <c r="H305" s="336">
        <f>+'I) Dépenses thématiques'!O304</f>
        <v>-20037.789414851915</v>
      </c>
      <c r="I305" s="333">
        <f>'K) Plafonnement aide'!J304</f>
        <v>0</v>
      </c>
      <c r="J305" s="336">
        <f>'J) Plafonnement effort'!I304</f>
        <v>0</v>
      </c>
      <c r="K305" s="333">
        <f>'L) Plafonnement taux'!Q305</f>
        <v>0</v>
      </c>
      <c r="L305" s="331">
        <f t="shared" si="15"/>
        <v>357166.11872625898</v>
      </c>
      <c r="M305" s="244">
        <f>'M) Police'!O305</f>
        <v>22088.171408030696</v>
      </c>
      <c r="N305" s="244">
        <f t="shared" si="14"/>
        <v>379254.29013428965</v>
      </c>
      <c r="P305" s="339"/>
    </row>
    <row r="306" spans="1:16" s="163" customFormat="1" x14ac:dyDescent="0.25">
      <c r="A306" s="160">
        <f>'B) D RI'!A307</f>
        <v>5930</v>
      </c>
      <c r="B306" s="161" t="str">
        <f>'B) D RI'!B307</f>
        <v>Suscévaz</v>
      </c>
      <c r="C306" s="334">
        <f>'B) D RI'!S307</f>
        <v>72</v>
      </c>
      <c r="D306" s="162">
        <f>'B) D RI'!AA307</f>
        <v>200</v>
      </c>
      <c r="E306" s="332">
        <f>'D) Ecrêtage'!C305</f>
        <v>5363.6524098848004</v>
      </c>
      <c r="F306" s="336">
        <f>'E) Fact soc'!G311</f>
        <v>105378.70932442932</v>
      </c>
      <c r="G306" s="333">
        <f>'H) Péréquation directe'!I316</f>
        <v>6695.0531567647995</v>
      </c>
      <c r="H306" s="336">
        <f>+'I) Dépenses thématiques'!O305</f>
        <v>-34485.585540691201</v>
      </c>
      <c r="I306" s="333">
        <f>'K) Plafonnement aide'!J305</f>
        <v>0</v>
      </c>
      <c r="J306" s="336">
        <f>'J) Plafonnement effort'!I305</f>
        <v>0</v>
      </c>
      <c r="K306" s="333">
        <f>'L) Plafonnement taux'!Q306</f>
        <v>0</v>
      </c>
      <c r="L306" s="331">
        <f t="shared" si="15"/>
        <v>77588.176940502919</v>
      </c>
      <c r="M306" s="244">
        <f>'M) Police'!O306</f>
        <v>6960.3294580675847</v>
      </c>
      <c r="N306" s="244">
        <f t="shared" si="14"/>
        <v>84548.506398570506</v>
      </c>
      <c r="P306" s="339"/>
    </row>
    <row r="307" spans="1:16" s="163" customFormat="1" x14ac:dyDescent="0.25">
      <c r="A307" s="160">
        <f>'B) D RI'!A308</f>
        <v>5931</v>
      </c>
      <c r="B307" s="161" t="str">
        <f>'B) D RI'!B308</f>
        <v>Treycovagnes</v>
      </c>
      <c r="C307" s="334">
        <f>'B) D RI'!S308</f>
        <v>75</v>
      </c>
      <c r="D307" s="162">
        <f>'B) D RI'!AA308</f>
        <v>456</v>
      </c>
      <c r="E307" s="332">
        <f>'D) Ecrêtage'!C306</f>
        <v>13443.123228865978</v>
      </c>
      <c r="F307" s="336">
        <f>'E) Fact soc'!G312</f>
        <v>268138.73755232088</v>
      </c>
      <c r="G307" s="333">
        <f>'H) Péréquation directe'!I317</f>
        <v>52010.364366572088</v>
      </c>
      <c r="H307" s="336">
        <f>+'I) Dépenses thématiques'!O306</f>
        <v>-14625.010626804135</v>
      </c>
      <c r="I307" s="333">
        <f>'K) Plafonnement aide'!J306</f>
        <v>0</v>
      </c>
      <c r="J307" s="336">
        <f>'J) Plafonnement effort'!I306</f>
        <v>0</v>
      </c>
      <c r="K307" s="333">
        <f>'L) Plafonnement taux'!Q307</f>
        <v>0</v>
      </c>
      <c r="L307" s="331">
        <f t="shared" si="15"/>
        <v>305524.09129208879</v>
      </c>
      <c r="M307" s="244">
        <f>'M) Police'!O307</f>
        <v>17444.934807085705</v>
      </c>
      <c r="N307" s="244">
        <f t="shared" si="14"/>
        <v>322969.02609917452</v>
      </c>
      <c r="P307" s="339"/>
    </row>
    <row r="308" spans="1:16" s="163" customFormat="1" x14ac:dyDescent="0.25">
      <c r="A308" s="160">
        <f>'B) D RI'!A309</f>
        <v>5932</v>
      </c>
      <c r="B308" s="161" t="str">
        <f>'B) D RI'!B309</f>
        <v>Ursins</v>
      </c>
      <c r="C308" s="334">
        <f>'B) D RI'!S309</f>
        <v>78</v>
      </c>
      <c r="D308" s="162">
        <f>'B) D RI'!AA309</f>
        <v>218</v>
      </c>
      <c r="E308" s="332">
        <f>'D) Ecrêtage'!C307</f>
        <v>6855.3003269100209</v>
      </c>
      <c r="F308" s="336">
        <f>'E) Fact soc'!G313</f>
        <v>121350.37324242896</v>
      </c>
      <c r="G308" s="333">
        <f>'H) Péréquation directe'!I318</f>
        <v>37549.518962846923</v>
      </c>
      <c r="H308" s="336">
        <f>+'I) Dépenses thématiques'!O307</f>
        <v>-6229.2747548174848</v>
      </c>
      <c r="I308" s="333">
        <f>'K) Plafonnement aide'!J307</f>
        <v>0</v>
      </c>
      <c r="J308" s="336">
        <f>'J) Plafonnement effort'!I307</f>
        <v>0</v>
      </c>
      <c r="K308" s="333">
        <f>'L) Plafonnement taux'!Q308</f>
        <v>0</v>
      </c>
      <c r="L308" s="331">
        <f t="shared" si="15"/>
        <v>152670.61745045841</v>
      </c>
      <c r="M308" s="244">
        <f>'M) Police'!O308</f>
        <v>21823.780271558455</v>
      </c>
      <c r="N308" s="244">
        <f t="shared" si="14"/>
        <v>174494.39772201685</v>
      </c>
      <c r="P308" s="339"/>
    </row>
    <row r="309" spans="1:16" s="163" customFormat="1" x14ac:dyDescent="0.25">
      <c r="A309" s="160">
        <f>'B) D RI'!A310</f>
        <v>5933</v>
      </c>
      <c r="B309" s="161" t="str">
        <f>'B) D RI'!B310</f>
        <v>Valeyres-sous-Montagny</v>
      </c>
      <c r="C309" s="334">
        <f>'B) D RI'!S310</f>
        <v>72</v>
      </c>
      <c r="D309" s="162">
        <f>'B) D RI'!AA310</f>
        <v>705</v>
      </c>
      <c r="E309" s="332">
        <f>'D) Ecrêtage'!C308</f>
        <v>20669.421262090575</v>
      </c>
      <c r="F309" s="336">
        <f>'E) Fact soc'!G314</f>
        <v>392645.09313171945</v>
      </c>
      <c r="G309" s="333">
        <f>'H) Péréquation directe'!I319</f>
        <v>95241.756883037684</v>
      </c>
      <c r="H309" s="336">
        <f>+'I) Dépenses thématiques'!O308</f>
        <v>-283991.72242745652</v>
      </c>
      <c r="I309" s="333">
        <f>'K) Plafonnement aide'!J308</f>
        <v>0</v>
      </c>
      <c r="J309" s="336">
        <f>'J) Plafonnement effort'!I308</f>
        <v>0</v>
      </c>
      <c r="K309" s="333">
        <f>'L) Plafonnement taux'!Q309</f>
        <v>0</v>
      </c>
      <c r="L309" s="331">
        <f t="shared" si="15"/>
        <v>203895.12758730061</v>
      </c>
      <c r="M309" s="244">
        <f>'M) Police'!O309</f>
        <v>65233.116776546354</v>
      </c>
      <c r="N309" s="244">
        <f t="shared" si="14"/>
        <v>269128.24436384696</v>
      </c>
      <c r="P309" s="339"/>
    </row>
    <row r="310" spans="1:16" s="163" customFormat="1" x14ac:dyDescent="0.25">
      <c r="A310" s="160">
        <f>'B) D RI'!A311</f>
        <v>5934</v>
      </c>
      <c r="B310" s="161" t="str">
        <f>'B) D RI'!B311</f>
        <v>Valeyres-sous-Ursins</v>
      </c>
      <c r="C310" s="334">
        <f>'B) D RI'!S311</f>
        <v>79</v>
      </c>
      <c r="D310" s="162">
        <f>'B) D RI'!AA311</f>
        <v>238</v>
      </c>
      <c r="E310" s="332">
        <f>'D) Ecrêtage'!C309</f>
        <v>6791.6761133712571</v>
      </c>
      <c r="F310" s="336">
        <f>'E) Fact soc'!G315</f>
        <v>107146.62692741159</v>
      </c>
      <c r="G310" s="333">
        <f>'H) Péréquation directe'!I320</f>
        <v>7882.0446071382321</v>
      </c>
      <c r="H310" s="336">
        <f>+'I) Dépenses thématiques'!O309</f>
        <v>-5649.2429149715572</v>
      </c>
      <c r="I310" s="333">
        <f>'K) Plafonnement aide'!J309</f>
        <v>0</v>
      </c>
      <c r="J310" s="336">
        <f>'J) Plafonnement effort'!I309</f>
        <v>0</v>
      </c>
      <c r="K310" s="333">
        <f>'L) Plafonnement taux'!Q310</f>
        <v>0</v>
      </c>
      <c r="L310" s="331">
        <f t="shared" si="15"/>
        <v>109379.42861957826</v>
      </c>
      <c r="M310" s="244">
        <f>'M) Police'!O310</f>
        <v>21666.115000815385</v>
      </c>
      <c r="N310" s="244">
        <f t="shared" si="14"/>
        <v>131045.54362039364</v>
      </c>
      <c r="P310" s="339"/>
    </row>
    <row r="311" spans="1:16" s="163" customFormat="1" x14ac:dyDescent="0.25">
      <c r="A311" s="160">
        <f>'B) D RI'!A312</f>
        <v>5935</v>
      </c>
      <c r="B311" s="161" t="str">
        <f>'B) D RI'!B312</f>
        <v>Villars-Epeney</v>
      </c>
      <c r="C311" s="334">
        <f>'B) D RI'!S312</f>
        <v>60</v>
      </c>
      <c r="D311" s="162">
        <f>'B) D RI'!AA312</f>
        <v>106</v>
      </c>
      <c r="E311" s="332">
        <f>'D) Ecrêtage'!C310</f>
        <v>5529.6840523560213</v>
      </c>
      <c r="F311" s="336">
        <f>'E) Fact soc'!G316</f>
        <v>100802.47094133263</v>
      </c>
      <c r="G311" s="333">
        <f>'H) Péréquation directe'!I321</f>
        <v>97571.426980017786</v>
      </c>
      <c r="H311" s="336">
        <f>+'I) Dépenses thématiques'!O310</f>
        <v>-15937.736960732986</v>
      </c>
      <c r="I311" s="333">
        <f>'K) Plafonnement aide'!J310</f>
        <v>0</v>
      </c>
      <c r="J311" s="336">
        <f>'J) Plafonnement effort'!I310</f>
        <v>0</v>
      </c>
      <c r="K311" s="333">
        <f>'L) Plafonnement taux'!Q311</f>
        <v>0</v>
      </c>
      <c r="L311" s="331">
        <f t="shared" si="15"/>
        <v>182436.16096061745</v>
      </c>
      <c r="M311" s="244">
        <f>'M) Police'!O311</f>
        <v>16078.957715275981</v>
      </c>
      <c r="N311" s="244">
        <f t="shared" si="14"/>
        <v>198515.11867589343</v>
      </c>
      <c r="P311" s="339"/>
    </row>
    <row r="312" spans="1:16" s="163" customFormat="1" x14ac:dyDescent="0.25">
      <c r="A312" s="160">
        <f>'B) D RI'!A313</f>
        <v>5937</v>
      </c>
      <c r="B312" s="161" t="str">
        <f>'B) D RI'!B313</f>
        <v>Vugelles-La Mothe</v>
      </c>
      <c r="C312" s="334">
        <f>'B) D RI'!S313</f>
        <v>70</v>
      </c>
      <c r="D312" s="162">
        <f>'B) D RI'!AA313</f>
        <v>122</v>
      </c>
      <c r="E312" s="332">
        <f>'D) Ecrêtage'!C311</f>
        <v>2865.8382395608655</v>
      </c>
      <c r="F312" s="336">
        <f>'E) Fact soc'!G317</f>
        <v>51201.522030865839</v>
      </c>
      <c r="G312" s="333">
        <f>'H) Péréquation directe'!I322</f>
        <v>-9421.2492085276826</v>
      </c>
      <c r="H312" s="336">
        <f>+'I) Dépenses thématiques'!O311</f>
        <v>-28809.341882964156</v>
      </c>
      <c r="I312" s="333">
        <f>'K) Plafonnement aide'!J311</f>
        <v>0</v>
      </c>
      <c r="J312" s="336">
        <f>'J) Plafonnement effort'!I311</f>
        <v>0</v>
      </c>
      <c r="K312" s="333">
        <f>'L) Plafonnement taux'!Q312</f>
        <v>0</v>
      </c>
      <c r="L312" s="331">
        <f t="shared" si="15"/>
        <v>12970.930939374</v>
      </c>
      <c r="M312" s="244">
        <f>'M) Police'!O312</f>
        <v>9018.0757008381588</v>
      </c>
      <c r="N312" s="244">
        <f t="shared" si="14"/>
        <v>21989.006640212159</v>
      </c>
      <c r="P312" s="339"/>
    </row>
    <row r="313" spans="1:16" s="163" customFormat="1" x14ac:dyDescent="0.25">
      <c r="A313" s="160">
        <f>'B) D RI'!A314</f>
        <v>5938</v>
      </c>
      <c r="B313" s="161" t="str">
        <f>'B) D RI'!B314</f>
        <v>Yverdon-les-Bains</v>
      </c>
      <c r="C313" s="334">
        <f>'B) D RI'!S314</f>
        <v>76.5</v>
      </c>
      <c r="D313" s="162">
        <f>'B) D RI'!AA314</f>
        <v>30208</v>
      </c>
      <c r="E313" s="332">
        <f>'D) Ecrêtage'!C312</f>
        <v>774260.97307948919</v>
      </c>
      <c r="F313" s="336">
        <f>'E) Fact soc'!G318</f>
        <v>15062215.323136562</v>
      </c>
      <c r="G313" s="333">
        <f>'H) Péréquation directe'!I323</f>
        <v>-23722834.322416157</v>
      </c>
      <c r="H313" s="336">
        <f>+'I) Dépenses thématiques'!O312</f>
        <v>-7915406.4115230655</v>
      </c>
      <c r="I313" s="333">
        <f>'K) Plafonnement aide'!J312</f>
        <v>2466531.2146436805</v>
      </c>
      <c r="J313" s="336">
        <f>'J) Plafonnement effort'!I312</f>
        <v>0</v>
      </c>
      <c r="K313" s="333">
        <f>'L) Plafonnement taux'!Q313</f>
        <v>0</v>
      </c>
      <c r="L313" s="331">
        <f t="shared" si="15"/>
        <v>-14109494.196158979</v>
      </c>
      <c r="M313" s="244">
        <f>'M) Police'!O313</f>
        <v>1004746.5882064844</v>
      </c>
      <c r="N313" s="244">
        <f t="shared" si="14"/>
        <v>-13104747.607952494</v>
      </c>
      <c r="P313" s="339"/>
    </row>
    <row r="314" spans="1:16" s="163" customFormat="1" x14ac:dyDescent="0.25">
      <c r="A314" s="160">
        <f>'B) D RI'!A315</f>
        <v>5939</v>
      </c>
      <c r="B314" s="161" t="str">
        <f>'B) D RI'!B315</f>
        <v>Yvonand</v>
      </c>
      <c r="C314" s="334">
        <f>'B) D RI'!S315</f>
        <v>73</v>
      </c>
      <c r="D314" s="162">
        <f>'B) D RI'!AA315</f>
        <v>3351</v>
      </c>
      <c r="E314" s="332">
        <f>'D) Ecrêtage'!C313</f>
        <v>92761.457314991218</v>
      </c>
      <c r="F314" s="336">
        <f>'E) Fact soc'!G319</f>
        <v>2094036.9781664775</v>
      </c>
      <c r="G314" s="333">
        <f>'H) Péréquation directe'!I324</f>
        <v>-378739.91454910254</v>
      </c>
      <c r="H314" s="405">
        <f>+'I) Dépenses thématiques'!O313</f>
        <v>-358178.91312380927</v>
      </c>
      <c r="I314" s="333">
        <f>'K) Plafonnement aide'!J313</f>
        <v>0</v>
      </c>
      <c r="J314" s="336">
        <f>'J) Plafonnement effort'!I313</f>
        <v>0</v>
      </c>
      <c r="K314" s="333">
        <f>'L) Plafonnement taux'!Q314</f>
        <v>0</v>
      </c>
      <c r="L314" s="331">
        <f t="shared" si="15"/>
        <v>1357118.1504935657</v>
      </c>
      <c r="M314" s="244">
        <f>'M) Police'!O314</f>
        <v>291670.74174863636</v>
      </c>
      <c r="N314" s="246">
        <f t="shared" si="14"/>
        <v>1648788.8922422021</v>
      </c>
      <c r="P314" s="339"/>
    </row>
    <row r="315" spans="1:16" x14ac:dyDescent="0.25">
      <c r="A315" s="31"/>
      <c r="B315" s="25">
        <f>COUNTA(B6:B314)</f>
        <v>309</v>
      </c>
      <c r="C315" s="269"/>
      <c r="D315" s="165">
        <f>SUM(D6:D314)</f>
        <v>794384</v>
      </c>
      <c r="E315" s="165">
        <f>SUM(E6:E314)</f>
        <v>35922747.174706832</v>
      </c>
      <c r="F315" s="154">
        <f>'E) Fact soc'!G320</f>
        <v>817484999.99999976</v>
      </c>
      <c r="G315" s="154">
        <f>'H) Péréquation directe'!I325</f>
        <v>173097259.4247098</v>
      </c>
      <c r="H315" s="404">
        <f>'I) Dépenses thématiques'!O314</f>
        <v>-152096710.67373553</v>
      </c>
      <c r="I315" s="154">
        <f>'K) Plafonnement aide'!J314</f>
        <v>4575106.25798475</v>
      </c>
      <c r="J315" s="154">
        <f>'J) Plafonnement effort'!I314</f>
        <v>-25101393.124698054</v>
      </c>
      <c r="K315" s="154">
        <f>+'L) Plafonnement taux'!Q315</f>
        <v>-24261.884260726591</v>
      </c>
      <c r="L315" s="245">
        <f t="shared" si="15"/>
        <v>817935000</v>
      </c>
      <c r="M315" s="245">
        <f>SUM(M6:M314)</f>
        <v>67922836.702568084</v>
      </c>
      <c r="N315" s="245">
        <f>SUM(N6:N314)</f>
        <v>885857836.70256889</v>
      </c>
    </row>
    <row r="316" spans="1:16" x14ac:dyDescent="0.25">
      <c r="D316" s="13"/>
      <c r="E316" s="13"/>
      <c r="L316" s="6"/>
      <c r="M316" s="6"/>
      <c r="N316" s="6"/>
    </row>
    <row r="317" spans="1:16" x14ac:dyDescent="0.25">
      <c r="H317" s="164"/>
      <c r="I317" s="164"/>
      <c r="J317" s="164"/>
      <c r="K317" s="164"/>
      <c r="L317" s="6"/>
      <c r="M317" s="6"/>
      <c r="N317" s="6"/>
    </row>
  </sheetData>
  <mergeCells count="16">
    <mergeCell ref="O4:O5"/>
    <mergeCell ref="M4:M5"/>
    <mergeCell ref="N4:N5"/>
    <mergeCell ref="A1:E1"/>
    <mergeCell ref="L4:L5"/>
    <mergeCell ref="K4:K5"/>
    <mergeCell ref="J4:J5"/>
    <mergeCell ref="I4:I5"/>
    <mergeCell ref="H4:H5"/>
    <mergeCell ref="G4:G5"/>
    <mergeCell ref="F4:F5"/>
    <mergeCell ref="E4:E5"/>
    <mergeCell ref="D4:D5"/>
    <mergeCell ref="C4:C5"/>
    <mergeCell ref="B4:B5"/>
    <mergeCell ref="A4:A5"/>
  </mergeCells>
  <phoneticPr fontId="0" type="noConversion"/>
  <printOptions horizontalCentered="1" verticalCentered="1"/>
  <pageMargins left="0.19685039370078741" right="0.19685039370078741" top="0" bottom="0" header="0.51181102362204722" footer="0.51181102362204722"/>
  <pageSetup paperSize="9" fitToHeight="7" orientation="landscape" horizontalDpi="1200" verticalDpi="1200" r:id="rId1"/>
  <headerFooter alignWithMargins="0">
    <oddFooter>&amp;LSCL - Division finances communales&amp;C-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3" tint="0.39997558519241921"/>
    <pageSetUpPr fitToPage="1"/>
  </sheetPr>
  <dimension ref="B1:I56"/>
  <sheetViews>
    <sheetView tabSelected="1" workbookViewId="0">
      <selection activeCell="F3" sqref="F3"/>
    </sheetView>
  </sheetViews>
  <sheetFormatPr baseColWidth="10" defaultColWidth="10.875" defaultRowHeight="15" x14ac:dyDescent="0.25"/>
  <cols>
    <col min="1" max="1" width="3.375" style="167" customWidth="1"/>
    <col min="2" max="2" width="17.125" style="167" customWidth="1"/>
    <col min="3" max="4" width="12.75" style="167" customWidth="1"/>
    <col min="5" max="6" width="12.75" style="213" customWidth="1"/>
    <col min="7" max="16384" width="10.875" style="167"/>
  </cols>
  <sheetData>
    <row r="1" spans="2:9" ht="31.5" x14ac:dyDescent="0.5">
      <c r="B1" s="207" t="s">
        <v>486</v>
      </c>
    </row>
    <row r="3" spans="2:9" s="214" customFormat="1" ht="26.25" x14ac:dyDescent="0.4">
      <c r="B3" s="217"/>
      <c r="C3" s="450"/>
      <c r="D3" s="450"/>
      <c r="E3" s="450"/>
      <c r="F3" s="215"/>
    </row>
    <row r="6" spans="2:9" ht="18.75" x14ac:dyDescent="0.3">
      <c r="B6" s="449" t="str">
        <f>CONCATENATE("Péréquation, ",Paramètres!B5)</f>
        <v>Péréquation, Acomptes 2019</v>
      </c>
      <c r="C6" s="449"/>
      <c r="D6" s="449"/>
      <c r="E6" s="449"/>
      <c r="F6" s="449"/>
    </row>
    <row r="7" spans="2:9" s="261" customFormat="1" ht="18.75" x14ac:dyDescent="0.3">
      <c r="B7" s="449">
        <f>C3</f>
        <v>0</v>
      </c>
      <c r="C7" s="449"/>
      <c r="D7" s="449"/>
      <c r="E7" s="449"/>
      <c r="F7" s="449"/>
    </row>
    <row r="8" spans="2:9" s="261" customFormat="1" ht="12.75" x14ac:dyDescent="0.2">
      <c r="B8" s="268" t="e">
        <f>CONCATENATE("Population : ",VLOOKUP($B$7,'A) Base RI'!$B$7:$V$315,21,FALSE))</f>
        <v>#N/A</v>
      </c>
      <c r="C8" s="259"/>
      <c r="D8" s="259"/>
      <c r="E8" s="260"/>
      <c r="F8" s="267" t="e">
        <f>CONCATENATE("N° OFS : ",VLOOKUP($B$7,Paramètres!$A$70:$B$378,2,FALSE))</f>
        <v>#N/A</v>
      </c>
    </row>
    <row r="9" spans="2:9" s="261" customFormat="1" ht="12.75" x14ac:dyDescent="0.2">
      <c r="B9" s="268" t="e">
        <f>CONCATENATE("Taux : ",VLOOKUP($B$7,'A) Base RI'!$B$7:$V$315,20,FALSE))</f>
        <v>#N/A</v>
      </c>
      <c r="C9" s="259"/>
      <c r="D9" s="259"/>
      <c r="E9" s="260"/>
      <c r="F9" s="344" t="e">
        <f>CONCATENATE("Point impôt communal : ",ROUND(VLOOKUP(B7,'D) Ecrêtage'!B5:M322,2,FALSE),0))</f>
        <v>#N/A</v>
      </c>
    </row>
    <row r="10" spans="2:9" s="261" customFormat="1" ht="12.75" x14ac:dyDescent="0.2">
      <c r="B10" s="259"/>
      <c r="C10" s="259"/>
      <c r="D10" s="259"/>
      <c r="E10" s="260"/>
      <c r="F10" s="344" t="e">
        <f>CONCATENATE("Point impôt écrêté : ",ROUND(VLOOKUP(B7,'H) Péréquation directe'!B16:C333,2,FALSE),0))</f>
        <v>#N/A</v>
      </c>
      <c r="H10" s="388"/>
      <c r="I10" s="388"/>
    </row>
    <row r="11" spans="2:9" ht="18" x14ac:dyDescent="0.35">
      <c r="B11" s="251" t="s">
        <v>513</v>
      </c>
      <c r="C11" s="107"/>
      <c r="D11" s="107"/>
      <c r="E11" s="216"/>
      <c r="F11" s="216"/>
    </row>
    <row r="12" spans="2:9" s="261" customFormat="1" ht="12.75" x14ac:dyDescent="0.2">
      <c r="B12" s="259"/>
      <c r="C12" s="259"/>
      <c r="D12" s="259"/>
      <c r="E12" s="260"/>
      <c r="F12" s="260"/>
    </row>
    <row r="13" spans="2:9" s="261" customFormat="1" ht="12.75" x14ac:dyDescent="0.2">
      <c r="B13" s="266" t="s">
        <v>436</v>
      </c>
      <c r="C13" s="259"/>
      <c r="D13" s="259"/>
      <c r="E13" s="260"/>
      <c r="F13" s="260"/>
    </row>
    <row r="14" spans="2:9" s="261" customFormat="1" ht="12.75" x14ac:dyDescent="0.2">
      <c r="B14" s="259" t="s">
        <v>476</v>
      </c>
      <c r="C14" s="259"/>
      <c r="D14" s="259"/>
      <c r="E14" s="262" t="e">
        <f>VLOOKUP($C$3,'C) Prél. conj.'!$B$3:$E$391,2,FALSE)*0.5</f>
        <v>#N/A</v>
      </c>
      <c r="F14" s="260"/>
    </row>
    <row r="15" spans="2:9" s="261" customFormat="1" ht="12.75" x14ac:dyDescent="0.2">
      <c r="B15" s="259" t="s">
        <v>194</v>
      </c>
      <c r="C15" s="259"/>
      <c r="D15" s="259"/>
      <c r="E15" s="262" t="e">
        <f>VLOOKUP($C$3,'C) Prél. conj.'!$B$3:$E$391,3,FALSE)*0.3</f>
        <v>#N/A</v>
      </c>
      <c r="F15" s="260" t="e">
        <f>E14+E15</f>
        <v>#N/A</v>
      </c>
    </row>
    <row r="16" spans="2:9" s="261" customFormat="1" ht="12.75" x14ac:dyDescent="0.2">
      <c r="B16" s="259"/>
      <c r="C16" s="259"/>
      <c r="D16" s="259"/>
      <c r="E16" s="260"/>
      <c r="F16" s="260"/>
    </row>
    <row r="17" spans="2:6" s="261" customFormat="1" ht="12.75" x14ac:dyDescent="0.2">
      <c r="B17" s="266" t="s">
        <v>474</v>
      </c>
      <c r="C17" s="259"/>
      <c r="D17" s="259"/>
      <c r="E17" s="260"/>
      <c r="F17" s="260"/>
    </row>
    <row r="18" spans="2:6" s="261" customFormat="1" ht="12.75" x14ac:dyDescent="0.2">
      <c r="B18" s="259" t="s">
        <v>555</v>
      </c>
      <c r="C18" s="259"/>
      <c r="D18" s="263" t="e">
        <f>VLOOKUP($C$3,'D) Ecrêtage'!$B$3:$M$391,11,FALSE)</f>
        <v>#N/A</v>
      </c>
      <c r="E18" s="260"/>
      <c r="F18" s="260" t="e">
        <f>VLOOKUP($C$3,'D) Ecrêtage'!$B$3:$M$391,12,FALSE)</f>
        <v>#N/A</v>
      </c>
    </row>
    <row r="19" spans="2:6" s="261" customFormat="1" ht="12.75" x14ac:dyDescent="0.2">
      <c r="B19" s="259"/>
      <c r="C19" s="259"/>
      <c r="D19" s="259"/>
      <c r="E19" s="260"/>
      <c r="F19" s="260"/>
    </row>
    <row r="20" spans="2:6" s="261" customFormat="1" ht="12.75" x14ac:dyDescent="0.2">
      <c r="B20" s="266" t="s">
        <v>477</v>
      </c>
      <c r="C20" s="259"/>
      <c r="D20" s="259"/>
      <c r="E20" s="260"/>
      <c r="F20" s="260"/>
    </row>
    <row r="21" spans="2:6" s="261" customFormat="1" ht="12.75" x14ac:dyDescent="0.2">
      <c r="B21" s="259" t="str">
        <f>CONCATENATE("Nombre de points à répartir ",ROUND('E) Fact soc'!D7,2))</f>
        <v>Nombre de points à répartir 15.78</v>
      </c>
      <c r="C21" s="259"/>
      <c r="D21" s="259"/>
      <c r="E21" s="260"/>
      <c r="F21" s="260"/>
    </row>
    <row r="22" spans="2:6" s="261" customFormat="1" ht="12.75" x14ac:dyDescent="0.2">
      <c r="B22" s="259" t="s">
        <v>485</v>
      </c>
      <c r="C22" s="259"/>
      <c r="D22" s="259"/>
      <c r="E22" s="260"/>
      <c r="F22" s="260" t="e">
        <f>VLOOKUP($C$3,'E) Fact soc'!$B$9:$G$391,5,FALSE)</f>
        <v>#N/A</v>
      </c>
    </row>
    <row r="23" spans="2:6" s="261" customFormat="1" ht="12.75" x14ac:dyDescent="0.2">
      <c r="B23" s="259"/>
      <c r="C23" s="259"/>
      <c r="D23" s="259"/>
      <c r="E23" s="260"/>
      <c r="F23" s="264"/>
    </row>
    <row r="24" spans="2:6" s="261" customFormat="1" ht="12.75" x14ac:dyDescent="0.2">
      <c r="B24" s="266" t="s">
        <v>478</v>
      </c>
      <c r="C24" s="259"/>
      <c r="D24" s="259"/>
      <c r="E24" s="260"/>
      <c r="F24" s="265" t="e">
        <f>F15+F18+F22</f>
        <v>#N/A</v>
      </c>
    </row>
    <row r="25" spans="2:6" s="261" customFormat="1" ht="12.75" x14ac:dyDescent="0.2">
      <c r="B25" s="259"/>
      <c r="C25" s="259"/>
      <c r="D25" s="259"/>
      <c r="E25" s="260"/>
      <c r="F25" s="260"/>
    </row>
    <row r="26" spans="2:6" ht="18" x14ac:dyDescent="0.35">
      <c r="B26" s="251" t="s">
        <v>514</v>
      </c>
      <c r="C26" s="107"/>
      <c r="D26" s="107"/>
      <c r="E26" s="216"/>
      <c r="F26" s="216"/>
    </row>
    <row r="27" spans="2:6" s="261" customFormat="1" ht="12.75" x14ac:dyDescent="0.2">
      <c r="B27" s="259"/>
      <c r="C27" s="259"/>
      <c r="D27" s="259"/>
      <c r="E27" s="260"/>
      <c r="F27" s="260"/>
    </row>
    <row r="28" spans="2:6" s="261" customFormat="1" ht="12.75" x14ac:dyDescent="0.2">
      <c r="B28" s="266" t="s">
        <v>304</v>
      </c>
      <c r="C28" s="259"/>
      <c r="D28" s="259"/>
      <c r="E28" s="260"/>
      <c r="F28" s="260" t="e">
        <f>-VLOOKUP($C$3,'F) Population'!$B$8:$K$391,10,FALSE)</f>
        <v>#N/A</v>
      </c>
    </row>
    <row r="29" spans="2:6" s="261" customFormat="1" ht="12.75" x14ac:dyDescent="0.2">
      <c r="B29" s="259"/>
      <c r="C29" s="259"/>
      <c r="D29" s="259"/>
      <c r="E29" s="260"/>
      <c r="F29" s="260"/>
    </row>
    <row r="30" spans="2:6" s="261" customFormat="1" ht="12.75" x14ac:dyDescent="0.2">
      <c r="B30" s="266" t="s">
        <v>479</v>
      </c>
      <c r="C30" s="259"/>
      <c r="D30" s="259"/>
      <c r="E30" s="260"/>
      <c r="F30" s="260" t="e">
        <f>-VLOOKUP($C$3,'G) Solidarité'!$B$5:$I$391,8,FALSE)</f>
        <v>#N/A</v>
      </c>
    </row>
    <row r="31" spans="2:6" s="261" customFormat="1" ht="12.75" x14ac:dyDescent="0.2">
      <c r="B31" s="259"/>
      <c r="C31" s="259"/>
      <c r="D31" s="259"/>
      <c r="E31" s="260"/>
      <c r="F31" s="260"/>
    </row>
    <row r="32" spans="2:6" s="261" customFormat="1" ht="12.75" x14ac:dyDescent="0.2">
      <c r="B32" s="266" t="s">
        <v>139</v>
      </c>
      <c r="C32" s="259"/>
      <c r="D32" s="259"/>
      <c r="E32" s="260"/>
      <c r="F32" s="260"/>
    </row>
    <row r="33" spans="2:8" s="261" customFormat="1" ht="12.75" x14ac:dyDescent="0.2">
      <c r="B33" s="259" t="s">
        <v>480</v>
      </c>
      <c r="C33" s="259"/>
      <c r="D33" s="259"/>
      <c r="E33" s="262" t="e">
        <f>VLOOKUP(B7,'I) Dépenses thématiques'!B5:O313,9,FALSE)</f>
        <v>#N/A</v>
      </c>
      <c r="F33" s="260"/>
    </row>
    <row r="34" spans="2:8" s="261" customFormat="1" ht="12.75" x14ac:dyDescent="0.2">
      <c r="B34" s="259" t="s">
        <v>214</v>
      </c>
      <c r="C34" s="259"/>
      <c r="D34" s="259"/>
      <c r="E34" s="262" t="e">
        <f>VLOOKUP(B7,'I) Dépenses thématiques'!B5:O313,13,FALSE)</f>
        <v>#N/A</v>
      </c>
      <c r="F34" s="260" t="e">
        <f>SUM(E33:E34)</f>
        <v>#N/A</v>
      </c>
    </row>
    <row r="35" spans="2:8" s="261" customFormat="1" ht="12.75" x14ac:dyDescent="0.2">
      <c r="B35" s="259"/>
      <c r="C35" s="259"/>
      <c r="D35" s="259"/>
      <c r="E35" s="260"/>
      <c r="F35" s="260"/>
    </row>
    <row r="36" spans="2:8" s="261" customFormat="1" ht="12.75" x14ac:dyDescent="0.2">
      <c r="B36" s="266" t="s">
        <v>481</v>
      </c>
      <c r="C36" s="259"/>
      <c r="D36" s="259"/>
      <c r="E36" s="260"/>
      <c r="F36" s="260"/>
    </row>
    <row r="37" spans="2:8" s="261" customFormat="1" ht="12.75" x14ac:dyDescent="0.2">
      <c r="B37" s="259" t="s">
        <v>539</v>
      </c>
      <c r="C37" s="259"/>
      <c r="D37" s="259"/>
      <c r="E37" s="262" t="e">
        <f>VLOOKUP($C$3,'J) Plafonnement effort'!$B$5:$I$391,8,FALSE)</f>
        <v>#N/A</v>
      </c>
      <c r="F37" s="260"/>
    </row>
    <row r="38" spans="2:8" s="261" customFormat="1" ht="12.75" x14ac:dyDescent="0.2">
      <c r="B38" s="259" t="s">
        <v>482</v>
      </c>
      <c r="C38" s="259"/>
      <c r="D38" s="259"/>
      <c r="E38" s="262" t="e">
        <f>VLOOKUP($C$3,'K) Plafonnement aide'!$B$5:$J$391,9,FALSE)</f>
        <v>#N/A</v>
      </c>
      <c r="F38" s="260"/>
    </row>
    <row r="39" spans="2:8" s="261" customFormat="1" ht="12.75" x14ac:dyDescent="0.2">
      <c r="B39" s="259" t="s">
        <v>483</v>
      </c>
      <c r="C39" s="259"/>
      <c r="D39" s="259"/>
      <c r="E39" s="262" t="e">
        <f>VLOOKUP($C$3,'L) Plafonnement taux'!$B$6:$Q$391,16,FALSE)</f>
        <v>#N/A</v>
      </c>
      <c r="F39" s="260" t="e">
        <f>SUM(E37:E39)</f>
        <v>#N/A</v>
      </c>
    </row>
    <row r="40" spans="2:8" s="261" customFormat="1" ht="12.75" x14ac:dyDescent="0.2">
      <c r="B40" s="259"/>
      <c r="C40" s="259"/>
      <c r="D40" s="259"/>
      <c r="E40" s="260"/>
      <c r="F40" s="260"/>
    </row>
    <row r="41" spans="2:8" s="261" customFormat="1" ht="12.75" x14ac:dyDescent="0.2">
      <c r="B41" s="266" t="s">
        <v>94</v>
      </c>
      <c r="C41" s="259"/>
      <c r="D41" s="259"/>
      <c r="E41" s="260"/>
      <c r="F41" s="260" t="e">
        <f>VLOOKUP($C$3,'H) Péréquation directe'!$B$16:$I$391,4,FALSE)</f>
        <v>#N/A</v>
      </c>
    </row>
    <row r="42" spans="2:8" s="261" customFormat="1" ht="12.75" x14ac:dyDescent="0.2">
      <c r="B42" s="259"/>
      <c r="C42" s="259"/>
      <c r="D42" s="259"/>
      <c r="E42" s="260"/>
      <c r="F42" s="264"/>
    </row>
    <row r="43" spans="2:8" s="261" customFormat="1" ht="12.75" x14ac:dyDescent="0.2">
      <c r="B43" s="266" t="s">
        <v>484</v>
      </c>
      <c r="C43" s="259"/>
      <c r="D43" s="259"/>
      <c r="E43" s="260"/>
      <c r="F43" s="389" t="e">
        <f>SUM(F27:F42)</f>
        <v>#N/A</v>
      </c>
      <c r="G43" s="388"/>
      <c r="H43" s="388"/>
    </row>
    <row r="44" spans="2:8" s="261" customFormat="1" ht="12.75" x14ac:dyDescent="0.2">
      <c r="B44" s="259"/>
      <c r="C44" s="259"/>
      <c r="D44" s="259"/>
      <c r="E44" s="260"/>
      <c r="F44" s="260"/>
    </row>
    <row r="45" spans="2:8" ht="18" x14ac:dyDescent="0.35">
      <c r="B45" s="251" t="s">
        <v>515</v>
      </c>
      <c r="C45" s="107"/>
      <c r="D45" s="107"/>
      <c r="E45" s="216"/>
      <c r="F45" s="216"/>
    </row>
    <row r="46" spans="2:8" s="261" customFormat="1" ht="12.75" x14ac:dyDescent="0.2">
      <c r="B46" s="259"/>
      <c r="C46" s="259"/>
      <c r="D46" s="259"/>
      <c r="E46" s="260"/>
      <c r="F46" s="260"/>
    </row>
    <row r="47" spans="2:8" s="261" customFormat="1" ht="12.75" x14ac:dyDescent="0.2">
      <c r="B47" s="259" t="s">
        <v>496</v>
      </c>
      <c r="C47" s="259"/>
      <c r="D47" s="259"/>
      <c r="E47" s="262" t="e">
        <f>VLOOKUP($C$3,'M) Police'!$B$6:$N$396,10,FALSE)</f>
        <v>#N/A</v>
      </c>
      <c r="F47" s="260"/>
    </row>
    <row r="48" spans="2:8" s="261" customFormat="1" ht="12.75" x14ac:dyDescent="0.2">
      <c r="B48" s="259" t="s">
        <v>497</v>
      </c>
      <c r="C48" s="259"/>
      <c r="D48" s="259"/>
      <c r="E48" s="262" t="e">
        <f>VLOOKUP($C$3,'M) Police'!$B$6:$N$396,13,FALSE)</f>
        <v>#N/A</v>
      </c>
      <c r="F48" s="260" t="e">
        <f>E47+E48</f>
        <v>#N/A</v>
      </c>
    </row>
    <row r="49" spans="2:6" s="261" customFormat="1" ht="12.75" x14ac:dyDescent="0.2">
      <c r="B49" s="259"/>
      <c r="C49" s="259"/>
      <c r="D49" s="259"/>
      <c r="E49" s="260"/>
      <c r="F49" s="264"/>
    </row>
    <row r="50" spans="2:6" s="261" customFormat="1" ht="12.75" x14ac:dyDescent="0.2">
      <c r="B50" s="266" t="s">
        <v>502</v>
      </c>
      <c r="C50" s="259"/>
      <c r="D50" s="259"/>
      <c r="E50" s="260"/>
      <c r="F50" s="265" t="e">
        <f>F48</f>
        <v>#N/A</v>
      </c>
    </row>
    <row r="51" spans="2:6" s="261" customFormat="1" ht="12.75" x14ac:dyDescent="0.2">
      <c r="B51" s="259"/>
      <c r="C51" s="259"/>
      <c r="D51" s="259"/>
      <c r="E51" s="260"/>
      <c r="F51" s="260"/>
    </row>
    <row r="52" spans="2:6" ht="18" x14ac:dyDescent="0.35">
      <c r="B52" s="251" t="s">
        <v>516</v>
      </c>
      <c r="C52" s="107"/>
      <c r="D52" s="107"/>
      <c r="E52" s="216"/>
      <c r="F52" s="216"/>
    </row>
    <row r="53" spans="2:6" x14ac:dyDescent="0.25">
      <c r="B53" s="259"/>
      <c r="C53" s="259"/>
      <c r="D53" s="259"/>
      <c r="E53" s="259"/>
      <c r="F53" s="259"/>
    </row>
    <row r="54" spans="2:6" x14ac:dyDescent="0.25">
      <c r="B54" s="266" t="s">
        <v>540</v>
      </c>
      <c r="C54" s="259"/>
      <c r="D54" s="259"/>
      <c r="E54" s="259"/>
      <c r="F54" s="265" t="e">
        <f>+F24+F43+F50</f>
        <v>#N/A</v>
      </c>
    </row>
    <row r="55" spans="2:6" x14ac:dyDescent="0.25">
      <c r="B55" s="259"/>
      <c r="C55" s="259"/>
      <c r="D55" s="259"/>
      <c r="E55" s="259"/>
      <c r="F55" s="259"/>
    </row>
    <row r="56" spans="2:6" ht="18" x14ac:dyDescent="0.35">
      <c r="B56" s="251" t="s">
        <v>541</v>
      </c>
      <c r="C56" s="107"/>
      <c r="D56" s="107"/>
      <c r="E56" s="216"/>
      <c r="F56" s="216"/>
    </row>
  </sheetData>
  <protectedRanges>
    <protectedRange sqref="C3:E3" name="Plage1"/>
  </protectedRanges>
  <mergeCells count="3">
    <mergeCell ref="B6:F6"/>
    <mergeCell ref="B7:F7"/>
    <mergeCell ref="C3:E3"/>
  </mergeCells>
  <printOptions horizontalCentered="1" verticalCentered="1"/>
  <pageMargins left="0.70866141732283472" right="0.70866141732283472" top="0.35433070866141736" bottom="0.35433070866141736"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Paramètres!$A$70:$A$378</xm:f>
          </x14:formula1>
          <xm:sqref>C3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00B050"/>
  </sheetPr>
  <dimension ref="A1:AC318"/>
  <sheetViews>
    <sheetView zoomScaleNormal="100" workbookViewId="0">
      <pane ySplit="6" topLeftCell="A7" activePane="bottomLeft" state="frozen"/>
      <selection pane="bottomLeft" activeCell="I316" sqref="I316"/>
    </sheetView>
  </sheetViews>
  <sheetFormatPr baseColWidth="10" defaultColWidth="8.625" defaultRowHeight="15" x14ac:dyDescent="0.25"/>
  <cols>
    <col min="1" max="1" width="7.75" style="373" customWidth="1"/>
    <col min="2" max="2" width="20.375" style="15" bestFit="1" customWidth="1"/>
    <col min="3" max="3" width="15" style="367" bestFit="1" customWidth="1"/>
    <col min="4" max="4" width="14" style="15" bestFit="1" customWidth="1"/>
    <col min="5" max="5" width="8.875" style="15" bestFit="1" customWidth="1"/>
    <col min="6" max="6" width="11.25" style="15" bestFit="1" customWidth="1"/>
    <col min="7" max="7" width="13" style="414" bestFit="1" customWidth="1"/>
    <col min="8" max="8" width="12.125" style="414" bestFit="1" customWidth="1"/>
    <col min="9" max="9" width="12.125" style="414" customWidth="1"/>
    <col min="10" max="10" width="13.875" style="15" customWidth="1"/>
    <col min="11" max="11" width="12.125" style="15" bestFit="1" customWidth="1"/>
    <col min="12" max="12" width="13.25" style="15" bestFit="1" customWidth="1"/>
    <col min="13" max="14" width="14.25" style="15" bestFit="1" customWidth="1"/>
    <col min="15" max="15" width="12.125" style="15" bestFit="1" customWidth="1"/>
    <col min="16" max="16" width="14" style="15" bestFit="1" customWidth="1"/>
    <col min="17" max="17" width="12.125" style="15" bestFit="1" customWidth="1"/>
    <col min="18" max="18" width="13.875" style="15" customWidth="1"/>
    <col min="19" max="19" width="12.125" style="15" bestFit="1" customWidth="1"/>
    <col min="20" max="20" width="14.25" style="15" bestFit="1" customWidth="1"/>
    <col min="21" max="21" width="12" style="15" customWidth="1"/>
    <col min="22" max="22" width="10.875" style="6" bestFit="1" customWidth="1"/>
    <col min="23" max="23" width="12.125" style="15" bestFit="1" customWidth="1"/>
    <col min="24" max="24" width="9.125" style="15" bestFit="1" customWidth="1"/>
    <col min="25" max="25" width="11.875" style="15" bestFit="1" customWidth="1"/>
    <col min="26" max="26" width="7" style="15" bestFit="1" customWidth="1"/>
    <col min="27" max="27" width="8.625" style="15"/>
    <col min="28" max="28" width="13" style="15" bestFit="1" customWidth="1"/>
    <col min="29" max="16384" width="8.625" style="15"/>
  </cols>
  <sheetData>
    <row r="1" spans="1:29" ht="21" x14ac:dyDescent="0.35">
      <c r="A1" s="368" t="s">
        <v>450</v>
      </c>
      <c r="B1" s="347"/>
      <c r="C1" s="348"/>
      <c r="D1" s="347"/>
      <c r="E1" s="347"/>
      <c r="F1" s="347"/>
      <c r="G1" s="347"/>
      <c r="H1" s="347"/>
      <c r="I1" s="347"/>
      <c r="J1" s="347"/>
      <c r="K1" s="347"/>
      <c r="U1" s="374"/>
    </row>
    <row r="2" spans="1:29" ht="21" x14ac:dyDescent="0.35">
      <c r="A2" s="368" t="str">
        <f>Paramètres!B5</f>
        <v>Acomptes 2019</v>
      </c>
      <c r="C2" s="349"/>
      <c r="D2" s="350"/>
      <c r="E2" s="347"/>
      <c r="F2" s="347"/>
      <c r="G2" s="347"/>
      <c r="H2" s="347"/>
      <c r="I2" s="347"/>
      <c r="J2" s="347"/>
      <c r="K2" s="347"/>
      <c r="U2" s="374"/>
    </row>
    <row r="3" spans="1:29" x14ac:dyDescent="0.25">
      <c r="A3" s="369"/>
      <c r="B3" s="347"/>
      <c r="C3" s="348"/>
      <c r="D3" s="347"/>
      <c r="E3" s="347"/>
      <c r="F3" s="347"/>
      <c r="G3" s="347"/>
      <c r="H3" s="347"/>
      <c r="I3" s="347"/>
      <c r="J3" s="347"/>
      <c r="K3" s="347"/>
      <c r="M3" s="351"/>
      <c r="U3" s="374"/>
    </row>
    <row r="4" spans="1:29" s="352" customFormat="1" ht="38.1" customHeight="1" x14ac:dyDescent="0.2">
      <c r="A4" s="457" t="s">
        <v>46</v>
      </c>
      <c r="B4" s="460" t="s">
        <v>519</v>
      </c>
      <c r="C4" s="455" t="s">
        <v>413</v>
      </c>
      <c r="D4" s="464" t="s">
        <v>414</v>
      </c>
      <c r="E4" s="451" t="s">
        <v>258</v>
      </c>
      <c r="F4" s="451" t="s">
        <v>259</v>
      </c>
      <c r="G4" s="453" t="s">
        <v>566</v>
      </c>
      <c r="H4" s="453" t="s">
        <v>567</v>
      </c>
      <c r="I4" s="453" t="s">
        <v>568</v>
      </c>
      <c r="J4" s="451" t="s">
        <v>415</v>
      </c>
      <c r="K4" s="451" t="s">
        <v>383</v>
      </c>
      <c r="L4" s="451" t="s">
        <v>384</v>
      </c>
      <c r="M4" s="451" t="s">
        <v>385</v>
      </c>
      <c r="N4" s="451" t="s">
        <v>193</v>
      </c>
      <c r="O4" s="451" t="s">
        <v>194</v>
      </c>
      <c r="P4" s="451" t="s">
        <v>195</v>
      </c>
      <c r="Q4" s="451" t="s">
        <v>196</v>
      </c>
      <c r="R4" s="451" t="s">
        <v>416</v>
      </c>
      <c r="S4" s="451" t="s">
        <v>197</v>
      </c>
      <c r="T4" s="451" t="s">
        <v>138</v>
      </c>
      <c r="U4" s="455" t="s">
        <v>78</v>
      </c>
      <c r="V4" s="466" t="s">
        <v>449</v>
      </c>
      <c r="W4" s="451" t="s">
        <v>246</v>
      </c>
      <c r="X4" s="451" t="s">
        <v>247</v>
      </c>
      <c r="Y4" s="451" t="s">
        <v>248</v>
      </c>
      <c r="Z4" s="451" t="s">
        <v>501</v>
      </c>
    </row>
    <row r="5" spans="1:29" s="352" customFormat="1" ht="38.1" customHeight="1" x14ac:dyDescent="0.2">
      <c r="A5" s="458"/>
      <c r="B5" s="461"/>
      <c r="C5" s="456"/>
      <c r="D5" s="465"/>
      <c r="E5" s="452"/>
      <c r="F5" s="452"/>
      <c r="G5" s="454"/>
      <c r="H5" s="454"/>
      <c r="I5" s="454"/>
      <c r="J5" s="452"/>
      <c r="K5" s="452"/>
      <c r="L5" s="452"/>
      <c r="M5" s="452"/>
      <c r="N5" s="452"/>
      <c r="O5" s="452"/>
      <c r="P5" s="452"/>
      <c r="Q5" s="452"/>
      <c r="R5" s="463"/>
      <c r="S5" s="452"/>
      <c r="T5" s="452"/>
      <c r="U5" s="456"/>
      <c r="V5" s="467"/>
      <c r="W5" s="463"/>
      <c r="X5" s="463"/>
      <c r="Y5" s="463"/>
      <c r="Z5" s="463"/>
    </row>
    <row r="6" spans="1:29" s="347" customFormat="1" x14ac:dyDescent="0.25">
      <c r="A6" s="459"/>
      <c r="B6" s="462"/>
      <c r="C6" s="382" t="s">
        <v>417</v>
      </c>
      <c r="D6" s="383" t="s">
        <v>418</v>
      </c>
      <c r="E6" s="353" t="s">
        <v>79</v>
      </c>
      <c r="F6" s="353" t="s">
        <v>80</v>
      </c>
      <c r="G6" s="433" t="s">
        <v>419</v>
      </c>
      <c r="H6" s="433" t="s">
        <v>420</v>
      </c>
      <c r="I6" s="433"/>
      <c r="J6" s="353" t="s">
        <v>82</v>
      </c>
      <c r="K6" s="353" t="s">
        <v>83</v>
      </c>
      <c r="L6" s="353" t="s">
        <v>84</v>
      </c>
      <c r="M6" s="353" t="s">
        <v>85</v>
      </c>
      <c r="N6" s="353" t="s">
        <v>86</v>
      </c>
      <c r="O6" s="353" t="s">
        <v>87</v>
      </c>
      <c r="P6" s="353" t="s">
        <v>88</v>
      </c>
      <c r="Q6" s="353" t="s">
        <v>89</v>
      </c>
      <c r="R6" s="452"/>
      <c r="S6" s="353" t="s">
        <v>90</v>
      </c>
      <c r="T6" s="353" t="s">
        <v>91</v>
      </c>
      <c r="U6" s="390">
        <f>+Paramètres!B8</f>
        <v>2017</v>
      </c>
      <c r="V6" s="386">
        <f>+Paramètres!B7</f>
        <v>41638</v>
      </c>
      <c r="W6" s="452"/>
      <c r="X6" s="452"/>
      <c r="Y6" s="452"/>
      <c r="Z6" s="452"/>
    </row>
    <row r="7" spans="1:29" x14ac:dyDescent="0.25">
      <c r="A7" s="370">
        <v>5401</v>
      </c>
      <c r="B7" s="354" t="s">
        <v>261</v>
      </c>
      <c r="C7" s="91">
        <v>11992347.890000001</v>
      </c>
      <c r="D7" s="91">
        <v>1563729.62</v>
      </c>
      <c r="E7" s="380"/>
      <c r="F7" s="356">
        <v>95.45</v>
      </c>
      <c r="G7" s="425">
        <f>VLOOKUP(A7,'[1]Tableau (2)'!$A:$E,3,FALSE)</f>
        <v>1440920.64</v>
      </c>
      <c r="H7" s="425">
        <f>VLOOKUP(A7,'[1]Tableau (2)'!$A:$E,4,FALSE)</f>
        <v>251362.65</v>
      </c>
      <c r="I7" s="424">
        <f>VLOOKUP(A7,'[2]Tableau (2)'!$A$4:$D$312,4,FALSE)</f>
        <v>468616.25</v>
      </c>
      <c r="J7" s="380">
        <v>-5797.95</v>
      </c>
      <c r="K7" s="357">
        <v>663523.68000000005</v>
      </c>
      <c r="L7" s="355">
        <v>163866.4</v>
      </c>
      <c r="M7" s="357">
        <v>1847705.6000000001</v>
      </c>
      <c r="N7" s="358">
        <f t="shared" ref="N7:N70" si="0">SUM(C7:M7)</f>
        <v>18386370.230000004</v>
      </c>
      <c r="O7" s="91">
        <v>906929.85</v>
      </c>
      <c r="P7" s="91">
        <v>419888.6</v>
      </c>
      <c r="Q7" s="91">
        <v>1008208.15</v>
      </c>
      <c r="R7" s="91">
        <v>113134.33</v>
      </c>
      <c r="S7" s="91">
        <v>589268.35</v>
      </c>
      <c r="T7" s="359">
        <f t="shared" ref="T7:T70" si="1">SUM(N7:S7)</f>
        <v>21423799.510000005</v>
      </c>
      <c r="U7" s="384">
        <v>67.5</v>
      </c>
      <c r="V7" s="90">
        <v>10153</v>
      </c>
      <c r="W7" s="375">
        <v>-379884.16</v>
      </c>
      <c r="X7" s="91"/>
      <c r="Y7" s="91">
        <v>-938.52</v>
      </c>
      <c r="Z7" s="34">
        <v>1.2</v>
      </c>
      <c r="AC7" s="414"/>
    </row>
    <row r="8" spans="1:29" x14ac:dyDescent="0.25">
      <c r="A8" s="370">
        <v>5402</v>
      </c>
      <c r="B8" s="354" t="s">
        <v>262</v>
      </c>
      <c r="C8" s="34">
        <v>8629885.2899999991</v>
      </c>
      <c r="D8" s="34">
        <v>1197763.23</v>
      </c>
      <c r="E8" s="380"/>
      <c r="F8" s="355"/>
      <c r="G8" s="425">
        <f>VLOOKUP(A8,'[1]Tableau (2)'!$A:$E,3,FALSE)</f>
        <v>527293.34</v>
      </c>
      <c r="H8" s="425">
        <f>VLOOKUP(A8,'[1]Tableau (2)'!$A:$E,4,FALSE)</f>
        <v>179212.80000000002</v>
      </c>
      <c r="I8" s="425">
        <f>VLOOKUP(A8,'[2]Tableau (2)'!$A$4:$D$312,4,FALSE)</f>
        <v>177781.1</v>
      </c>
      <c r="J8" s="380">
        <v>154621.79999999999</v>
      </c>
      <c r="K8" s="357">
        <v>428504.5</v>
      </c>
      <c r="L8" s="355">
        <v>87064.65</v>
      </c>
      <c r="M8" s="357">
        <v>1499490.5</v>
      </c>
      <c r="N8" s="358">
        <f t="shared" si="0"/>
        <v>12881617.210000001</v>
      </c>
      <c r="O8" s="34">
        <v>170020.55</v>
      </c>
      <c r="P8" s="34">
        <v>253796.1</v>
      </c>
      <c r="Q8" s="34">
        <v>825137.25</v>
      </c>
      <c r="R8" s="34">
        <v>81151.05</v>
      </c>
      <c r="S8" s="34">
        <v>594534.44999999995</v>
      </c>
      <c r="T8" s="359">
        <f t="shared" si="1"/>
        <v>14806256.610000001</v>
      </c>
      <c r="U8" s="17">
        <v>71</v>
      </c>
      <c r="V8" s="32">
        <v>7719</v>
      </c>
      <c r="W8" s="376">
        <v>-334358.31</v>
      </c>
      <c r="X8" s="34"/>
      <c r="Y8" s="34">
        <v>-721.12</v>
      </c>
      <c r="Z8" s="34">
        <v>1.25</v>
      </c>
      <c r="AB8" s="414"/>
      <c r="AC8" s="414"/>
    </row>
    <row r="9" spans="1:29" x14ac:dyDescent="0.25">
      <c r="A9" s="370">
        <v>5403</v>
      </c>
      <c r="B9" s="354" t="s">
        <v>112</v>
      </c>
      <c r="C9" s="34">
        <v>599526.07999999996</v>
      </c>
      <c r="D9" s="34">
        <v>65447.46</v>
      </c>
      <c r="E9" s="380"/>
      <c r="F9" s="355"/>
      <c r="G9" s="425">
        <f>VLOOKUP(A9,'[1]Tableau (2)'!$A:$E,3,FALSE)</f>
        <v>5401.03</v>
      </c>
      <c r="H9" s="425">
        <f>VLOOKUP(A9,'[1]Tableau (2)'!$A:$E,4,FALSE)</f>
        <v>282.89999999999998</v>
      </c>
      <c r="I9" s="425">
        <f>VLOOKUP(A9,'[2]Tableau (2)'!$A$4:$D$312,4,FALSE)</f>
        <v>1655.95</v>
      </c>
      <c r="J9" s="380"/>
      <c r="K9" s="357">
        <v>18133.919999999998</v>
      </c>
      <c r="L9" s="355">
        <v>994</v>
      </c>
      <c r="M9" s="357">
        <v>56269.25</v>
      </c>
      <c r="N9" s="358">
        <f t="shared" si="0"/>
        <v>747710.59</v>
      </c>
      <c r="O9" s="34">
        <v>6003.45</v>
      </c>
      <c r="P9" s="34">
        <v>594</v>
      </c>
      <c r="Q9" s="34">
        <v>60544</v>
      </c>
      <c r="R9" s="34">
        <v>464.85</v>
      </c>
      <c r="S9" s="34">
        <v>6502.7</v>
      </c>
      <c r="T9" s="359">
        <f t="shared" si="1"/>
        <v>821819.58999999985</v>
      </c>
      <c r="U9" s="17">
        <v>74</v>
      </c>
      <c r="V9" s="32">
        <v>403</v>
      </c>
      <c r="W9" s="376">
        <v>-27848.2</v>
      </c>
      <c r="X9" s="34"/>
      <c r="Y9" s="34">
        <v>-0.08</v>
      </c>
      <c r="Z9" s="34">
        <v>1</v>
      </c>
      <c r="AB9" s="414"/>
      <c r="AC9" s="414"/>
    </row>
    <row r="10" spans="1:29" x14ac:dyDescent="0.25">
      <c r="A10" s="370">
        <v>5404</v>
      </c>
      <c r="B10" s="354" t="s">
        <v>113</v>
      </c>
      <c r="C10" s="34">
        <v>559687.56000000006</v>
      </c>
      <c r="D10" s="34">
        <v>127374.39</v>
      </c>
      <c r="E10" s="380"/>
      <c r="F10" s="355"/>
      <c r="G10" s="425">
        <f>VLOOKUP(A10,'[1]Tableau (2)'!$A:$E,3,FALSE)</f>
        <v>6714.19</v>
      </c>
      <c r="H10" s="425">
        <f>VLOOKUP(A10,'[1]Tableau (2)'!$A:$E,4,FALSE)</f>
        <v>201.8</v>
      </c>
      <c r="I10" s="425">
        <f>VLOOKUP(A10,'[2]Tableau (2)'!$A$4:$D$312,4,FALSE)</f>
        <v>927.8</v>
      </c>
      <c r="J10" s="380"/>
      <c r="K10" s="357">
        <v>3363.46</v>
      </c>
      <c r="L10" s="355">
        <v>569.75</v>
      </c>
      <c r="M10" s="360">
        <v>113124.85</v>
      </c>
      <c r="N10" s="358">
        <f t="shared" si="0"/>
        <v>811963.8</v>
      </c>
      <c r="O10" s="34">
        <v>6541.75</v>
      </c>
      <c r="P10" s="34">
        <v>300761.7</v>
      </c>
      <c r="Q10" s="34">
        <v>66190.55</v>
      </c>
      <c r="R10" s="34">
        <v>466.75</v>
      </c>
      <c r="S10" s="34">
        <v>23877.25</v>
      </c>
      <c r="T10" s="359">
        <f t="shared" si="1"/>
        <v>1209801.8</v>
      </c>
      <c r="U10" s="17">
        <v>70</v>
      </c>
      <c r="V10" s="32">
        <v>437</v>
      </c>
      <c r="W10" s="376">
        <v>-14194.93</v>
      </c>
      <c r="X10" s="34"/>
      <c r="Y10" s="34">
        <v>-0.85</v>
      </c>
      <c r="Z10" s="34">
        <v>1.5</v>
      </c>
      <c r="AB10" s="414"/>
      <c r="AC10" s="414"/>
    </row>
    <row r="11" spans="1:29" x14ac:dyDescent="0.25">
      <c r="A11" s="370">
        <v>5405</v>
      </c>
      <c r="B11" s="354" t="s">
        <v>114</v>
      </c>
      <c r="C11" s="34">
        <v>2885632.82</v>
      </c>
      <c r="D11" s="34">
        <v>1215096.45</v>
      </c>
      <c r="E11" s="380"/>
      <c r="F11" s="355"/>
      <c r="G11" s="425">
        <f>VLOOKUP(A11,'[1]Tableau (2)'!$A:$E,3,FALSE)</f>
        <v>19822.16</v>
      </c>
      <c r="H11" s="425">
        <f>VLOOKUP(A11,'[1]Tableau (2)'!$A:$E,4,FALSE)</f>
        <v>16656.8</v>
      </c>
      <c r="I11" s="425">
        <f>VLOOKUP(A11,'[2]Tableau (2)'!$A$4:$D$312,4,FALSE)</f>
        <v>9228.0499999999993</v>
      </c>
      <c r="J11" s="380">
        <v>255090.25</v>
      </c>
      <c r="K11" s="357">
        <v>88169.29</v>
      </c>
      <c r="L11" s="355">
        <v>13487.7</v>
      </c>
      <c r="M11" s="357">
        <v>1140725.45</v>
      </c>
      <c r="N11" s="358">
        <f t="shared" si="0"/>
        <v>5643908.9699999997</v>
      </c>
      <c r="O11" s="34"/>
      <c r="P11" s="34">
        <v>85662.5</v>
      </c>
      <c r="Q11" s="34">
        <v>291566.75</v>
      </c>
      <c r="R11" s="34">
        <v>22889.98</v>
      </c>
      <c r="S11" s="34">
        <v>270969.5</v>
      </c>
      <c r="T11" s="359">
        <f t="shared" si="1"/>
        <v>6314997.7000000002</v>
      </c>
      <c r="U11" s="17">
        <v>75</v>
      </c>
      <c r="V11" s="32">
        <v>1364</v>
      </c>
      <c r="W11" s="376">
        <v>-49224.26</v>
      </c>
      <c r="X11" s="34"/>
      <c r="Y11" s="34">
        <v>-648.4</v>
      </c>
      <c r="Z11" s="34">
        <v>1.5</v>
      </c>
      <c r="AB11" s="414"/>
      <c r="AC11" s="414"/>
    </row>
    <row r="12" spans="1:29" x14ac:dyDescent="0.25">
      <c r="A12" s="370">
        <v>5406</v>
      </c>
      <c r="B12" s="354" t="s">
        <v>115</v>
      </c>
      <c r="C12" s="34">
        <v>1102903.25</v>
      </c>
      <c r="D12" s="34">
        <v>130512.79</v>
      </c>
      <c r="E12" s="380"/>
      <c r="F12" s="355"/>
      <c r="G12" s="425">
        <f>VLOOKUP(A12,'[1]Tableau (2)'!$A:$E,3,FALSE)</f>
        <v>59784.18</v>
      </c>
      <c r="H12" s="425">
        <f>VLOOKUP(A12,'[1]Tableau (2)'!$A:$E,4,FALSE)</f>
        <v>4553.05</v>
      </c>
      <c r="I12" s="425">
        <f>VLOOKUP(A12,'[2]Tableau (2)'!$A$4:$D$312,4,FALSE)</f>
        <v>23285.25</v>
      </c>
      <c r="J12" s="380"/>
      <c r="K12" s="357">
        <v>77672.08</v>
      </c>
      <c r="L12" s="355">
        <v>8860.6</v>
      </c>
      <c r="M12" s="357">
        <v>187564.25</v>
      </c>
      <c r="N12" s="358">
        <f t="shared" si="0"/>
        <v>1595135.4500000002</v>
      </c>
      <c r="O12" s="34">
        <v>4100.5</v>
      </c>
      <c r="P12" s="34">
        <v>2904</v>
      </c>
      <c r="Q12" s="34">
        <v>61769.4</v>
      </c>
      <c r="R12" s="34">
        <v>6240.28</v>
      </c>
      <c r="S12" s="34">
        <v>88368.1</v>
      </c>
      <c r="T12" s="359">
        <f t="shared" si="1"/>
        <v>1758517.7300000002</v>
      </c>
      <c r="U12" s="17">
        <v>71</v>
      </c>
      <c r="V12" s="32">
        <v>926</v>
      </c>
      <c r="W12" s="376">
        <v>-29537.95</v>
      </c>
      <c r="X12" s="34"/>
      <c r="Y12" s="34">
        <v>0</v>
      </c>
      <c r="Z12" s="34">
        <v>1.3</v>
      </c>
      <c r="AB12" s="414"/>
      <c r="AC12" s="414"/>
    </row>
    <row r="13" spans="1:29" x14ac:dyDescent="0.25">
      <c r="A13" s="370">
        <v>5407</v>
      </c>
      <c r="B13" s="354" t="s">
        <v>116</v>
      </c>
      <c r="C13" s="34">
        <v>4266002.33</v>
      </c>
      <c r="D13" s="34">
        <v>970439.16</v>
      </c>
      <c r="E13" s="380"/>
      <c r="F13" s="355"/>
      <c r="G13" s="425">
        <f>VLOOKUP(A13,'[1]Tableau (2)'!$A:$E,3,FALSE)</f>
        <v>122598.21</v>
      </c>
      <c r="H13" s="425">
        <f>VLOOKUP(A13,'[1]Tableau (2)'!$A:$E,4,FALSE)</f>
        <v>160161.20000000001</v>
      </c>
      <c r="I13" s="425">
        <f>VLOOKUP(A13,'[2]Tableau (2)'!$A$4:$D$312,4,FALSE)</f>
        <v>165392.20000000001</v>
      </c>
      <c r="J13" s="380">
        <v>139743.37</v>
      </c>
      <c r="K13" s="357">
        <v>430438.01</v>
      </c>
      <c r="L13" s="355">
        <v>49521.1</v>
      </c>
      <c r="M13" s="357">
        <v>1191712.6499999999</v>
      </c>
      <c r="N13" s="358">
        <f t="shared" si="0"/>
        <v>7496008.2300000004</v>
      </c>
      <c r="O13" s="34">
        <v>20208.75</v>
      </c>
      <c r="P13" s="34">
        <v>100744.2</v>
      </c>
      <c r="Q13" s="34">
        <v>303301.45</v>
      </c>
      <c r="R13" s="34">
        <v>34809.1</v>
      </c>
      <c r="S13" s="34">
        <v>285716</v>
      </c>
      <c r="T13" s="359">
        <f t="shared" si="1"/>
        <v>8240787.7300000004</v>
      </c>
      <c r="U13" s="17">
        <v>78</v>
      </c>
      <c r="V13" s="32">
        <v>4023</v>
      </c>
      <c r="W13" s="376">
        <v>-69786.34</v>
      </c>
      <c r="X13" s="34"/>
      <c r="Y13" s="34">
        <v>-2136.56</v>
      </c>
      <c r="Z13" s="34">
        <v>1.5</v>
      </c>
      <c r="AB13" s="414"/>
      <c r="AC13" s="414"/>
    </row>
    <row r="14" spans="1:29" x14ac:dyDescent="0.25">
      <c r="A14" s="370">
        <v>5408</v>
      </c>
      <c r="B14" s="354" t="s">
        <v>117</v>
      </c>
      <c r="C14" s="34">
        <v>1762002.04</v>
      </c>
      <c r="D14" s="34">
        <v>233104.76</v>
      </c>
      <c r="E14" s="380"/>
      <c r="F14" s="355"/>
      <c r="G14" s="425">
        <f>VLOOKUP(A14,'[1]Tableau (2)'!$A:$E,3,FALSE)</f>
        <v>202717.69</v>
      </c>
      <c r="H14" s="425">
        <f>VLOOKUP(A14,'[1]Tableau (2)'!$A:$E,4,FALSE)</f>
        <v>8548.1</v>
      </c>
      <c r="I14" s="425">
        <f>VLOOKUP(A14,'[2]Tableau (2)'!$A$4:$D$312,4,FALSE)</f>
        <v>31485.1</v>
      </c>
      <c r="J14" s="380"/>
      <c r="K14" s="357">
        <v>90896.23</v>
      </c>
      <c r="L14" s="355">
        <v>20389.05</v>
      </c>
      <c r="M14" s="357">
        <v>256668.1</v>
      </c>
      <c r="N14" s="358">
        <f t="shared" si="0"/>
        <v>2605811.0700000003</v>
      </c>
      <c r="O14" s="34">
        <v>58557.25</v>
      </c>
      <c r="P14" s="34">
        <v>113978.7</v>
      </c>
      <c r="Q14" s="34">
        <v>109789.7</v>
      </c>
      <c r="R14" s="34">
        <v>16604.919999999998</v>
      </c>
      <c r="S14" s="34">
        <v>25509.200000000001</v>
      </c>
      <c r="T14" s="359">
        <f t="shared" si="1"/>
        <v>2930250.8400000008</v>
      </c>
      <c r="U14" s="17">
        <v>78.5</v>
      </c>
      <c r="V14" s="32">
        <v>1055</v>
      </c>
      <c r="W14" s="376">
        <v>-45550.18</v>
      </c>
      <c r="X14" s="34"/>
      <c r="Y14" s="34">
        <v>-54.98</v>
      </c>
      <c r="Z14" s="34">
        <v>1.5</v>
      </c>
      <c r="AB14" s="414"/>
      <c r="AC14" s="414"/>
    </row>
    <row r="15" spans="1:29" x14ac:dyDescent="0.25">
      <c r="A15" s="370">
        <v>5409</v>
      </c>
      <c r="B15" s="354" t="s">
        <v>118</v>
      </c>
      <c r="C15" s="34">
        <v>12820936.460000001</v>
      </c>
      <c r="D15" s="34">
        <v>4598109.9000000004</v>
      </c>
      <c r="E15" s="380"/>
      <c r="F15" s="355"/>
      <c r="G15" s="425">
        <f>VLOOKUP(A15,'[1]Tableau (2)'!$A:$E,3,FALSE)</f>
        <v>711140.75</v>
      </c>
      <c r="H15" s="425">
        <f>VLOOKUP(A15,'[1]Tableau (2)'!$A:$E,4,FALSE)</f>
        <v>118870.3</v>
      </c>
      <c r="I15" s="425">
        <f>VLOOKUP(A15,'[2]Tableau (2)'!$A$4:$D$312,4,FALSE)</f>
        <v>202446.9</v>
      </c>
      <c r="J15" s="380">
        <v>2828271.23</v>
      </c>
      <c r="K15" s="357">
        <v>835288.22</v>
      </c>
      <c r="L15" s="355">
        <v>111487.85</v>
      </c>
      <c r="M15" s="357">
        <v>3748847.5</v>
      </c>
      <c r="N15" s="358">
        <f t="shared" si="0"/>
        <v>25975399.109999999</v>
      </c>
      <c r="O15" s="34">
        <v>55680.2</v>
      </c>
      <c r="P15" s="34">
        <v>362681.95</v>
      </c>
      <c r="Q15" s="34">
        <v>1581032.65</v>
      </c>
      <c r="R15" s="34">
        <v>70557.919999999998</v>
      </c>
      <c r="S15" s="34">
        <v>958024.5</v>
      </c>
      <c r="T15" s="359">
        <f t="shared" si="1"/>
        <v>29003376.329999998</v>
      </c>
      <c r="U15" s="17">
        <v>68</v>
      </c>
      <c r="V15" s="32">
        <v>7494</v>
      </c>
      <c r="W15" s="376">
        <v>-192708.49</v>
      </c>
      <c r="X15" s="34"/>
      <c r="Y15" s="34">
        <v>-7247.39</v>
      </c>
      <c r="Z15" s="34">
        <v>1.3</v>
      </c>
      <c r="AB15" s="414"/>
      <c r="AC15" s="414"/>
    </row>
    <row r="16" spans="1:29" x14ac:dyDescent="0.25">
      <c r="A16" s="370">
        <v>5410</v>
      </c>
      <c r="B16" s="354" t="s">
        <v>130</v>
      </c>
      <c r="C16" s="34">
        <v>1832531.47</v>
      </c>
      <c r="D16" s="34">
        <v>575869.18999999994</v>
      </c>
      <c r="E16" s="380"/>
      <c r="F16" s="355"/>
      <c r="G16" s="425">
        <f>VLOOKUP(A16,'[1]Tableau (2)'!$A:$E,3,FALSE)</f>
        <v>64056.26</v>
      </c>
      <c r="H16" s="425">
        <f>VLOOKUP(A16,'[1]Tableau (2)'!$A:$E,4,FALSE)</f>
        <v>3928.8999999999996</v>
      </c>
      <c r="I16" s="425">
        <f>VLOOKUP(A16,'[2]Tableau (2)'!$A$4:$D$312,4,FALSE)</f>
        <v>17480.8</v>
      </c>
      <c r="J16" s="380"/>
      <c r="K16" s="357">
        <v>92989.28</v>
      </c>
      <c r="L16" s="355">
        <v>5243.5</v>
      </c>
      <c r="M16" s="357">
        <v>549254.75</v>
      </c>
      <c r="N16" s="358">
        <f t="shared" si="0"/>
        <v>3141354.1499999994</v>
      </c>
      <c r="O16" s="34"/>
      <c r="P16" s="34">
        <v>75600.5</v>
      </c>
      <c r="Q16" s="34">
        <v>153112.95000000001</v>
      </c>
      <c r="R16" s="34">
        <v>15556.04</v>
      </c>
      <c r="S16" s="34">
        <v>175332.8</v>
      </c>
      <c r="T16" s="359">
        <f t="shared" si="1"/>
        <v>3560956.4399999995</v>
      </c>
      <c r="U16" s="17">
        <v>78.5</v>
      </c>
      <c r="V16" s="32">
        <v>1117</v>
      </c>
      <c r="W16" s="376">
        <v>-23211.67</v>
      </c>
      <c r="X16" s="34"/>
      <c r="Y16" s="34">
        <v>-124.32</v>
      </c>
      <c r="Z16" s="34">
        <v>1.5</v>
      </c>
      <c r="AB16" s="414"/>
      <c r="AC16" s="414"/>
    </row>
    <row r="17" spans="1:29" x14ac:dyDescent="0.25">
      <c r="A17" s="370">
        <v>5411</v>
      </c>
      <c r="B17" s="354" t="s">
        <v>131</v>
      </c>
      <c r="C17" s="34">
        <v>3428087.76</v>
      </c>
      <c r="D17" s="34">
        <v>1409524</v>
      </c>
      <c r="E17" s="380"/>
      <c r="F17" s="355"/>
      <c r="G17" s="425">
        <f>VLOOKUP(A17,'[1]Tableau (2)'!$A:$E,3,FALSE)</f>
        <v>111258.65</v>
      </c>
      <c r="H17" s="425">
        <f>VLOOKUP(A17,'[1]Tableau (2)'!$A:$E,4,FALSE)</f>
        <v>9766.4500000000007</v>
      </c>
      <c r="I17" s="425">
        <f>VLOOKUP(A17,'[2]Tableau (2)'!$A$4:$D$312,4,FALSE)</f>
        <v>23362.9</v>
      </c>
      <c r="J17" s="380">
        <v>99494.21</v>
      </c>
      <c r="K17" s="357">
        <v>135976.32000000001</v>
      </c>
      <c r="L17" s="355">
        <v>21865.95</v>
      </c>
      <c r="M17" s="357">
        <v>1163335.8999999999</v>
      </c>
      <c r="N17" s="358">
        <f t="shared" si="0"/>
        <v>6402672.1400000006</v>
      </c>
      <c r="O17" s="34"/>
      <c r="P17" s="34">
        <v>12809.7</v>
      </c>
      <c r="Q17" s="34">
        <v>244544</v>
      </c>
      <c r="R17" s="34">
        <v>3438.17</v>
      </c>
      <c r="S17" s="34">
        <v>268175.09999999998</v>
      </c>
      <c r="T17" s="359">
        <f t="shared" si="1"/>
        <v>6931639.1100000003</v>
      </c>
      <c r="U17" s="17">
        <v>76</v>
      </c>
      <c r="V17" s="32">
        <v>1467</v>
      </c>
      <c r="W17" s="376">
        <v>-47883.96</v>
      </c>
      <c r="X17" s="34"/>
      <c r="Y17" s="34">
        <v>-1896.74</v>
      </c>
      <c r="Z17" s="34">
        <v>1.5</v>
      </c>
      <c r="AB17" s="414"/>
      <c r="AC17" s="414"/>
    </row>
    <row r="18" spans="1:29" x14ac:dyDescent="0.25">
      <c r="A18" s="370">
        <v>5412</v>
      </c>
      <c r="B18" s="354" t="s">
        <v>132</v>
      </c>
      <c r="C18" s="34">
        <v>1463313.42</v>
      </c>
      <c r="D18" s="34">
        <v>136938.22</v>
      </c>
      <c r="E18" s="380"/>
      <c r="F18" s="355"/>
      <c r="G18" s="425">
        <f>VLOOKUP(A18,'[1]Tableau (2)'!$A:$E,3,FALSE)</f>
        <v>90317.3</v>
      </c>
      <c r="H18" s="425">
        <f>VLOOKUP(A18,'[1]Tableau (2)'!$A:$E,4,FALSE)</f>
        <v>24894.5</v>
      </c>
      <c r="I18" s="425">
        <f>VLOOKUP(A18,'[2]Tableau (2)'!$A$4:$D$312,4,FALSE)</f>
        <v>41330.35</v>
      </c>
      <c r="J18" s="380">
        <v>24920.9</v>
      </c>
      <c r="K18" s="357">
        <v>90383.23</v>
      </c>
      <c r="L18" s="355">
        <v>20313.349999999999</v>
      </c>
      <c r="M18" s="357">
        <v>199401.1</v>
      </c>
      <c r="N18" s="358">
        <f t="shared" si="0"/>
        <v>2091812.37</v>
      </c>
      <c r="O18" s="34">
        <v>86972.800000000003</v>
      </c>
      <c r="P18" s="34"/>
      <c r="Q18" s="34">
        <v>67044</v>
      </c>
      <c r="R18" s="34">
        <v>3885.64</v>
      </c>
      <c r="S18" s="34">
        <v>33549.9</v>
      </c>
      <c r="T18" s="359">
        <f t="shared" si="1"/>
        <v>2283264.71</v>
      </c>
      <c r="U18" s="17">
        <v>67.5</v>
      </c>
      <c r="V18" s="32">
        <v>839</v>
      </c>
      <c r="W18" s="376">
        <v>-24548.02</v>
      </c>
      <c r="X18" s="34"/>
      <c r="Y18" s="34">
        <v>-17.829999999999998</v>
      </c>
      <c r="Z18" s="34">
        <v>1</v>
      </c>
      <c r="AB18" s="414"/>
      <c r="AC18" s="414"/>
    </row>
    <row r="19" spans="1:29" x14ac:dyDescent="0.25">
      <c r="A19" s="370">
        <v>5413</v>
      </c>
      <c r="B19" s="354" t="s">
        <v>133</v>
      </c>
      <c r="C19" s="34">
        <v>1876054.61</v>
      </c>
      <c r="D19" s="34">
        <v>205076</v>
      </c>
      <c r="E19" s="380"/>
      <c r="F19" s="355"/>
      <c r="G19" s="425">
        <f>VLOOKUP(A19,'[1]Tableau (2)'!$A:$E,3,FALSE)</f>
        <v>100284.16</v>
      </c>
      <c r="H19" s="425">
        <f>VLOOKUP(A19,'[1]Tableau (2)'!$A:$E,4,FALSE)</f>
        <v>3450.4</v>
      </c>
      <c r="I19" s="425">
        <f>VLOOKUP(A19,'[2]Tableau (2)'!$A$4:$D$312,4,FALSE)</f>
        <v>53897.95</v>
      </c>
      <c r="J19" s="380"/>
      <c r="K19" s="357">
        <v>85929.22</v>
      </c>
      <c r="L19" s="355">
        <v>16972.349999999999</v>
      </c>
      <c r="M19" s="357">
        <v>236203.4</v>
      </c>
      <c r="N19" s="358">
        <f t="shared" si="0"/>
        <v>2577868.0900000003</v>
      </c>
      <c r="O19" s="34">
        <v>185237.95</v>
      </c>
      <c r="P19" s="34">
        <v>3960</v>
      </c>
      <c r="Q19" s="34">
        <v>128784.45</v>
      </c>
      <c r="R19" s="34">
        <v>40765.64</v>
      </c>
      <c r="S19" s="34">
        <v>82385.45</v>
      </c>
      <c r="T19" s="359">
        <f t="shared" si="1"/>
        <v>3019001.580000001</v>
      </c>
      <c r="U19" s="17">
        <v>68</v>
      </c>
      <c r="V19" s="32">
        <v>1650</v>
      </c>
      <c r="W19" s="376">
        <v>-119295.3</v>
      </c>
      <c r="X19" s="34"/>
      <c r="Y19" s="34">
        <v>-64.52</v>
      </c>
      <c r="Z19" s="34">
        <v>1</v>
      </c>
      <c r="AB19" s="414"/>
      <c r="AC19" s="414"/>
    </row>
    <row r="20" spans="1:29" x14ac:dyDescent="0.25">
      <c r="A20" s="370">
        <v>5414</v>
      </c>
      <c r="B20" s="354" t="s">
        <v>134</v>
      </c>
      <c r="C20" s="34">
        <v>7553534.2800000003</v>
      </c>
      <c r="D20" s="34">
        <v>1190074.73</v>
      </c>
      <c r="E20" s="380"/>
      <c r="F20" s="355"/>
      <c r="G20" s="425">
        <f>VLOOKUP(A20,'[1]Tableau (2)'!$A:$E,3,FALSE)</f>
        <v>623447.79</v>
      </c>
      <c r="H20" s="425">
        <f>VLOOKUP(A20,'[1]Tableau (2)'!$A:$E,4,FALSE)</f>
        <v>75627.200000000012</v>
      </c>
      <c r="I20" s="425">
        <f>VLOOKUP(A20,'[2]Tableau (2)'!$A$4:$D$312,4,FALSE)</f>
        <v>208256.2</v>
      </c>
      <c r="J20" s="380">
        <v>71077.3</v>
      </c>
      <c r="K20" s="357">
        <v>363958.32</v>
      </c>
      <c r="L20" s="355">
        <v>125496.15</v>
      </c>
      <c r="M20" s="357">
        <v>1044601.1</v>
      </c>
      <c r="N20" s="358">
        <f t="shared" si="0"/>
        <v>11256073.07</v>
      </c>
      <c r="O20" s="34">
        <v>992574.25</v>
      </c>
      <c r="P20" s="34">
        <v>134241.20000000001</v>
      </c>
      <c r="Q20" s="34">
        <v>838515.15</v>
      </c>
      <c r="R20" s="34">
        <v>40907.5</v>
      </c>
      <c r="S20" s="34">
        <v>358018.45</v>
      </c>
      <c r="T20" s="359">
        <f t="shared" si="1"/>
        <v>13620329.619999999</v>
      </c>
      <c r="U20" s="17">
        <v>69</v>
      </c>
      <c r="V20" s="32">
        <v>5672</v>
      </c>
      <c r="W20" s="376">
        <v>-160281.88</v>
      </c>
      <c r="X20" s="34"/>
      <c r="Y20" s="34">
        <v>-1886.78</v>
      </c>
      <c r="Z20" s="34">
        <v>1</v>
      </c>
      <c r="AB20" s="414"/>
      <c r="AC20" s="414"/>
    </row>
    <row r="21" spans="1:29" x14ac:dyDescent="0.25">
      <c r="A21" s="370">
        <v>5415</v>
      </c>
      <c r="B21" s="354" t="s">
        <v>72</v>
      </c>
      <c r="C21" s="34">
        <v>1785862.06</v>
      </c>
      <c r="D21" s="34">
        <v>347799.1</v>
      </c>
      <c r="E21" s="380"/>
      <c r="F21" s="355"/>
      <c r="G21" s="425">
        <f>VLOOKUP(A21,'[1]Tableau (2)'!$A:$E,3,FALSE)</f>
        <v>55014.879999999997</v>
      </c>
      <c r="H21" s="425">
        <f>VLOOKUP(A21,'[1]Tableau (2)'!$A:$E,4,FALSE)</f>
        <v>1671.2</v>
      </c>
      <c r="I21" s="425">
        <f>VLOOKUP(A21,'[2]Tableau (2)'!$A$4:$D$312,4,FALSE)</f>
        <v>22763.55</v>
      </c>
      <c r="J21" s="380">
        <v>1352.45</v>
      </c>
      <c r="K21" s="357">
        <v>60687.05</v>
      </c>
      <c r="L21" s="355">
        <v>10262.65</v>
      </c>
      <c r="M21" s="357">
        <v>320170.84999999998</v>
      </c>
      <c r="N21" s="358">
        <f t="shared" si="0"/>
        <v>2605583.79</v>
      </c>
      <c r="O21" s="34">
        <v>27533.95</v>
      </c>
      <c r="P21" s="34">
        <v>30506.6</v>
      </c>
      <c r="Q21" s="34">
        <v>142133.4</v>
      </c>
      <c r="R21" s="34">
        <v>1130.45</v>
      </c>
      <c r="S21" s="34">
        <v>62472.25</v>
      </c>
      <c r="T21" s="359">
        <f t="shared" si="1"/>
        <v>2869360.4400000004</v>
      </c>
      <c r="U21" s="17">
        <v>71.5</v>
      </c>
      <c r="V21" s="32">
        <v>1057</v>
      </c>
      <c r="W21" s="376">
        <v>-38377.18</v>
      </c>
      <c r="X21" s="34"/>
      <c r="Y21" s="34">
        <v>-804.04</v>
      </c>
      <c r="Z21" s="34">
        <v>1.5</v>
      </c>
      <c r="AB21" s="414"/>
      <c r="AC21" s="414"/>
    </row>
    <row r="22" spans="1:29" x14ac:dyDescent="0.25">
      <c r="A22" s="370">
        <v>5421</v>
      </c>
      <c r="B22" s="354" t="s">
        <v>73</v>
      </c>
      <c r="C22" s="34">
        <v>3157064.56</v>
      </c>
      <c r="D22" s="34">
        <v>613232.39</v>
      </c>
      <c r="E22" s="380"/>
      <c r="F22" s="355"/>
      <c r="G22" s="425">
        <f>VLOOKUP(A22,'[1]Tableau (2)'!$A:$E,3,FALSE)</f>
        <v>78325.31</v>
      </c>
      <c r="H22" s="425">
        <f>VLOOKUP(A22,'[1]Tableau (2)'!$A:$E,4,FALSE)</f>
        <v>116661.45000000001</v>
      </c>
      <c r="I22" s="425">
        <f>VLOOKUP(A22,'[2]Tableau (2)'!$A$4:$D$312,4,FALSE)</f>
        <v>38553.15</v>
      </c>
      <c r="J22" s="380">
        <v>41201.5</v>
      </c>
      <c r="K22" s="357">
        <v>198869.76000000001</v>
      </c>
      <c r="L22" s="355">
        <v>11072.9</v>
      </c>
      <c r="M22" s="357">
        <v>277987.65000000002</v>
      </c>
      <c r="N22" s="358">
        <f t="shared" si="0"/>
        <v>4532968.6700000009</v>
      </c>
      <c r="O22" s="34">
        <v>23304.400000000001</v>
      </c>
      <c r="P22" s="34">
        <v>3959.6</v>
      </c>
      <c r="Q22" s="34">
        <v>119382.85</v>
      </c>
      <c r="R22" s="34"/>
      <c r="S22" s="34">
        <v>122395.2</v>
      </c>
      <c r="T22" s="359">
        <f t="shared" si="1"/>
        <v>4802010.7200000007</v>
      </c>
      <c r="U22" s="17">
        <v>76</v>
      </c>
      <c r="V22" s="32">
        <v>1437</v>
      </c>
      <c r="W22" s="376">
        <v>-75701.13</v>
      </c>
      <c r="X22" s="34"/>
      <c r="Y22" s="34">
        <v>-1907.12</v>
      </c>
      <c r="Z22" s="34">
        <v>1</v>
      </c>
      <c r="AB22" s="414"/>
      <c r="AC22" s="414"/>
    </row>
    <row r="23" spans="1:29" x14ac:dyDescent="0.25">
      <c r="A23" s="370">
        <v>5422</v>
      </c>
      <c r="B23" s="354" t="s">
        <v>74</v>
      </c>
      <c r="C23" s="34">
        <v>9620450.2599999998</v>
      </c>
      <c r="D23" s="34">
        <v>2039519.75</v>
      </c>
      <c r="E23" s="380"/>
      <c r="F23" s="355"/>
      <c r="G23" s="425">
        <f>VLOOKUP(A23,'[1]Tableau (2)'!$A:$E,3,FALSE)</f>
        <v>2250497.9900000002</v>
      </c>
      <c r="H23" s="425">
        <f>VLOOKUP(A23,'[1]Tableau (2)'!$A:$E,4,FALSE)</f>
        <v>171306.85</v>
      </c>
      <c r="I23" s="425">
        <f>VLOOKUP(A23,'[2]Tableau (2)'!$A$4:$D$312,4,FALSE)</f>
        <v>506508.15</v>
      </c>
      <c r="J23" s="380">
        <v>283152.2</v>
      </c>
      <c r="K23" s="357">
        <v>760810.8</v>
      </c>
      <c r="L23" s="355">
        <v>112652.45</v>
      </c>
      <c r="M23" s="357">
        <v>926943.79</v>
      </c>
      <c r="N23" s="358">
        <f t="shared" si="0"/>
        <v>16671842.239999998</v>
      </c>
      <c r="O23" s="34">
        <v>773580.6</v>
      </c>
      <c r="P23" s="34">
        <v>327874.40000000002</v>
      </c>
      <c r="Q23" s="34">
        <v>334602.75</v>
      </c>
      <c r="R23" s="34">
        <v>29029.33</v>
      </c>
      <c r="S23" s="34">
        <v>276044.05</v>
      </c>
      <c r="T23" s="359">
        <f t="shared" si="1"/>
        <v>18412973.369999997</v>
      </c>
      <c r="U23" s="17">
        <v>68</v>
      </c>
      <c r="V23" s="32">
        <v>3269</v>
      </c>
      <c r="W23" s="376">
        <v>-85873.98</v>
      </c>
      <c r="X23" s="34"/>
      <c r="Y23" s="34">
        <v>-2041.2</v>
      </c>
      <c r="Z23" s="34">
        <v>1</v>
      </c>
      <c r="AB23" s="414"/>
      <c r="AC23" s="414"/>
    </row>
    <row r="24" spans="1:29" x14ac:dyDescent="0.25">
      <c r="A24" s="370">
        <v>5423</v>
      </c>
      <c r="B24" s="354" t="s">
        <v>75</v>
      </c>
      <c r="C24" s="34">
        <v>877353.07</v>
      </c>
      <c r="D24" s="34">
        <v>142674.18</v>
      </c>
      <c r="E24" s="380"/>
      <c r="F24" s="355">
        <v>2620</v>
      </c>
      <c r="G24" s="425">
        <f>VLOOKUP(A24,'[1]Tableau (2)'!$A:$E,3,FALSE)</f>
        <v>-5167.6499999999996</v>
      </c>
      <c r="H24" s="425">
        <f>VLOOKUP(A24,'[1]Tableau (2)'!$A:$E,4,FALSE)</f>
        <v>1058.8</v>
      </c>
      <c r="I24" s="425">
        <f>VLOOKUP(A24,'[2]Tableau (2)'!$A$4:$D$312,4,FALSE)</f>
        <v>2119.25</v>
      </c>
      <c r="J24" s="380"/>
      <c r="K24" s="357">
        <v>52834.98</v>
      </c>
      <c r="L24" s="355">
        <v>1591.55</v>
      </c>
      <c r="M24" s="357">
        <v>37082.35</v>
      </c>
      <c r="N24" s="358">
        <f t="shared" si="0"/>
        <v>1112166.5300000003</v>
      </c>
      <c r="O24" s="34">
        <v>19697.25</v>
      </c>
      <c r="P24" s="34"/>
      <c r="Q24" s="34">
        <v>64207.35</v>
      </c>
      <c r="R24" s="34">
        <v>13390.08</v>
      </c>
      <c r="S24" s="34">
        <v>64617.45</v>
      </c>
      <c r="T24" s="359">
        <f t="shared" si="1"/>
        <v>1274078.6600000004</v>
      </c>
      <c r="U24" s="17">
        <v>69</v>
      </c>
      <c r="V24" s="32">
        <v>527</v>
      </c>
      <c r="W24" s="376">
        <v>-1484.62</v>
      </c>
      <c r="X24" s="34"/>
      <c r="Y24" s="34">
        <v>-5.25</v>
      </c>
      <c r="Z24" s="34">
        <v>0.5</v>
      </c>
      <c r="AB24" s="414"/>
      <c r="AC24" s="414"/>
    </row>
    <row r="25" spans="1:29" x14ac:dyDescent="0.25">
      <c r="A25" s="370">
        <v>5424</v>
      </c>
      <c r="B25" s="354" t="s">
        <v>76</v>
      </c>
      <c r="C25" s="34">
        <v>702639.13</v>
      </c>
      <c r="D25" s="34">
        <v>47209.279999999999</v>
      </c>
      <c r="E25" s="380"/>
      <c r="F25" s="355"/>
      <c r="G25" s="425">
        <f>VLOOKUP(A25,'[1]Tableau (2)'!$A:$E,3,FALSE)</f>
        <v>811.97</v>
      </c>
      <c r="H25" s="425">
        <f>VLOOKUP(A25,'[1]Tableau (2)'!$A:$E,4,FALSE)</f>
        <v>96.3</v>
      </c>
      <c r="I25" s="425">
        <f>VLOOKUP(A25,'[2]Tableau (2)'!$A$4:$D$312,4,FALSE)</f>
        <v>244.15</v>
      </c>
      <c r="J25" s="380">
        <v>30741.05</v>
      </c>
      <c r="K25" s="357">
        <v>46159.78</v>
      </c>
      <c r="L25" s="355">
        <v>764.9</v>
      </c>
      <c r="M25" s="357">
        <v>49019</v>
      </c>
      <c r="N25" s="358">
        <f t="shared" si="0"/>
        <v>877685.56000000017</v>
      </c>
      <c r="O25" s="34"/>
      <c r="P25" s="34"/>
      <c r="Q25" s="34">
        <v>1500.95</v>
      </c>
      <c r="R25" s="34">
        <v>5814.15</v>
      </c>
      <c r="S25" s="34">
        <v>38918.699999999997</v>
      </c>
      <c r="T25" s="359">
        <f t="shared" si="1"/>
        <v>923919.3600000001</v>
      </c>
      <c r="U25" s="17">
        <v>77</v>
      </c>
      <c r="V25" s="32">
        <v>301</v>
      </c>
      <c r="W25" s="376">
        <v>-10774.12</v>
      </c>
      <c r="X25" s="34"/>
      <c r="Y25" s="34">
        <v>0</v>
      </c>
      <c r="Z25" s="34">
        <v>1</v>
      </c>
      <c r="AB25" s="414"/>
      <c r="AC25" s="414"/>
    </row>
    <row r="26" spans="1:29" x14ac:dyDescent="0.25">
      <c r="A26" s="370">
        <v>5425</v>
      </c>
      <c r="B26" s="354" t="s">
        <v>77</v>
      </c>
      <c r="C26" s="34">
        <v>2096248.18</v>
      </c>
      <c r="D26" s="34">
        <v>227589.59</v>
      </c>
      <c r="E26" s="380"/>
      <c r="F26" s="355"/>
      <c r="G26" s="425">
        <f>VLOOKUP(A26,'[1]Tableau (2)'!$A:$E,3,FALSE)</f>
        <v>69757.19</v>
      </c>
      <c r="H26" s="425">
        <f>VLOOKUP(A26,'[1]Tableau (2)'!$A:$E,4,FALSE)</f>
        <v>2428.9500000000003</v>
      </c>
      <c r="I26" s="425">
        <f>VLOOKUP(A26,'[2]Tableau (2)'!$A$4:$D$312,4,FALSE)</f>
        <v>23641.599999999999</v>
      </c>
      <c r="J26" s="380"/>
      <c r="K26" s="357">
        <v>159714.74</v>
      </c>
      <c r="L26" s="355">
        <v>11227.3</v>
      </c>
      <c r="M26" s="357">
        <v>113008.6</v>
      </c>
      <c r="N26" s="358">
        <f t="shared" si="0"/>
        <v>2703616.15</v>
      </c>
      <c r="O26" s="34">
        <v>22240.45</v>
      </c>
      <c r="P26" s="34">
        <v>59714.8</v>
      </c>
      <c r="Q26" s="34">
        <v>62248.35</v>
      </c>
      <c r="R26" s="34">
        <v>19967.150000000001</v>
      </c>
      <c r="S26" s="34">
        <v>20096.75</v>
      </c>
      <c r="T26" s="359">
        <f t="shared" si="1"/>
        <v>2887883.65</v>
      </c>
      <c r="U26" s="17">
        <v>68</v>
      </c>
      <c r="V26" s="32">
        <v>1577</v>
      </c>
      <c r="W26" s="376">
        <v>-45980.23</v>
      </c>
      <c r="X26" s="34"/>
      <c r="Y26" s="34">
        <v>-31.71</v>
      </c>
      <c r="Z26" s="34">
        <v>0.57999999999999996</v>
      </c>
      <c r="AB26" s="414"/>
      <c r="AC26" s="414"/>
    </row>
    <row r="27" spans="1:29" x14ac:dyDescent="0.25">
      <c r="A27" s="370">
        <v>5426</v>
      </c>
      <c r="B27" s="354" t="s">
        <v>71</v>
      </c>
      <c r="C27" s="34">
        <v>1659379.1</v>
      </c>
      <c r="D27" s="34">
        <v>588123.51</v>
      </c>
      <c r="E27" s="380"/>
      <c r="F27" s="355"/>
      <c r="G27" s="425">
        <f>VLOOKUP(A27,'[1]Tableau (2)'!$A:$E,3,FALSE)</f>
        <v>11699.09</v>
      </c>
      <c r="H27" s="425">
        <f>VLOOKUP(A27,'[1]Tableau (2)'!$A:$E,4,FALSE)</f>
        <v>1988.9499999999998</v>
      </c>
      <c r="I27" s="425">
        <f>VLOOKUP(A27,'[2]Tableau (2)'!$A$4:$D$312,4,FALSE)</f>
        <v>6974.2</v>
      </c>
      <c r="J27" s="380">
        <v>660903</v>
      </c>
      <c r="K27" s="357">
        <v>7700.55</v>
      </c>
      <c r="L27" s="355">
        <v>6577.3</v>
      </c>
      <c r="M27" s="357">
        <v>279438.2</v>
      </c>
      <c r="N27" s="358">
        <f t="shared" si="0"/>
        <v>3222783.9000000004</v>
      </c>
      <c r="O27" s="34">
        <v>15905.95</v>
      </c>
      <c r="P27" s="34">
        <v>337043.7</v>
      </c>
      <c r="Q27" s="34">
        <v>325800.65000000002</v>
      </c>
      <c r="R27" s="34">
        <v>0</v>
      </c>
      <c r="S27" s="34">
        <v>164649.95000000001</v>
      </c>
      <c r="T27" s="359">
        <f t="shared" si="1"/>
        <v>4066184.1500000008</v>
      </c>
      <c r="U27" s="17">
        <v>66</v>
      </c>
      <c r="V27" s="32">
        <v>483</v>
      </c>
      <c r="W27" s="376">
        <v>-17717.45</v>
      </c>
      <c r="X27" s="34"/>
      <c r="Y27" s="34">
        <v>-1505.5</v>
      </c>
      <c r="Z27" s="34">
        <v>1.2</v>
      </c>
      <c r="AB27" s="414"/>
      <c r="AC27" s="414"/>
    </row>
    <row r="28" spans="1:29" x14ac:dyDescent="0.25">
      <c r="A28" s="370">
        <v>5427</v>
      </c>
      <c r="B28" s="354" t="s">
        <v>342</v>
      </c>
      <c r="C28" s="34">
        <v>3491277.49</v>
      </c>
      <c r="D28" s="34">
        <v>756440.35</v>
      </c>
      <c r="E28" s="380"/>
      <c r="F28" s="355"/>
      <c r="G28" s="425">
        <f>VLOOKUP(A28,'[1]Tableau (2)'!$A:$E,3,FALSE)</f>
        <v>32742.3</v>
      </c>
      <c r="H28" s="425">
        <f>VLOOKUP(A28,'[1]Tableau (2)'!$A:$E,4,FALSE)</f>
        <v>1440.1</v>
      </c>
      <c r="I28" s="425">
        <f>VLOOKUP(A28,'[2]Tableau (2)'!$A$4:$D$312,4,FALSE)</f>
        <v>9913.5</v>
      </c>
      <c r="J28" s="380">
        <v>358463.1</v>
      </c>
      <c r="K28" s="357">
        <v>88309.94</v>
      </c>
      <c r="L28" s="355">
        <v>2764.7</v>
      </c>
      <c r="M28" s="357">
        <v>436401.8</v>
      </c>
      <c r="N28" s="358">
        <f t="shared" si="0"/>
        <v>5177753.2799999993</v>
      </c>
      <c r="O28" s="34">
        <v>11699.5</v>
      </c>
      <c r="P28" s="34">
        <v>16532.8</v>
      </c>
      <c r="Q28" s="34">
        <v>245218.45</v>
      </c>
      <c r="R28" s="34"/>
      <c r="S28" s="34">
        <v>220813.8</v>
      </c>
      <c r="T28" s="359">
        <f t="shared" si="1"/>
        <v>5672017.8299999991</v>
      </c>
      <c r="U28" s="17">
        <v>64</v>
      </c>
      <c r="V28" s="32">
        <v>895</v>
      </c>
      <c r="W28" s="376">
        <v>-1283.01</v>
      </c>
      <c r="X28" s="34"/>
      <c r="Y28" s="34">
        <v>0</v>
      </c>
      <c r="Z28" s="34">
        <v>1.3</v>
      </c>
      <c r="AB28" s="414"/>
      <c r="AC28" s="414"/>
    </row>
    <row r="29" spans="1:29" x14ac:dyDescent="0.25">
      <c r="A29" s="370">
        <v>5428</v>
      </c>
      <c r="B29" s="354" t="s">
        <v>343</v>
      </c>
      <c r="C29" s="34">
        <v>3435906.04</v>
      </c>
      <c r="D29" s="34">
        <v>341338.07</v>
      </c>
      <c r="E29" s="380"/>
      <c r="F29" s="355"/>
      <c r="G29" s="425">
        <f>VLOOKUP(A29,'[1]Tableau (2)'!$A:$E,3,FALSE)</f>
        <v>81030.64</v>
      </c>
      <c r="H29" s="425">
        <f>VLOOKUP(A29,'[1]Tableau (2)'!$A:$E,4,FALSE)</f>
        <v>1964.1</v>
      </c>
      <c r="I29" s="425">
        <f>VLOOKUP(A29,'[2]Tableau (2)'!$A$4:$D$312,4,FALSE)</f>
        <v>27359.05</v>
      </c>
      <c r="J29" s="380">
        <v>42710.2</v>
      </c>
      <c r="K29" s="357">
        <v>199789.47</v>
      </c>
      <c r="L29" s="355">
        <v>13021.65</v>
      </c>
      <c r="M29" s="357">
        <v>383433.9</v>
      </c>
      <c r="N29" s="358">
        <f t="shared" si="0"/>
        <v>4526553.12</v>
      </c>
      <c r="O29" s="34">
        <v>186981.25</v>
      </c>
      <c r="P29" s="34">
        <v>336921.1</v>
      </c>
      <c r="Q29" s="34">
        <v>240264.8</v>
      </c>
      <c r="R29" s="34">
        <v>7605.41</v>
      </c>
      <c r="S29" s="34">
        <v>154451</v>
      </c>
      <c r="T29" s="359">
        <f t="shared" si="1"/>
        <v>5452776.6799999997</v>
      </c>
      <c r="U29" s="17">
        <v>71.5</v>
      </c>
      <c r="V29" s="32">
        <v>2016</v>
      </c>
      <c r="W29" s="376">
        <v>-56595.8</v>
      </c>
      <c r="X29" s="34"/>
      <c r="Y29" s="34">
        <v>-67.41</v>
      </c>
      <c r="Z29" s="34">
        <v>1.2</v>
      </c>
      <c r="AB29" s="414"/>
      <c r="AC29" s="414"/>
    </row>
    <row r="30" spans="1:29" x14ac:dyDescent="0.25">
      <c r="A30" s="370">
        <v>5429</v>
      </c>
      <c r="B30" s="354" t="s">
        <v>363</v>
      </c>
      <c r="C30" s="34">
        <v>975344.36</v>
      </c>
      <c r="D30" s="34">
        <v>118083.04</v>
      </c>
      <c r="E30" s="380"/>
      <c r="F30" s="355"/>
      <c r="G30" s="425">
        <f>VLOOKUP(A30,'[1]Tableau (2)'!$A:$E,3,FALSE)</f>
        <v>1696.18</v>
      </c>
      <c r="H30" s="425">
        <f>VLOOKUP(A30,'[1]Tableau (2)'!$A:$E,4,FALSE)</f>
        <v>8401.2000000000007</v>
      </c>
      <c r="I30" s="425">
        <f>VLOOKUP(A30,'[2]Tableau (2)'!$A$4:$D$312,4,FALSE)</f>
        <v>1449.35</v>
      </c>
      <c r="J30" s="380"/>
      <c r="K30" s="357">
        <v>21013.1</v>
      </c>
      <c r="L30" s="355">
        <v>671.4</v>
      </c>
      <c r="M30" s="357">
        <v>93069.7</v>
      </c>
      <c r="N30" s="358">
        <f t="shared" si="0"/>
        <v>1219728.3299999998</v>
      </c>
      <c r="O30" s="34"/>
      <c r="P30" s="34"/>
      <c r="Q30" s="34">
        <v>62517.95</v>
      </c>
      <c r="R30" s="34"/>
      <c r="S30" s="34">
        <v>20559.349999999999</v>
      </c>
      <c r="T30" s="359">
        <f t="shared" si="1"/>
        <v>1302805.6299999999</v>
      </c>
      <c r="U30" s="17">
        <v>81</v>
      </c>
      <c r="V30" s="32">
        <v>469</v>
      </c>
      <c r="W30" s="376">
        <v>-9605.93</v>
      </c>
      <c r="X30" s="34"/>
      <c r="Y30" s="34">
        <v>0</v>
      </c>
      <c r="Z30" s="34">
        <v>1</v>
      </c>
      <c r="AB30" s="414"/>
      <c r="AC30" s="414"/>
    </row>
    <row r="31" spans="1:29" x14ac:dyDescent="0.25">
      <c r="A31" s="370">
        <v>5430</v>
      </c>
      <c r="B31" s="354" t="s">
        <v>364</v>
      </c>
      <c r="C31" s="34">
        <v>874807.14</v>
      </c>
      <c r="D31" s="34">
        <v>116097.1</v>
      </c>
      <c r="E31" s="380"/>
      <c r="F31" s="355"/>
      <c r="G31" s="425">
        <f>VLOOKUP(A31,'[1]Tableau (2)'!$A:$E,3,FALSE)</f>
        <v>1688.08</v>
      </c>
      <c r="H31" s="425">
        <f>VLOOKUP(A31,'[1]Tableau (2)'!$A:$E,4,FALSE)</f>
        <v>559.6</v>
      </c>
      <c r="I31" s="425">
        <f>VLOOKUP(A31,'[2]Tableau (2)'!$A$4:$D$312,4,FALSE)</f>
        <v>918.95</v>
      </c>
      <c r="J31" s="380"/>
      <c r="K31" s="357">
        <v>2446.94</v>
      </c>
      <c r="L31" s="355">
        <v>1302.5</v>
      </c>
      <c r="M31" s="357">
        <v>79770.05</v>
      </c>
      <c r="N31" s="358">
        <f t="shared" si="0"/>
        <v>1077590.3599999999</v>
      </c>
      <c r="O31" s="34">
        <v>8851.6</v>
      </c>
      <c r="P31" s="34"/>
      <c r="Q31" s="34">
        <v>56643.45</v>
      </c>
      <c r="R31" s="34">
        <v>3091.35</v>
      </c>
      <c r="S31" s="34">
        <v>42203.199999999997</v>
      </c>
      <c r="T31" s="359">
        <f t="shared" si="1"/>
        <v>1188379.96</v>
      </c>
      <c r="U31" s="17">
        <v>79</v>
      </c>
      <c r="V31" s="32">
        <v>455</v>
      </c>
      <c r="W31" s="376">
        <v>-5111.91</v>
      </c>
      <c r="X31" s="34"/>
      <c r="Y31" s="34">
        <v>-85.02</v>
      </c>
      <c r="Z31" s="34">
        <v>1</v>
      </c>
      <c r="AB31" s="414"/>
      <c r="AC31" s="414"/>
    </row>
    <row r="32" spans="1:29" x14ac:dyDescent="0.25">
      <c r="A32" s="370">
        <v>5431</v>
      </c>
      <c r="B32" s="354" t="s">
        <v>365</v>
      </c>
      <c r="C32" s="34">
        <v>507575.03</v>
      </c>
      <c r="D32" s="34">
        <v>94195.64</v>
      </c>
      <c r="E32" s="380"/>
      <c r="F32" s="355"/>
      <c r="G32" s="425">
        <f>VLOOKUP(A32,'[1]Tableau (2)'!$A:$E,3,FALSE)</f>
        <v>386.66</v>
      </c>
      <c r="H32" s="425">
        <f>VLOOKUP(A32,'[1]Tableau (2)'!$A:$E,4,FALSE)</f>
        <v>236.5</v>
      </c>
      <c r="I32" s="425">
        <f>VLOOKUP(A32,'[2]Tableau (2)'!$A$4:$D$312,4,FALSE)</f>
        <v>199.3</v>
      </c>
      <c r="J32" s="380"/>
      <c r="K32" s="357">
        <v>10309.379999999999</v>
      </c>
      <c r="L32" s="355">
        <v>300.85000000000002</v>
      </c>
      <c r="M32" s="357">
        <v>48132.800000000003</v>
      </c>
      <c r="N32" s="358">
        <f t="shared" si="0"/>
        <v>661336.16000000015</v>
      </c>
      <c r="O32" s="34"/>
      <c r="P32" s="34">
        <v>1318</v>
      </c>
      <c r="Q32" s="34">
        <v>15198.9</v>
      </c>
      <c r="R32" s="34">
        <v>3314.88</v>
      </c>
      <c r="S32" s="34">
        <v>12470.7</v>
      </c>
      <c r="T32" s="359">
        <f t="shared" si="1"/>
        <v>693638.64000000013</v>
      </c>
      <c r="U32" s="17">
        <v>74</v>
      </c>
      <c r="V32" s="32">
        <v>301</v>
      </c>
      <c r="W32" s="376">
        <v>-272.85000000000002</v>
      </c>
      <c r="X32" s="34"/>
      <c r="Y32" s="34">
        <v>-303.58</v>
      </c>
      <c r="Z32" s="34">
        <v>1</v>
      </c>
      <c r="AB32" s="414"/>
      <c r="AC32" s="414"/>
    </row>
    <row r="33" spans="1:29" x14ac:dyDescent="0.25">
      <c r="A33" s="370">
        <v>5432</v>
      </c>
      <c r="B33" s="354" t="s">
        <v>366</v>
      </c>
      <c r="C33" s="34">
        <v>1128463.48</v>
      </c>
      <c r="D33" s="34">
        <v>93299.48</v>
      </c>
      <c r="E33" s="380"/>
      <c r="F33" s="355"/>
      <c r="G33" s="425">
        <f>VLOOKUP(A33,'[1]Tableau (2)'!$A:$E,3,FALSE)</f>
        <v>15578.6</v>
      </c>
      <c r="H33" s="425">
        <f>VLOOKUP(A33,'[1]Tableau (2)'!$A:$E,4,FALSE)</f>
        <v>1490.6</v>
      </c>
      <c r="I33" s="425">
        <f>VLOOKUP(A33,'[2]Tableau (2)'!$A$4:$D$312,4,FALSE)</f>
        <v>7580.6</v>
      </c>
      <c r="J33" s="380"/>
      <c r="K33" s="357">
        <v>61747.09</v>
      </c>
      <c r="L33" s="355">
        <v>5106.8</v>
      </c>
      <c r="M33" s="357">
        <v>92731.4</v>
      </c>
      <c r="N33" s="358">
        <f t="shared" si="0"/>
        <v>1405998.0500000003</v>
      </c>
      <c r="O33" s="34">
        <v>15156.3</v>
      </c>
      <c r="P33" s="34"/>
      <c r="Q33" s="34">
        <v>51422.55</v>
      </c>
      <c r="R33" s="34">
        <v>391.87</v>
      </c>
      <c r="S33" s="34">
        <v>59758.35</v>
      </c>
      <c r="T33" s="359">
        <f t="shared" si="1"/>
        <v>1532727.1200000006</v>
      </c>
      <c r="U33" s="17">
        <v>78</v>
      </c>
      <c r="V33" s="32">
        <v>534</v>
      </c>
      <c r="W33" s="376">
        <v>-11123.61</v>
      </c>
      <c r="X33" s="34"/>
      <c r="Y33" s="34">
        <v>-59.86</v>
      </c>
      <c r="Z33" s="34">
        <v>1</v>
      </c>
      <c r="AB33" s="414"/>
      <c r="AC33" s="414"/>
    </row>
    <row r="34" spans="1:29" x14ac:dyDescent="0.25">
      <c r="A34" s="370">
        <v>5434</v>
      </c>
      <c r="B34" s="354" t="s">
        <v>367</v>
      </c>
      <c r="C34" s="34">
        <v>2445269.73</v>
      </c>
      <c r="D34" s="34"/>
      <c r="E34" s="380"/>
      <c r="F34" s="355"/>
      <c r="G34" s="425">
        <f>VLOOKUP(A34,'[1]Tableau (2)'!$A:$E,3,FALSE)</f>
        <v>11149.12</v>
      </c>
      <c r="H34" s="425">
        <f>VLOOKUP(A34,'[1]Tableau (2)'!$A:$E,4,FALSE)</f>
        <v>1226.2</v>
      </c>
      <c r="I34" s="425">
        <f>VLOOKUP(A34,'[2]Tableau (2)'!$A$4:$D$312,4,FALSE)</f>
        <v>4983.7</v>
      </c>
      <c r="J34" s="380"/>
      <c r="K34" s="357">
        <v>-7793.03</v>
      </c>
      <c r="L34" s="355">
        <v>1605.7</v>
      </c>
      <c r="M34" s="357">
        <v>212425.8</v>
      </c>
      <c r="N34" s="358">
        <f t="shared" si="0"/>
        <v>2668867.2200000007</v>
      </c>
      <c r="O34" s="34">
        <v>34774.9</v>
      </c>
      <c r="P34" s="34">
        <v>129977.8</v>
      </c>
      <c r="Q34" s="34">
        <v>172672.95</v>
      </c>
      <c r="R34" s="34">
        <v>883.71</v>
      </c>
      <c r="S34" s="34">
        <v>126249.4</v>
      </c>
      <c r="T34" s="359">
        <f t="shared" si="1"/>
        <v>3133425.9800000004</v>
      </c>
      <c r="U34" s="17">
        <v>71</v>
      </c>
      <c r="V34" s="32">
        <v>1031</v>
      </c>
      <c r="W34" s="376">
        <v>-33279.21</v>
      </c>
      <c r="X34" s="34"/>
      <c r="Y34" s="34">
        <v>0</v>
      </c>
      <c r="Z34" s="34">
        <v>1</v>
      </c>
      <c r="AB34" s="414"/>
      <c r="AC34" s="414"/>
    </row>
    <row r="35" spans="1:29" x14ac:dyDescent="0.25">
      <c r="A35" s="370">
        <v>5435</v>
      </c>
      <c r="B35" s="354" t="s">
        <v>344</v>
      </c>
      <c r="C35" s="34">
        <v>1471327.53</v>
      </c>
      <c r="D35" s="34">
        <v>177939.37</v>
      </c>
      <c r="E35" s="380"/>
      <c r="F35" s="355"/>
      <c r="G35" s="425">
        <f>VLOOKUP(A35,'[1]Tableau (2)'!$A:$E,3,FALSE)</f>
        <v>10734.72</v>
      </c>
      <c r="H35" s="425">
        <f>VLOOKUP(A35,'[1]Tableau (2)'!$A:$E,4,FALSE)</f>
        <v>398</v>
      </c>
      <c r="I35" s="425">
        <f>VLOOKUP(A35,'[2]Tableau (2)'!$A$4:$D$312,4,FALSE)</f>
        <v>2744.55</v>
      </c>
      <c r="J35" s="380"/>
      <c r="K35" s="357">
        <v>18331.5</v>
      </c>
      <c r="L35" s="355"/>
      <c r="M35" s="357">
        <v>120872</v>
      </c>
      <c r="N35" s="358">
        <f t="shared" si="0"/>
        <v>1802347.67</v>
      </c>
      <c r="O35" s="34">
        <v>4006.05</v>
      </c>
      <c r="P35" s="34"/>
      <c r="Q35" s="34">
        <v>3203.75</v>
      </c>
      <c r="R35" s="34">
        <v>4584.68</v>
      </c>
      <c r="S35" s="34">
        <v>3202.5</v>
      </c>
      <c r="T35" s="359">
        <f t="shared" si="1"/>
        <v>1817344.65</v>
      </c>
      <c r="U35" s="17">
        <v>69</v>
      </c>
      <c r="V35" s="32">
        <v>683</v>
      </c>
      <c r="W35" s="376">
        <v>-37786.370000000003</v>
      </c>
      <c r="X35" s="34"/>
      <c r="Y35" s="34">
        <v>-7.99</v>
      </c>
      <c r="Z35" s="34">
        <v>1</v>
      </c>
      <c r="AB35" s="414"/>
      <c r="AC35" s="414"/>
    </row>
    <row r="36" spans="1:29" x14ac:dyDescent="0.25">
      <c r="A36" s="370">
        <v>5436</v>
      </c>
      <c r="B36" s="354" t="s">
        <v>345</v>
      </c>
      <c r="C36" s="34">
        <v>784732.8</v>
      </c>
      <c r="D36" s="34">
        <v>58620.15</v>
      </c>
      <c r="E36" s="380"/>
      <c r="F36" s="355"/>
      <c r="G36" s="425">
        <f>VLOOKUP(A36,'[1]Tableau (2)'!$A:$E,3,FALSE)</f>
        <v>403.52</v>
      </c>
      <c r="H36" s="425">
        <f>VLOOKUP(A36,'[1]Tableau (2)'!$A:$E,4,FALSE)</f>
        <v>95</v>
      </c>
      <c r="I36" s="425">
        <f>VLOOKUP(A36,'[2]Tableau (2)'!$A$4:$D$312,4,FALSE)</f>
        <v>143.6</v>
      </c>
      <c r="J36" s="380"/>
      <c r="K36" s="357">
        <v>17617.02</v>
      </c>
      <c r="L36" s="355"/>
      <c r="M36" s="357">
        <v>48819.3</v>
      </c>
      <c r="N36" s="358">
        <f t="shared" si="0"/>
        <v>910431.39000000013</v>
      </c>
      <c r="O36" s="34"/>
      <c r="P36" s="34"/>
      <c r="Q36" s="34">
        <v>162246.85</v>
      </c>
      <c r="R36" s="34"/>
      <c r="S36" s="34">
        <v>10321.6</v>
      </c>
      <c r="T36" s="359">
        <f t="shared" si="1"/>
        <v>1082999.8400000003</v>
      </c>
      <c r="U36" s="17">
        <v>81</v>
      </c>
      <c r="V36" s="32">
        <v>366</v>
      </c>
      <c r="W36" s="376">
        <v>-4639.53</v>
      </c>
      <c r="X36" s="34"/>
      <c r="Y36" s="34">
        <v>-542.07000000000005</v>
      </c>
      <c r="Z36" s="34">
        <v>0.8</v>
      </c>
      <c r="AB36" s="414"/>
      <c r="AC36" s="414"/>
    </row>
    <row r="37" spans="1:29" x14ac:dyDescent="0.25">
      <c r="A37" s="370">
        <v>5437</v>
      </c>
      <c r="B37" s="354" t="s">
        <v>346</v>
      </c>
      <c r="C37" s="34">
        <v>643091.84</v>
      </c>
      <c r="D37" s="34">
        <v>67055.399999999994</v>
      </c>
      <c r="E37" s="380"/>
      <c r="F37" s="355"/>
      <c r="G37" s="425">
        <f>VLOOKUP(A37,'[1]Tableau (2)'!$A:$E,3,FALSE)</f>
        <v>3350.23</v>
      </c>
      <c r="H37" s="425">
        <f>VLOOKUP(A37,'[1]Tableau (2)'!$A:$E,4,FALSE)</f>
        <v>169.2</v>
      </c>
      <c r="I37" s="425">
        <f>VLOOKUP(A37,'[2]Tableau (2)'!$A$4:$D$312,4,FALSE)</f>
        <v>1139</v>
      </c>
      <c r="J37" s="380"/>
      <c r="K37" s="357">
        <v>56625.17</v>
      </c>
      <c r="L37" s="355">
        <v>733.85</v>
      </c>
      <c r="M37" s="357">
        <v>63943.15</v>
      </c>
      <c r="N37" s="358">
        <f t="shared" si="0"/>
        <v>836107.84</v>
      </c>
      <c r="O37" s="34"/>
      <c r="P37" s="34">
        <v>50115.6</v>
      </c>
      <c r="Q37" s="34">
        <v>1870</v>
      </c>
      <c r="R37" s="34"/>
      <c r="S37" s="34">
        <v>-7384.4</v>
      </c>
      <c r="T37" s="359">
        <f t="shared" si="1"/>
        <v>880709.03999999992</v>
      </c>
      <c r="U37" s="17">
        <v>80</v>
      </c>
      <c r="V37" s="32">
        <v>420</v>
      </c>
      <c r="W37" s="376">
        <v>-42993.87</v>
      </c>
      <c r="X37" s="34"/>
      <c r="Y37" s="34">
        <v>-1.31</v>
      </c>
      <c r="Z37" s="34">
        <v>1</v>
      </c>
      <c r="AB37" s="414"/>
      <c r="AC37" s="414"/>
    </row>
    <row r="38" spans="1:29" x14ac:dyDescent="0.25">
      <c r="A38" s="370">
        <v>5451</v>
      </c>
      <c r="B38" s="354" t="s">
        <v>347</v>
      </c>
      <c r="C38" s="34">
        <v>4575025.88</v>
      </c>
      <c r="D38" s="34">
        <v>529834.65</v>
      </c>
      <c r="E38" s="380"/>
      <c r="F38" s="355"/>
      <c r="G38" s="425">
        <f>VLOOKUP(A38,'[1]Tableau (2)'!$A:$E,3,FALSE)</f>
        <v>194834.53</v>
      </c>
      <c r="H38" s="425">
        <f>VLOOKUP(A38,'[1]Tableau (2)'!$A:$E,4,FALSE)</f>
        <v>39951.699999999997</v>
      </c>
      <c r="I38" s="425">
        <f>VLOOKUP(A38,'[2]Tableau (2)'!$A$4:$D$312,4,FALSE)</f>
        <v>75529.2</v>
      </c>
      <c r="J38" s="380"/>
      <c r="K38" s="357">
        <v>447793.38</v>
      </c>
      <c r="L38" s="355">
        <v>105454.45</v>
      </c>
      <c r="M38" s="357">
        <v>1203323</v>
      </c>
      <c r="N38" s="358">
        <f t="shared" si="0"/>
        <v>7171746.790000001</v>
      </c>
      <c r="O38" s="34">
        <v>533739.30000000005</v>
      </c>
      <c r="P38" s="34">
        <v>48706.7</v>
      </c>
      <c r="Q38" s="34">
        <v>466125.65</v>
      </c>
      <c r="R38" s="34">
        <v>203005.3</v>
      </c>
      <c r="S38" s="34">
        <v>71538.100000000006</v>
      </c>
      <c r="T38" s="359">
        <f t="shared" si="1"/>
        <v>8494861.8400000017</v>
      </c>
      <c r="U38" s="17">
        <v>68</v>
      </c>
      <c r="V38" s="32">
        <v>4210</v>
      </c>
      <c r="W38" s="376">
        <v>-477003.92</v>
      </c>
      <c r="X38" s="34"/>
      <c r="Y38" s="34">
        <v>-92.12</v>
      </c>
      <c r="Z38" s="34">
        <v>1.5</v>
      </c>
      <c r="AB38" s="414"/>
      <c r="AC38" s="414"/>
    </row>
    <row r="39" spans="1:29" x14ac:dyDescent="0.25">
      <c r="A39" s="370">
        <v>5456</v>
      </c>
      <c r="B39" s="354" t="s">
        <v>348</v>
      </c>
      <c r="C39" s="34">
        <v>2609754.73</v>
      </c>
      <c r="D39" s="34">
        <v>233072.26</v>
      </c>
      <c r="E39" s="380"/>
      <c r="F39" s="355"/>
      <c r="G39" s="425">
        <f>VLOOKUP(A39,'[1]Tableau (2)'!$A:$E,3,FALSE)</f>
        <v>71490.429999999993</v>
      </c>
      <c r="H39" s="425">
        <f>VLOOKUP(A39,'[1]Tableau (2)'!$A:$E,4,FALSE)</f>
        <v>2626</v>
      </c>
      <c r="I39" s="425">
        <f>VLOOKUP(A39,'[2]Tableau (2)'!$A$4:$D$312,4,FALSE)</f>
        <v>16009.7</v>
      </c>
      <c r="J39" s="380"/>
      <c r="K39" s="357">
        <v>21989.02</v>
      </c>
      <c r="L39" s="355">
        <v>11428.05</v>
      </c>
      <c r="M39" s="357">
        <v>434177.95</v>
      </c>
      <c r="N39" s="358">
        <f t="shared" si="0"/>
        <v>3400548.1400000006</v>
      </c>
      <c r="O39" s="34">
        <v>4370.3</v>
      </c>
      <c r="P39" s="34">
        <v>50669.8</v>
      </c>
      <c r="Q39" s="34">
        <v>195817.60000000001</v>
      </c>
      <c r="R39" s="34">
        <v>5354.97</v>
      </c>
      <c r="S39" s="34">
        <v>128094.2</v>
      </c>
      <c r="T39" s="359">
        <f t="shared" si="1"/>
        <v>3784855.0100000007</v>
      </c>
      <c r="U39" s="17">
        <v>59</v>
      </c>
      <c r="V39" s="32">
        <v>1589</v>
      </c>
      <c r="W39" s="376">
        <v>-32330.28</v>
      </c>
      <c r="X39" s="34"/>
      <c r="Y39" s="34">
        <v>-16.29</v>
      </c>
      <c r="Z39" s="34">
        <v>1.5</v>
      </c>
      <c r="AB39" s="414"/>
      <c r="AC39" s="414"/>
    </row>
    <row r="40" spans="1:29" x14ac:dyDescent="0.25">
      <c r="A40" s="370">
        <v>5458</v>
      </c>
      <c r="B40" s="354" t="s">
        <v>349</v>
      </c>
      <c r="C40" s="34">
        <v>1765414.24</v>
      </c>
      <c r="D40" s="34">
        <v>274190.77</v>
      </c>
      <c r="E40" s="380"/>
      <c r="F40" s="355"/>
      <c r="G40" s="425">
        <f>VLOOKUP(A40,'[1]Tableau (2)'!$A:$E,3,FALSE)</f>
        <v>17123.02</v>
      </c>
      <c r="H40" s="425">
        <f>VLOOKUP(A40,'[1]Tableau (2)'!$A:$E,4,FALSE)</f>
        <v>1474.4</v>
      </c>
      <c r="I40" s="425">
        <f>VLOOKUP(A40,'[2]Tableau (2)'!$A$4:$D$312,4,FALSE)</f>
        <v>7609.65</v>
      </c>
      <c r="J40" s="380"/>
      <c r="K40" s="357">
        <v>29448.880000000001</v>
      </c>
      <c r="L40" s="355">
        <v>7920.95</v>
      </c>
      <c r="M40" s="357">
        <v>160851.20000000001</v>
      </c>
      <c r="N40" s="358">
        <f t="shared" si="0"/>
        <v>2264033.11</v>
      </c>
      <c r="O40" s="34"/>
      <c r="P40" s="34">
        <v>31243.599999999999</v>
      </c>
      <c r="Q40" s="34">
        <v>153893.20000000001</v>
      </c>
      <c r="R40" s="34">
        <v>7896.36</v>
      </c>
      <c r="S40" s="34">
        <v>74247.100000000006</v>
      </c>
      <c r="T40" s="359">
        <f t="shared" si="1"/>
        <v>2531313.37</v>
      </c>
      <c r="U40" s="17">
        <v>64</v>
      </c>
      <c r="V40" s="32">
        <v>893</v>
      </c>
      <c r="W40" s="376">
        <v>-56984.93</v>
      </c>
      <c r="X40" s="34"/>
      <c r="Y40" s="34">
        <v>-58.53</v>
      </c>
      <c r="Z40" s="34">
        <v>1</v>
      </c>
      <c r="AB40" s="414"/>
      <c r="AC40" s="414"/>
    </row>
    <row r="41" spans="1:29" x14ac:dyDescent="0.25">
      <c r="A41" s="370">
        <v>5464</v>
      </c>
      <c r="B41" s="354" t="s">
        <v>430</v>
      </c>
      <c r="C41" s="34">
        <v>5125509.33</v>
      </c>
      <c r="D41" s="34">
        <v>809208.95</v>
      </c>
      <c r="E41" s="380"/>
      <c r="F41" s="355"/>
      <c r="G41" s="425">
        <f>VLOOKUP(A41,'[1]Tableau (2)'!$A:$E,3,FALSE)</f>
        <v>23603.01</v>
      </c>
      <c r="H41" s="425">
        <f>VLOOKUP(A41,'[1]Tableau (2)'!$A:$E,4,FALSE)</f>
        <v>5095</v>
      </c>
      <c r="I41" s="425">
        <f>VLOOKUP(A41,'[2]Tableau (2)'!$A$4:$D$312,4,FALSE)</f>
        <v>10729.95</v>
      </c>
      <c r="J41" s="380"/>
      <c r="K41" s="357">
        <v>125033.72</v>
      </c>
      <c r="L41" s="355">
        <v>20149.7</v>
      </c>
      <c r="M41" s="357">
        <v>870052.8</v>
      </c>
      <c r="N41" s="358">
        <f t="shared" si="0"/>
        <v>6989382.46</v>
      </c>
      <c r="O41" s="34"/>
      <c r="P41" s="34">
        <v>83236.899999999994</v>
      </c>
      <c r="Q41" s="34">
        <v>315629.7</v>
      </c>
      <c r="R41" s="34">
        <v>37535.269999999997</v>
      </c>
      <c r="S41" s="34">
        <v>202902.5</v>
      </c>
      <c r="T41" s="359">
        <f t="shared" si="1"/>
        <v>7628686.8300000001</v>
      </c>
      <c r="U41" s="17">
        <v>67</v>
      </c>
      <c r="V41" s="32">
        <v>3080</v>
      </c>
      <c r="W41" s="376">
        <v>-120830.2</v>
      </c>
      <c r="X41" s="34"/>
      <c r="Y41" s="34">
        <v>-1341.12</v>
      </c>
      <c r="Z41" s="34">
        <v>1.5</v>
      </c>
      <c r="AB41" s="414"/>
      <c r="AC41" s="414"/>
    </row>
    <row r="42" spans="1:29" x14ac:dyDescent="0.25">
      <c r="A42" s="370">
        <v>5471</v>
      </c>
      <c r="B42" s="354" t="s">
        <v>350</v>
      </c>
      <c r="C42" s="34">
        <v>1084011.3</v>
      </c>
      <c r="D42" s="34">
        <v>109934.43</v>
      </c>
      <c r="E42" s="380"/>
      <c r="F42" s="355"/>
      <c r="G42" s="425">
        <f>VLOOKUP(A42,'[1]Tableau (2)'!$A:$E,3,FALSE)</f>
        <v>9479.98</v>
      </c>
      <c r="H42" s="425">
        <f>VLOOKUP(A42,'[1]Tableau (2)'!$A:$E,4,FALSE)</f>
        <v>6663.1</v>
      </c>
      <c r="I42" s="425">
        <f>VLOOKUP(A42,'[2]Tableau (2)'!$A$4:$D$312,4,FALSE)</f>
        <v>3209.8</v>
      </c>
      <c r="J42" s="380"/>
      <c r="K42" s="357">
        <v>19109.66</v>
      </c>
      <c r="L42" s="355">
        <v>524</v>
      </c>
      <c r="M42" s="357">
        <v>100811.25</v>
      </c>
      <c r="N42" s="358">
        <f t="shared" si="0"/>
        <v>1333743.52</v>
      </c>
      <c r="O42" s="34">
        <v>1531.2</v>
      </c>
      <c r="P42" s="34"/>
      <c r="Q42" s="34">
        <v>110053.1</v>
      </c>
      <c r="R42" s="34"/>
      <c r="S42" s="34">
        <v>103743.15</v>
      </c>
      <c r="T42" s="359">
        <f t="shared" si="1"/>
        <v>1549070.97</v>
      </c>
      <c r="U42" s="17">
        <v>70</v>
      </c>
      <c r="V42" s="32">
        <v>574</v>
      </c>
      <c r="W42" s="376">
        <v>-4722.03</v>
      </c>
      <c r="X42" s="34"/>
      <c r="Y42" s="34">
        <v>-6.83</v>
      </c>
      <c r="Z42" s="34">
        <v>0.9</v>
      </c>
      <c r="AB42" s="414"/>
      <c r="AC42" s="414"/>
    </row>
    <row r="43" spans="1:29" x14ac:dyDescent="0.25">
      <c r="A43" s="370">
        <v>5472</v>
      </c>
      <c r="B43" s="354" t="s">
        <v>351</v>
      </c>
      <c r="C43" s="34">
        <v>943095.52</v>
      </c>
      <c r="D43" s="34">
        <v>115757.05</v>
      </c>
      <c r="E43" s="380"/>
      <c r="F43" s="355"/>
      <c r="G43" s="425">
        <f>VLOOKUP(A43,'[1]Tableau (2)'!$A:$E,3,FALSE)</f>
        <v>27571.62</v>
      </c>
      <c r="H43" s="425">
        <f>VLOOKUP(A43,'[1]Tableau (2)'!$A:$E,4,FALSE)</f>
        <v>128.6</v>
      </c>
      <c r="I43" s="425">
        <f>VLOOKUP(A43,'[2]Tableau (2)'!$A$4:$D$312,4,FALSE)</f>
        <v>3716.75</v>
      </c>
      <c r="J43" s="380"/>
      <c r="K43" s="357">
        <v>31341.52</v>
      </c>
      <c r="L43" s="355">
        <v>522.25</v>
      </c>
      <c r="M43" s="357">
        <v>77228.45</v>
      </c>
      <c r="N43" s="358">
        <f t="shared" si="0"/>
        <v>1199361.7600000002</v>
      </c>
      <c r="O43" s="34"/>
      <c r="P43" s="34"/>
      <c r="Q43" s="34">
        <v>16502.3</v>
      </c>
      <c r="R43" s="34"/>
      <c r="S43" s="34">
        <v>34189.800000000003</v>
      </c>
      <c r="T43" s="359">
        <f t="shared" si="1"/>
        <v>1250053.8600000003</v>
      </c>
      <c r="U43" s="17">
        <v>80</v>
      </c>
      <c r="V43" s="32">
        <v>419</v>
      </c>
      <c r="W43" s="376">
        <v>-17674.82</v>
      </c>
      <c r="X43" s="34"/>
      <c r="Y43" s="34">
        <v>-85.95</v>
      </c>
      <c r="Z43" s="34">
        <v>1</v>
      </c>
      <c r="AB43" s="414"/>
      <c r="AC43" s="414"/>
    </row>
    <row r="44" spans="1:29" x14ac:dyDescent="0.25">
      <c r="A44" s="370">
        <v>5473</v>
      </c>
      <c r="B44" s="354" t="s">
        <v>209</v>
      </c>
      <c r="C44" s="34">
        <v>1834861.08</v>
      </c>
      <c r="D44" s="34">
        <v>234128.28</v>
      </c>
      <c r="E44" s="380"/>
      <c r="F44" s="355"/>
      <c r="G44" s="425">
        <f>VLOOKUP(A44,'[1]Tableau (2)'!$A:$E,3,FALSE)</f>
        <v>23259.119999999999</v>
      </c>
      <c r="H44" s="425">
        <f>VLOOKUP(A44,'[1]Tableau (2)'!$A:$E,4,FALSE)</f>
        <v>819.1</v>
      </c>
      <c r="I44" s="425">
        <f>VLOOKUP(A44,'[2]Tableau (2)'!$A$4:$D$312,4,FALSE)</f>
        <v>8532</v>
      </c>
      <c r="J44" s="380"/>
      <c r="K44" s="357">
        <v>28567.74</v>
      </c>
      <c r="L44" s="355">
        <v>4388.2</v>
      </c>
      <c r="M44" s="357">
        <v>163551.1</v>
      </c>
      <c r="N44" s="358">
        <f t="shared" si="0"/>
        <v>2298106.6200000006</v>
      </c>
      <c r="O44" s="34"/>
      <c r="P44" s="34"/>
      <c r="Q44" s="34">
        <v>52510.5</v>
      </c>
      <c r="R44" s="34"/>
      <c r="S44" s="34">
        <v>41232</v>
      </c>
      <c r="T44" s="359">
        <f t="shared" si="1"/>
        <v>2391849.1200000006</v>
      </c>
      <c r="U44" s="17">
        <v>69</v>
      </c>
      <c r="V44" s="32">
        <v>982</v>
      </c>
      <c r="W44" s="376">
        <v>-20901.330000000002</v>
      </c>
      <c r="X44" s="34"/>
      <c r="Y44" s="34">
        <v>-28</v>
      </c>
      <c r="Z44" s="34">
        <v>1</v>
      </c>
      <c r="AB44" s="414"/>
      <c r="AC44" s="414"/>
    </row>
    <row r="45" spans="1:29" x14ac:dyDescent="0.25">
      <c r="A45" s="370">
        <v>5474</v>
      </c>
      <c r="B45" s="354" t="s">
        <v>210</v>
      </c>
      <c r="C45" s="34">
        <v>839050.89</v>
      </c>
      <c r="D45" s="34">
        <v>80440.899999999994</v>
      </c>
      <c r="E45" s="380"/>
      <c r="F45" s="355"/>
      <c r="G45" s="425">
        <f>VLOOKUP(A45,'[1]Tableau (2)'!$A:$E,3,FALSE)</f>
        <v>2398.6</v>
      </c>
      <c r="H45" s="425">
        <f>VLOOKUP(A45,'[1]Tableau (2)'!$A:$E,4,FALSE)</f>
        <v>231.3</v>
      </c>
      <c r="I45" s="425">
        <f>VLOOKUP(A45,'[2]Tableau (2)'!$A$4:$D$312,4,FALSE)</f>
        <v>814.3</v>
      </c>
      <c r="J45" s="380">
        <v>35177.050000000003</v>
      </c>
      <c r="K45" s="357">
        <v>-379.03</v>
      </c>
      <c r="L45" s="355">
        <v>617.5</v>
      </c>
      <c r="M45" s="357">
        <v>81847.600000000006</v>
      </c>
      <c r="N45" s="358">
        <f t="shared" si="0"/>
        <v>1040199.1100000001</v>
      </c>
      <c r="O45" s="34">
        <v>5919.6</v>
      </c>
      <c r="P45" s="34">
        <v>160359.9</v>
      </c>
      <c r="Q45" s="34">
        <v>20321.45</v>
      </c>
      <c r="R45" s="34">
        <v>6628.6</v>
      </c>
      <c r="S45" s="34">
        <v>31545.9</v>
      </c>
      <c r="T45" s="359">
        <f t="shared" si="1"/>
        <v>1264974.56</v>
      </c>
      <c r="U45" s="17">
        <v>77</v>
      </c>
      <c r="V45" s="32">
        <v>420</v>
      </c>
      <c r="W45" s="376">
        <v>-2262.0300000000002</v>
      </c>
      <c r="X45" s="34"/>
      <c r="Y45" s="34">
        <v>-44.92</v>
      </c>
      <c r="Z45" s="34">
        <v>1.2</v>
      </c>
      <c r="AB45" s="414"/>
      <c r="AC45" s="414"/>
    </row>
    <row r="46" spans="1:29" x14ac:dyDescent="0.25">
      <c r="A46" s="370">
        <v>5475</v>
      </c>
      <c r="B46" s="354" t="s">
        <v>373</v>
      </c>
      <c r="C46" s="34">
        <v>239957.47</v>
      </c>
      <c r="D46" s="34">
        <v>21743.95</v>
      </c>
      <c r="E46" s="380"/>
      <c r="F46" s="355"/>
      <c r="G46" s="425">
        <f>VLOOKUP(A46,'[1]Tableau (2)'!$A:$E,3,FALSE)</f>
        <v>718.93</v>
      </c>
      <c r="H46" s="425">
        <f>VLOOKUP(A46,'[1]Tableau (2)'!$A:$E,4,FALSE)</f>
        <v>163.69999999999999</v>
      </c>
      <c r="I46" s="425">
        <f>VLOOKUP(A46,'[2]Tableau (2)'!$A$4:$D$312,4,FALSE)</f>
        <v>209.1</v>
      </c>
      <c r="J46" s="380"/>
      <c r="K46" s="357">
        <v>9747.01</v>
      </c>
      <c r="L46" s="355"/>
      <c r="M46" s="357">
        <v>22577.3</v>
      </c>
      <c r="N46" s="358">
        <f t="shared" si="0"/>
        <v>295117.46000000002</v>
      </c>
      <c r="O46" s="34"/>
      <c r="P46" s="34"/>
      <c r="Q46" s="34">
        <v>5500</v>
      </c>
      <c r="R46" s="34"/>
      <c r="S46" s="34"/>
      <c r="T46" s="359">
        <f t="shared" si="1"/>
        <v>300617.46000000002</v>
      </c>
      <c r="U46" s="17">
        <v>77</v>
      </c>
      <c r="V46" s="32">
        <v>141</v>
      </c>
      <c r="W46" s="376">
        <v>-4390.1400000000003</v>
      </c>
      <c r="X46" s="34"/>
      <c r="Y46" s="34">
        <v>0</v>
      </c>
      <c r="Z46" s="34">
        <v>1</v>
      </c>
      <c r="AB46" s="414"/>
      <c r="AC46" s="414"/>
    </row>
    <row r="47" spans="1:29" x14ac:dyDescent="0.25">
      <c r="A47" s="370">
        <v>5476</v>
      </c>
      <c r="B47" s="354" t="s">
        <v>374</v>
      </c>
      <c r="C47" s="34">
        <v>556980.04</v>
      </c>
      <c r="D47" s="34">
        <v>122816.14</v>
      </c>
      <c r="E47" s="380"/>
      <c r="F47" s="355"/>
      <c r="G47" s="425">
        <f>VLOOKUP(A47,'[1]Tableau (2)'!$A:$E,3,FALSE)</f>
        <v>2866.93</v>
      </c>
      <c r="H47" s="425">
        <f>VLOOKUP(A47,'[1]Tableau (2)'!$A:$E,4,FALSE)</f>
        <v>3796.8</v>
      </c>
      <c r="I47" s="425">
        <f>VLOOKUP(A47,'[2]Tableau (2)'!$A$4:$D$312,4,FALSE)</f>
        <v>662.55</v>
      </c>
      <c r="J47" s="380"/>
      <c r="K47" s="357">
        <v>5679.14</v>
      </c>
      <c r="L47" s="355"/>
      <c r="M47" s="357">
        <v>85074.4</v>
      </c>
      <c r="N47" s="358">
        <f t="shared" si="0"/>
        <v>777876.00000000023</v>
      </c>
      <c r="O47" s="34"/>
      <c r="P47" s="34">
        <v>4409.2</v>
      </c>
      <c r="Q47" s="34"/>
      <c r="R47" s="34"/>
      <c r="S47" s="34">
        <v>0</v>
      </c>
      <c r="T47" s="359">
        <f t="shared" si="1"/>
        <v>782285.20000000019</v>
      </c>
      <c r="U47" s="17">
        <v>74</v>
      </c>
      <c r="V47" s="32">
        <v>298</v>
      </c>
      <c r="W47" s="376">
        <v>-3774.47</v>
      </c>
      <c r="X47" s="34"/>
      <c r="Y47" s="34">
        <v>-3.16</v>
      </c>
      <c r="Z47" s="34">
        <v>1.5</v>
      </c>
      <c r="AB47" s="414"/>
      <c r="AC47" s="414"/>
    </row>
    <row r="48" spans="1:29" x14ac:dyDescent="0.25">
      <c r="A48" s="370">
        <v>5477</v>
      </c>
      <c r="B48" s="354" t="s">
        <v>375</v>
      </c>
      <c r="C48" s="34">
        <v>6847488.9900000002</v>
      </c>
      <c r="D48" s="34">
        <v>823349.46</v>
      </c>
      <c r="E48" s="380"/>
      <c r="F48" s="355"/>
      <c r="G48" s="425">
        <f>VLOOKUP(A48,'[1]Tableau (2)'!$A:$E,3,FALSE)</f>
        <v>253020.65</v>
      </c>
      <c r="H48" s="425">
        <f>VLOOKUP(A48,'[1]Tableau (2)'!$A:$E,4,FALSE)</f>
        <v>30967.4</v>
      </c>
      <c r="I48" s="425">
        <f>VLOOKUP(A48,'[2]Tableau (2)'!$A$4:$D$312,4,FALSE)</f>
        <v>71033.399999999994</v>
      </c>
      <c r="J48" s="380"/>
      <c r="K48" s="357">
        <v>246620</v>
      </c>
      <c r="L48" s="355">
        <v>7568.9</v>
      </c>
      <c r="M48" s="357">
        <v>593419.69999999995</v>
      </c>
      <c r="N48" s="358">
        <f t="shared" si="0"/>
        <v>8873468.5000000019</v>
      </c>
      <c r="O48" s="34">
        <v>77640.55</v>
      </c>
      <c r="P48" s="34">
        <v>160803</v>
      </c>
      <c r="Q48" s="34">
        <v>757341.75</v>
      </c>
      <c r="R48" s="34">
        <v>11175.26</v>
      </c>
      <c r="S48" s="34">
        <v>211688</v>
      </c>
      <c r="T48" s="359">
        <f t="shared" si="1"/>
        <v>10092117.060000002</v>
      </c>
      <c r="U48" s="17">
        <v>71</v>
      </c>
      <c r="V48" s="32">
        <v>3808</v>
      </c>
      <c r="W48" s="376">
        <v>-113022.57</v>
      </c>
      <c r="X48" s="34"/>
      <c r="Y48" s="34">
        <v>-221.81</v>
      </c>
      <c r="Z48" s="34">
        <v>1</v>
      </c>
      <c r="AB48" s="414"/>
      <c r="AC48" s="414"/>
    </row>
    <row r="49" spans="1:29" x14ac:dyDescent="0.25">
      <c r="A49" s="370">
        <v>5478</v>
      </c>
      <c r="B49" s="354" t="s">
        <v>241</v>
      </c>
      <c r="C49" s="34">
        <v>1013843.64</v>
      </c>
      <c r="D49" s="34">
        <v>126354</v>
      </c>
      <c r="E49" s="380"/>
      <c r="F49" s="355"/>
      <c r="G49" s="425">
        <f>VLOOKUP(A49,'[1]Tableau (2)'!$A:$E,3,FALSE)</f>
        <v>13412.24</v>
      </c>
      <c r="H49" s="425">
        <f>VLOOKUP(A49,'[1]Tableau (2)'!$A:$E,4,FALSE)</f>
        <v>149.5</v>
      </c>
      <c r="I49" s="425">
        <f>VLOOKUP(A49,'[2]Tableau (2)'!$A$4:$D$312,4,FALSE)</f>
        <v>4379.8999999999996</v>
      </c>
      <c r="J49" s="380"/>
      <c r="K49" s="357">
        <v>12728.5</v>
      </c>
      <c r="L49" s="355">
        <v>250</v>
      </c>
      <c r="M49" s="357">
        <v>78073.25</v>
      </c>
      <c r="N49" s="358">
        <f t="shared" si="0"/>
        <v>1249191.03</v>
      </c>
      <c r="O49" s="34"/>
      <c r="P49" s="34"/>
      <c r="Q49" s="34">
        <v>40801.449999999997</v>
      </c>
      <c r="R49" s="34">
        <v>5986.15</v>
      </c>
      <c r="S49" s="34">
        <v>39907.449999999997</v>
      </c>
      <c r="T49" s="359">
        <f t="shared" si="1"/>
        <v>1335886.0799999998</v>
      </c>
      <c r="U49" s="17">
        <v>74</v>
      </c>
      <c r="V49" s="32">
        <v>477</v>
      </c>
      <c r="W49" s="376">
        <v>-6580.48</v>
      </c>
      <c r="X49" s="34"/>
      <c r="Y49" s="34">
        <v>0</v>
      </c>
      <c r="Z49" s="34">
        <v>1</v>
      </c>
      <c r="AB49" s="414"/>
      <c r="AC49" s="414"/>
    </row>
    <row r="50" spans="1:29" x14ac:dyDescent="0.25">
      <c r="A50" s="370">
        <v>5479</v>
      </c>
      <c r="B50" s="354" t="s">
        <v>242</v>
      </c>
      <c r="C50" s="34">
        <v>815270.96</v>
      </c>
      <c r="D50" s="34">
        <v>89620.14</v>
      </c>
      <c r="E50" s="380"/>
      <c r="F50" s="355"/>
      <c r="G50" s="425">
        <f>VLOOKUP(A50,'[1]Tableau (2)'!$A:$E,3,FALSE)</f>
        <v>12293.99</v>
      </c>
      <c r="H50" s="425">
        <f>VLOOKUP(A50,'[1]Tableau (2)'!$A:$E,4,FALSE)</f>
        <v>1261.5999999999999</v>
      </c>
      <c r="I50" s="425">
        <f>VLOOKUP(A50,'[2]Tableau (2)'!$A$4:$D$312,4,FALSE)</f>
        <v>1139.7</v>
      </c>
      <c r="J50" s="380">
        <f>485850.92-335850.92</f>
        <v>150000</v>
      </c>
      <c r="K50" s="357">
        <v>13301.04</v>
      </c>
      <c r="L50" s="355">
        <v>2397.5</v>
      </c>
      <c r="M50" s="357">
        <v>86947.25</v>
      </c>
      <c r="N50" s="358">
        <f t="shared" si="0"/>
        <v>1172232.18</v>
      </c>
      <c r="O50" s="34">
        <v>9702.0499999999993</v>
      </c>
      <c r="P50" s="34">
        <v>5678.8</v>
      </c>
      <c r="Q50" s="34">
        <v>63136.3</v>
      </c>
      <c r="R50" s="34">
        <v>2314.04</v>
      </c>
      <c r="S50" s="34">
        <v>50667.85</v>
      </c>
      <c r="T50" s="359">
        <f t="shared" si="1"/>
        <v>1303731.2200000002</v>
      </c>
      <c r="U50" s="17">
        <v>77</v>
      </c>
      <c r="V50" s="32">
        <v>479</v>
      </c>
      <c r="W50" s="376">
        <v>-11975.34</v>
      </c>
      <c r="X50" s="34"/>
      <c r="Y50" s="34">
        <v>0</v>
      </c>
      <c r="Z50" s="34">
        <v>1</v>
      </c>
      <c r="AB50" s="414"/>
      <c r="AC50" s="414"/>
    </row>
    <row r="51" spans="1:29" x14ac:dyDescent="0.25">
      <c r="A51" s="370">
        <v>5480</v>
      </c>
      <c r="B51" s="354" t="s">
        <v>243</v>
      </c>
      <c r="C51" s="34">
        <v>2240363.85</v>
      </c>
      <c r="D51" s="34">
        <v>272192.69</v>
      </c>
      <c r="E51" s="380"/>
      <c r="F51" s="355"/>
      <c r="G51" s="425">
        <f>VLOOKUP(A51,'[1]Tableau (2)'!$A:$E,3,FALSE)</f>
        <v>61935.25</v>
      </c>
      <c r="H51" s="425">
        <f>VLOOKUP(A51,'[1]Tableau (2)'!$A:$E,4,FALSE)</f>
        <v>3211.1</v>
      </c>
      <c r="I51" s="425">
        <f>VLOOKUP(A51,'[2]Tableau (2)'!$A$4:$D$312,4,FALSE)</f>
        <v>22956.7</v>
      </c>
      <c r="J51" s="380"/>
      <c r="K51" s="357">
        <v>39113.39</v>
      </c>
      <c r="L51" s="355">
        <v>8743.65</v>
      </c>
      <c r="M51" s="357">
        <v>278373.2</v>
      </c>
      <c r="N51" s="358">
        <f t="shared" si="0"/>
        <v>2926889.8300000005</v>
      </c>
      <c r="O51" s="34">
        <v>129347.4</v>
      </c>
      <c r="P51" s="34">
        <v>3313.6</v>
      </c>
      <c r="Q51" s="34">
        <v>58611.25</v>
      </c>
      <c r="R51" s="34">
        <v>17470.11</v>
      </c>
      <c r="S51" s="34">
        <v>13602.25</v>
      </c>
      <c r="T51" s="359">
        <f t="shared" si="1"/>
        <v>3149234.4400000004</v>
      </c>
      <c r="U51" s="17">
        <v>71</v>
      </c>
      <c r="V51" s="32">
        <v>998</v>
      </c>
      <c r="W51" s="376">
        <v>-25645.24</v>
      </c>
      <c r="X51" s="34"/>
      <c r="Y51" s="34">
        <v>-205.82</v>
      </c>
      <c r="Z51" s="34">
        <v>1</v>
      </c>
      <c r="AB51" s="414"/>
      <c r="AC51" s="414"/>
    </row>
    <row r="52" spans="1:29" x14ac:dyDescent="0.25">
      <c r="A52" s="370">
        <v>5481</v>
      </c>
      <c r="B52" s="354" t="s">
        <v>244</v>
      </c>
      <c r="C52" s="34">
        <v>530040.04</v>
      </c>
      <c r="D52" s="34">
        <v>86399.89</v>
      </c>
      <c r="E52" s="380"/>
      <c r="F52" s="355"/>
      <c r="G52" s="425">
        <f>VLOOKUP(A52,'[1]Tableau (2)'!$A:$E,3,FALSE)</f>
        <v>6578.96</v>
      </c>
      <c r="H52" s="425">
        <f>VLOOKUP(A52,'[1]Tableau (2)'!$A:$E,4,FALSE)</f>
        <v>142.5</v>
      </c>
      <c r="I52" s="425">
        <f>VLOOKUP(A52,'[2]Tableau (2)'!$A$4:$D$312,4,FALSE)</f>
        <v>3059.55</v>
      </c>
      <c r="J52" s="380"/>
      <c r="K52" s="357">
        <v>1796.6</v>
      </c>
      <c r="L52" s="355"/>
      <c r="M52" s="357">
        <v>37185.599999999999</v>
      </c>
      <c r="N52" s="358">
        <f t="shared" si="0"/>
        <v>665203.14</v>
      </c>
      <c r="O52" s="34"/>
      <c r="P52" s="34">
        <v>486.6</v>
      </c>
      <c r="Q52" s="34">
        <v>8580</v>
      </c>
      <c r="R52" s="34">
        <v>2883.95</v>
      </c>
      <c r="S52" s="34">
        <v>8556.85</v>
      </c>
      <c r="T52" s="359">
        <f t="shared" si="1"/>
        <v>685710.53999999992</v>
      </c>
      <c r="U52" s="17">
        <v>79</v>
      </c>
      <c r="V52" s="32">
        <v>229</v>
      </c>
      <c r="W52" s="376">
        <v>-3090.26</v>
      </c>
      <c r="X52" s="34"/>
      <c r="Y52" s="34">
        <v>-6.15</v>
      </c>
      <c r="Z52" s="34">
        <v>1</v>
      </c>
      <c r="AB52" s="414"/>
      <c r="AC52" s="414"/>
    </row>
    <row r="53" spans="1:29" x14ac:dyDescent="0.25">
      <c r="A53" s="370">
        <v>5482</v>
      </c>
      <c r="B53" s="354" t="s">
        <v>245</v>
      </c>
      <c r="C53" s="34">
        <v>1386224</v>
      </c>
      <c r="D53" s="34">
        <v>169559.42</v>
      </c>
      <c r="E53" s="380"/>
      <c r="F53" s="355"/>
      <c r="G53" s="425">
        <f>VLOOKUP(A53,'[1]Tableau (2)'!$A:$E,3,FALSE)</f>
        <v>106719.18</v>
      </c>
      <c r="H53" s="425">
        <f>VLOOKUP(A53,'[1]Tableau (2)'!$A:$E,4,FALSE)</f>
        <v>29529.15</v>
      </c>
      <c r="I53" s="425">
        <f>VLOOKUP(A53,'[2]Tableau (2)'!$A$4:$D$312,4,FALSE)</f>
        <v>53981.85</v>
      </c>
      <c r="J53" s="380"/>
      <c r="K53" s="357">
        <v>86158.32</v>
      </c>
      <c r="L53" s="355">
        <v>39820.300000000003</v>
      </c>
      <c r="M53" s="357">
        <v>389150.65</v>
      </c>
      <c r="N53" s="358">
        <f t="shared" si="0"/>
        <v>2261142.87</v>
      </c>
      <c r="O53" s="34">
        <v>456709</v>
      </c>
      <c r="P53" s="34">
        <v>142602.79999999999</v>
      </c>
      <c r="Q53" s="34">
        <v>60602.5</v>
      </c>
      <c r="R53" s="34">
        <v>6101.33</v>
      </c>
      <c r="S53" s="34">
        <v>53855.8</v>
      </c>
      <c r="T53" s="359">
        <f t="shared" si="1"/>
        <v>2981014.3</v>
      </c>
      <c r="U53" s="17">
        <v>46</v>
      </c>
      <c r="V53" s="32">
        <v>1091</v>
      </c>
      <c r="W53" s="376">
        <v>-16784.3</v>
      </c>
      <c r="X53" s="34"/>
      <c r="Y53" s="34">
        <v>-72.56</v>
      </c>
      <c r="Z53" s="34">
        <v>1</v>
      </c>
      <c r="AB53" s="414"/>
      <c r="AC53" s="414"/>
    </row>
    <row r="54" spans="1:29" x14ac:dyDescent="0.25">
      <c r="A54" s="370">
        <v>5483</v>
      </c>
      <c r="B54" s="354" t="s">
        <v>140</v>
      </c>
      <c r="C54" s="34">
        <v>810576</v>
      </c>
      <c r="D54" s="34">
        <v>70797.2</v>
      </c>
      <c r="E54" s="380"/>
      <c r="F54" s="355"/>
      <c r="G54" s="425">
        <f>VLOOKUP(A54,'[1]Tableau (2)'!$A:$E,3,FALSE)</f>
        <v>-461.54</v>
      </c>
      <c r="H54" s="425">
        <f>VLOOKUP(A54,'[1]Tableau (2)'!$A:$E,4,FALSE)</f>
        <v>104.3</v>
      </c>
      <c r="I54" s="425">
        <f>VLOOKUP(A54,'[2]Tableau (2)'!$A$4:$D$312,4,FALSE)</f>
        <v>1956.2</v>
      </c>
      <c r="J54" s="380"/>
      <c r="K54" s="357">
        <v>4377.05</v>
      </c>
      <c r="L54" s="355"/>
      <c r="M54" s="357">
        <v>52168.15</v>
      </c>
      <c r="N54" s="358">
        <f t="shared" si="0"/>
        <v>939517.36</v>
      </c>
      <c r="O54" s="34">
        <v>163.95</v>
      </c>
      <c r="P54" s="34"/>
      <c r="Q54" s="34">
        <v>20900</v>
      </c>
      <c r="R54" s="34">
        <v>667.56</v>
      </c>
      <c r="S54" s="34">
        <v>5202.6000000000004</v>
      </c>
      <c r="T54" s="359">
        <f t="shared" si="1"/>
        <v>966451.47</v>
      </c>
      <c r="U54" s="17">
        <v>76</v>
      </c>
      <c r="V54" s="32">
        <v>322</v>
      </c>
      <c r="W54" s="376">
        <v>-2427.13</v>
      </c>
      <c r="X54" s="34"/>
      <c r="Y54" s="34">
        <v>0</v>
      </c>
      <c r="Z54" s="34">
        <v>1</v>
      </c>
      <c r="AB54" s="414"/>
      <c r="AC54" s="414"/>
    </row>
    <row r="55" spans="1:29" x14ac:dyDescent="0.25">
      <c r="A55" s="370">
        <v>5484</v>
      </c>
      <c r="B55" s="354" t="s">
        <v>141</v>
      </c>
      <c r="C55" s="34">
        <v>1969525.1</v>
      </c>
      <c r="D55" s="34">
        <v>221088.38</v>
      </c>
      <c r="E55" s="380"/>
      <c r="F55" s="355"/>
      <c r="G55" s="425">
        <f>VLOOKUP(A55,'[1]Tableau (2)'!$A:$E,3,FALSE)</f>
        <v>66690.55</v>
      </c>
      <c r="H55" s="425">
        <f>VLOOKUP(A55,'[1]Tableau (2)'!$A:$E,4,FALSE)</f>
        <v>4651.5</v>
      </c>
      <c r="I55" s="425">
        <f>VLOOKUP(A55,'[2]Tableau (2)'!$A$4:$D$312,4,FALSE)</f>
        <v>18280.599999999999</v>
      </c>
      <c r="J55" s="380"/>
      <c r="K55" s="357">
        <v>59064.97</v>
      </c>
      <c r="L55" s="355">
        <v>5732.15</v>
      </c>
      <c r="M55" s="357">
        <v>159223.29999999999</v>
      </c>
      <c r="N55" s="358">
        <f t="shared" si="0"/>
        <v>2504256.5499999998</v>
      </c>
      <c r="O55" s="34">
        <v>26602.55</v>
      </c>
      <c r="P55" s="34"/>
      <c r="Q55" s="34">
        <v>195789.25</v>
      </c>
      <c r="R55" s="34">
        <v>18606.099999999999</v>
      </c>
      <c r="S55" s="34">
        <v>139036.15</v>
      </c>
      <c r="T55" s="359">
        <f t="shared" si="1"/>
        <v>2884290.5999999996</v>
      </c>
      <c r="U55" s="17">
        <v>74</v>
      </c>
      <c r="V55" s="32">
        <v>918</v>
      </c>
      <c r="W55" s="376">
        <v>-9379.25</v>
      </c>
      <c r="X55" s="34"/>
      <c r="Y55" s="34">
        <v>-11.11</v>
      </c>
      <c r="Z55" s="34">
        <v>1</v>
      </c>
      <c r="AB55" s="414"/>
      <c r="AC55" s="414"/>
    </row>
    <row r="56" spans="1:29" x14ac:dyDescent="0.25">
      <c r="A56" s="370">
        <v>5485</v>
      </c>
      <c r="B56" s="354" t="s">
        <v>142</v>
      </c>
      <c r="C56" s="34">
        <v>986048.49</v>
      </c>
      <c r="D56" s="34">
        <v>149111.75</v>
      </c>
      <c r="E56" s="380"/>
      <c r="F56" s="355"/>
      <c r="G56" s="425">
        <f>VLOOKUP(A56,'[1]Tableau (2)'!$A:$E,3,FALSE)</f>
        <v>10310.870000000001</v>
      </c>
      <c r="H56" s="425">
        <f>VLOOKUP(A56,'[1]Tableau (2)'!$A:$E,4,FALSE)</f>
        <v>168.6</v>
      </c>
      <c r="I56" s="425">
        <f>VLOOKUP(A56,'[2]Tableau (2)'!$A$4:$D$312,4,FALSE)</f>
        <v>3624.1</v>
      </c>
      <c r="J56" s="380"/>
      <c r="K56" s="357">
        <v>27318.61</v>
      </c>
      <c r="L56" s="355"/>
      <c r="M56" s="357">
        <v>70419.55</v>
      </c>
      <c r="N56" s="358">
        <f t="shared" si="0"/>
        <v>1247001.9700000004</v>
      </c>
      <c r="O56" s="34">
        <v>9944.15</v>
      </c>
      <c r="P56" s="34"/>
      <c r="Q56" s="34">
        <v>28930</v>
      </c>
      <c r="R56" s="34"/>
      <c r="S56" s="34">
        <v>53920.15</v>
      </c>
      <c r="T56" s="359">
        <f t="shared" si="1"/>
        <v>1339796.2700000003</v>
      </c>
      <c r="U56" s="17">
        <v>70</v>
      </c>
      <c r="V56" s="32">
        <v>403</v>
      </c>
      <c r="W56" s="376">
        <v>-5119.3</v>
      </c>
      <c r="X56" s="34"/>
      <c r="Y56" s="34">
        <v>-56.4</v>
      </c>
      <c r="Z56" s="34">
        <v>1</v>
      </c>
      <c r="AB56" s="414"/>
      <c r="AC56" s="414"/>
    </row>
    <row r="57" spans="1:29" x14ac:dyDescent="0.25">
      <c r="A57" s="370">
        <v>5486</v>
      </c>
      <c r="B57" s="354" t="s">
        <v>1</v>
      </c>
      <c r="C57" s="34">
        <v>1491000.48</v>
      </c>
      <c r="D57" s="34">
        <v>212065.5</v>
      </c>
      <c r="E57" s="380"/>
      <c r="F57" s="355"/>
      <c r="G57" s="425">
        <f>VLOOKUP(A57,'[1]Tableau (2)'!$A:$E,3,FALSE)</f>
        <v>43030.07</v>
      </c>
      <c r="H57" s="425">
        <f>VLOOKUP(A57,'[1]Tableau (2)'!$A:$E,4,FALSE)</f>
        <v>-101.80000000000109</v>
      </c>
      <c r="I57" s="425">
        <f>VLOOKUP(A57,'[2]Tableau (2)'!$A$4:$D$312,4,FALSE)</f>
        <v>14377.1</v>
      </c>
      <c r="J57" s="380">
        <v>34494.85</v>
      </c>
      <c r="K57" s="357">
        <v>30992.86</v>
      </c>
      <c r="L57" s="355">
        <v>5736.3</v>
      </c>
      <c r="M57" s="357">
        <v>181422.25</v>
      </c>
      <c r="N57" s="358">
        <f t="shared" si="0"/>
        <v>2013017.6100000003</v>
      </c>
      <c r="O57" s="34">
        <v>45799.5</v>
      </c>
      <c r="P57" s="34">
        <v>8787.2000000000007</v>
      </c>
      <c r="Q57" s="34">
        <v>61561.15</v>
      </c>
      <c r="R57" s="34">
        <v>3736.62</v>
      </c>
      <c r="S57" s="34">
        <v>117078.25</v>
      </c>
      <c r="T57" s="359">
        <f t="shared" si="1"/>
        <v>2249980.3300000005</v>
      </c>
      <c r="U57" s="17">
        <v>76</v>
      </c>
      <c r="V57" s="32">
        <v>1005</v>
      </c>
      <c r="W57" s="376">
        <v>-63805.34</v>
      </c>
      <c r="X57" s="34"/>
      <c r="Y57" s="34">
        <v>0</v>
      </c>
      <c r="Z57" s="34">
        <v>1</v>
      </c>
      <c r="AB57" s="414"/>
      <c r="AC57" s="414"/>
    </row>
    <row r="58" spans="1:29" x14ac:dyDescent="0.25">
      <c r="A58" s="370">
        <v>5487</v>
      </c>
      <c r="B58" s="354" t="s">
        <v>2</v>
      </c>
      <c r="C58" s="34">
        <v>852331.63</v>
      </c>
      <c r="D58" s="34">
        <v>93632.91</v>
      </c>
      <c r="E58" s="380"/>
      <c r="F58" s="355"/>
      <c r="G58" s="425">
        <f>VLOOKUP(A58,'[1]Tableau (2)'!$A:$E,3,FALSE)</f>
        <v>2422.02</v>
      </c>
      <c r="H58" s="425">
        <f>VLOOKUP(A58,'[1]Tableau (2)'!$A:$E,4,FALSE)</f>
        <v>171.4</v>
      </c>
      <c r="I58" s="425">
        <f>VLOOKUP(A58,'[2]Tableau (2)'!$A$4:$D$312,4,FALSE)</f>
        <v>1148.5999999999999</v>
      </c>
      <c r="J58" s="380"/>
      <c r="K58" s="357">
        <v>13296.17</v>
      </c>
      <c r="L58" s="355">
        <v>446.25</v>
      </c>
      <c r="M58" s="357">
        <v>72580.3</v>
      </c>
      <c r="N58" s="358">
        <f t="shared" si="0"/>
        <v>1036029.2800000001</v>
      </c>
      <c r="O58" s="34">
        <v>2834.85</v>
      </c>
      <c r="P58" s="34"/>
      <c r="Q58" s="34">
        <v>70491.199999999997</v>
      </c>
      <c r="R58" s="34">
        <v>12200.82</v>
      </c>
      <c r="S58" s="34">
        <v>18136.900000000001</v>
      </c>
      <c r="T58" s="359">
        <f t="shared" si="1"/>
        <v>1139693.05</v>
      </c>
      <c r="U58" s="17">
        <v>72</v>
      </c>
      <c r="V58" s="32">
        <v>459</v>
      </c>
      <c r="W58" s="376">
        <v>-15190.53</v>
      </c>
      <c r="X58" s="34"/>
      <c r="Y58" s="34">
        <v>-47.16</v>
      </c>
      <c r="Z58" s="34">
        <v>1</v>
      </c>
      <c r="AB58" s="414"/>
      <c r="AC58" s="414"/>
    </row>
    <row r="59" spans="1:29" x14ac:dyDescent="0.25">
      <c r="A59" s="370">
        <v>5488</v>
      </c>
      <c r="B59" s="354" t="s">
        <v>3</v>
      </c>
      <c r="C59" s="34">
        <v>102987.3</v>
      </c>
      <c r="D59" s="34">
        <v>9154.7900000000009</v>
      </c>
      <c r="E59" s="380"/>
      <c r="F59" s="355"/>
      <c r="G59" s="425">
        <f>VLOOKUP(A59,'[1]Tableau (2)'!$A:$E,3,FALSE)</f>
        <v>114.26</v>
      </c>
      <c r="H59" s="425">
        <f>VLOOKUP(A59,'[1]Tableau (2)'!$A:$E,4,FALSE)</f>
        <v>271.5</v>
      </c>
      <c r="I59" s="425">
        <f>VLOOKUP(A59,'[2]Tableau (2)'!$A$4:$D$312,4,FALSE)</f>
        <v>97.55</v>
      </c>
      <c r="J59" s="380"/>
      <c r="K59" s="357"/>
      <c r="L59" s="355"/>
      <c r="M59" s="357">
        <v>8474</v>
      </c>
      <c r="N59" s="358">
        <f t="shared" si="0"/>
        <v>121099.4</v>
      </c>
      <c r="O59" s="34"/>
      <c r="P59" s="34"/>
      <c r="Q59" s="34"/>
      <c r="R59" s="34"/>
      <c r="S59" s="34"/>
      <c r="T59" s="359">
        <f t="shared" si="1"/>
        <v>121099.4</v>
      </c>
      <c r="U59" s="17">
        <v>74</v>
      </c>
      <c r="V59" s="32">
        <v>60</v>
      </c>
      <c r="W59" s="376">
        <v>-17.93</v>
      </c>
      <c r="X59" s="34"/>
      <c r="Y59" s="34">
        <v>0</v>
      </c>
      <c r="Z59" s="34">
        <v>1</v>
      </c>
      <c r="AB59" s="414"/>
      <c r="AC59" s="414"/>
    </row>
    <row r="60" spans="1:29" x14ac:dyDescent="0.25">
      <c r="A60" s="370">
        <v>5489</v>
      </c>
      <c r="B60" s="354" t="s">
        <v>4</v>
      </c>
      <c r="C60" s="34">
        <v>2071625.12</v>
      </c>
      <c r="D60" s="34">
        <v>497485.41</v>
      </c>
      <c r="E60" s="380"/>
      <c r="F60" s="355"/>
      <c r="G60" s="425">
        <f>VLOOKUP(A60,'[1]Tableau (2)'!$A:$E,3,FALSE)</f>
        <v>256482.28</v>
      </c>
      <c r="H60" s="425">
        <f>VLOOKUP(A60,'[1]Tableau (2)'!$A:$E,4,FALSE)</f>
        <v>47798.549999999974</v>
      </c>
      <c r="I60" s="425">
        <f>VLOOKUP(A60,'[2]Tableau (2)'!$A$4:$D$312,4,FALSE)</f>
        <v>48426.2</v>
      </c>
      <c r="J60" s="380"/>
      <c r="K60" s="357">
        <v>39694.85</v>
      </c>
      <c r="L60" s="355">
        <v>5861</v>
      </c>
      <c r="M60" s="357">
        <v>275851.34999999998</v>
      </c>
      <c r="N60" s="358">
        <f t="shared" si="0"/>
        <v>3243224.7600000002</v>
      </c>
      <c r="O60" s="34">
        <v>193594.5</v>
      </c>
      <c r="P60" s="34"/>
      <c r="Q60" s="34">
        <v>28736.400000000001</v>
      </c>
      <c r="R60" s="34">
        <v>5985.85</v>
      </c>
      <c r="S60" s="34">
        <v>168803.9</v>
      </c>
      <c r="T60" s="359">
        <f t="shared" si="1"/>
        <v>3640345.41</v>
      </c>
      <c r="U60" s="17">
        <v>61</v>
      </c>
      <c r="V60" s="32">
        <v>718</v>
      </c>
      <c r="W60" s="376">
        <v>-20474.150000000001</v>
      </c>
      <c r="X60" s="34"/>
      <c r="Y60" s="34">
        <v>-110.62</v>
      </c>
      <c r="Z60" s="34">
        <v>1</v>
      </c>
      <c r="AB60" s="414"/>
      <c r="AC60" s="414"/>
    </row>
    <row r="61" spans="1:29" x14ac:dyDescent="0.25">
      <c r="A61" s="370">
        <v>5490</v>
      </c>
      <c r="B61" s="354" t="s">
        <v>5</v>
      </c>
      <c r="C61" s="34">
        <v>546902.68000000005</v>
      </c>
      <c r="D61" s="34">
        <v>90187.75</v>
      </c>
      <c r="E61" s="380"/>
      <c r="F61" s="355"/>
      <c r="G61" s="425">
        <f>VLOOKUP(A61,'[1]Tableau (2)'!$A:$E,3,FALSE)</f>
        <v>77.34</v>
      </c>
      <c r="H61" s="425">
        <f>VLOOKUP(A61,'[1]Tableau (2)'!$A:$E,4,FALSE)</f>
        <v>356</v>
      </c>
      <c r="I61" s="425">
        <f>VLOOKUP(A61,'[2]Tableau (2)'!$A$4:$D$312,4,FALSE)</f>
        <v>822.65</v>
      </c>
      <c r="J61" s="380"/>
      <c r="K61" s="357">
        <v>2489.36</v>
      </c>
      <c r="L61" s="355"/>
      <c r="M61" s="357">
        <v>41796.449999999997</v>
      </c>
      <c r="N61" s="358">
        <f t="shared" si="0"/>
        <v>682632.23</v>
      </c>
      <c r="O61" s="34"/>
      <c r="P61" s="34"/>
      <c r="Q61" s="34">
        <v>16025.35</v>
      </c>
      <c r="R61" s="34"/>
      <c r="S61" s="34">
        <v>-2822.6</v>
      </c>
      <c r="T61" s="359">
        <f t="shared" si="1"/>
        <v>695834.98</v>
      </c>
      <c r="U61" s="17">
        <v>81</v>
      </c>
      <c r="V61" s="32">
        <v>316</v>
      </c>
      <c r="W61" s="376">
        <v>-20303.77</v>
      </c>
      <c r="X61" s="34"/>
      <c r="Y61" s="34">
        <v>-77.66</v>
      </c>
      <c r="Z61" s="34">
        <v>1</v>
      </c>
      <c r="AB61" s="414"/>
      <c r="AC61" s="414"/>
    </row>
    <row r="62" spans="1:29" x14ac:dyDescent="0.25">
      <c r="A62" s="370">
        <v>5491</v>
      </c>
      <c r="B62" s="354" t="s">
        <v>164</v>
      </c>
      <c r="C62" s="34">
        <v>628317.93000000005</v>
      </c>
      <c r="D62" s="34">
        <v>97394.61</v>
      </c>
      <c r="E62" s="380"/>
      <c r="F62" s="355">
        <v>2210</v>
      </c>
      <c r="G62" s="425">
        <f>VLOOKUP(A62,'[1]Tableau (2)'!$A:$E,3,FALSE)</f>
        <v>855.9</v>
      </c>
      <c r="H62" s="425">
        <f>VLOOKUP(A62,'[1]Tableau (2)'!$A:$E,4,FALSE)</f>
        <v>2093.4000000000005</v>
      </c>
      <c r="I62" s="425">
        <f>VLOOKUP(A62,'[2]Tableau (2)'!$A$4:$D$312,4,FALSE)</f>
        <v>460.45</v>
      </c>
      <c r="J62" s="380"/>
      <c r="K62" s="357">
        <v>10911.39</v>
      </c>
      <c r="L62" s="355">
        <v>518.25</v>
      </c>
      <c r="M62" s="357">
        <v>67375.850000000006</v>
      </c>
      <c r="N62" s="358">
        <f t="shared" si="0"/>
        <v>810137.78</v>
      </c>
      <c r="O62" s="34">
        <v>2655.6</v>
      </c>
      <c r="P62" s="34"/>
      <c r="Q62" s="34">
        <v>33585.199999999997</v>
      </c>
      <c r="R62" s="34">
        <v>270.54000000000002</v>
      </c>
      <c r="S62" s="34">
        <v>12264.35</v>
      </c>
      <c r="T62" s="359">
        <f t="shared" si="1"/>
        <v>858913.47</v>
      </c>
      <c r="U62" s="17">
        <v>76</v>
      </c>
      <c r="V62" s="32">
        <v>417</v>
      </c>
      <c r="W62" s="376">
        <v>-9003.11</v>
      </c>
      <c r="X62" s="34"/>
      <c r="Y62" s="34">
        <v>0</v>
      </c>
      <c r="Z62" s="34">
        <v>1</v>
      </c>
      <c r="AB62" s="414"/>
      <c r="AC62" s="414"/>
    </row>
    <row r="63" spans="1:29" x14ac:dyDescent="0.25">
      <c r="A63" s="370">
        <v>5492</v>
      </c>
      <c r="B63" s="354" t="s">
        <v>165</v>
      </c>
      <c r="C63" s="34">
        <v>6362616.8499999996</v>
      </c>
      <c r="D63" s="34">
        <v>7565181.4699999997</v>
      </c>
      <c r="E63" s="380"/>
      <c r="F63" s="355"/>
      <c r="G63" s="425">
        <f>VLOOKUP(A63,'[1]Tableau (2)'!$A:$E,3,FALSE)</f>
        <v>63660.46</v>
      </c>
      <c r="H63" s="425">
        <f>VLOOKUP(A63,'[1]Tableau (2)'!$A:$E,4,FALSE)</f>
        <v>3404.3999999999978</v>
      </c>
      <c r="I63" s="425">
        <f>VLOOKUP(A63,'[2]Tableau (2)'!$A$4:$D$312,4,FALSE)</f>
        <v>23197.1</v>
      </c>
      <c r="J63" s="380"/>
      <c r="K63" s="357">
        <v>26178.76</v>
      </c>
      <c r="L63" s="355">
        <v>3439.95</v>
      </c>
      <c r="M63" s="357">
        <v>70097</v>
      </c>
      <c r="N63" s="358">
        <f t="shared" si="0"/>
        <v>14117775.99</v>
      </c>
      <c r="O63" s="34">
        <v>3107.05</v>
      </c>
      <c r="P63" s="34">
        <v>105271.8</v>
      </c>
      <c r="Q63" s="34">
        <v>24403.599999999999</v>
      </c>
      <c r="R63" s="34">
        <v>7974.71</v>
      </c>
      <c r="S63" s="34">
        <v>31716.75</v>
      </c>
      <c r="T63" s="359">
        <f t="shared" si="1"/>
        <v>14290249.900000002</v>
      </c>
      <c r="U63" s="17">
        <v>64</v>
      </c>
      <c r="V63" s="32">
        <v>986</v>
      </c>
      <c r="W63" s="376">
        <v>-24262.1</v>
      </c>
      <c r="X63" s="34"/>
      <c r="Y63" s="34">
        <v>-1131.31</v>
      </c>
      <c r="Z63" s="34">
        <v>0.3</v>
      </c>
      <c r="AB63" s="414"/>
      <c r="AC63" s="414"/>
    </row>
    <row r="64" spans="1:29" x14ac:dyDescent="0.25">
      <c r="A64" s="370">
        <v>5493</v>
      </c>
      <c r="B64" s="354" t="s">
        <v>166</v>
      </c>
      <c r="C64" s="34">
        <v>556151.51</v>
      </c>
      <c r="D64" s="34">
        <v>68505.94</v>
      </c>
      <c r="E64" s="380"/>
      <c r="F64" s="355"/>
      <c r="G64" s="425">
        <f>VLOOKUP(A64,'[1]Tableau (2)'!$A:$E,3,FALSE)</f>
        <v>1386.88</v>
      </c>
      <c r="H64" s="425">
        <f>VLOOKUP(A64,'[1]Tableau (2)'!$A:$E,4,FALSE)</f>
        <v>814.59999999999968</v>
      </c>
      <c r="I64" s="425">
        <f>VLOOKUP(A64,'[2]Tableau (2)'!$A$4:$D$312,4,FALSE)</f>
        <v>744</v>
      </c>
      <c r="J64" s="380"/>
      <c r="K64" s="357">
        <v>30811.8</v>
      </c>
      <c r="L64" s="355">
        <v>133.75</v>
      </c>
      <c r="M64" s="357">
        <v>35468.949999999997</v>
      </c>
      <c r="N64" s="358">
        <f t="shared" si="0"/>
        <v>694017.42999999993</v>
      </c>
      <c r="O64" s="34">
        <v>65376.6</v>
      </c>
      <c r="P64" s="34">
        <v>65378.6</v>
      </c>
      <c r="Q64" s="34">
        <v>3014</v>
      </c>
      <c r="R64" s="34">
        <v>33149.67</v>
      </c>
      <c r="S64" s="34">
        <v>3261.65</v>
      </c>
      <c r="T64" s="359">
        <f t="shared" si="1"/>
        <v>864197.95</v>
      </c>
      <c r="U64" s="17">
        <v>73</v>
      </c>
      <c r="V64" s="32">
        <v>356</v>
      </c>
      <c r="W64" s="376">
        <v>-23831.54</v>
      </c>
      <c r="X64" s="34"/>
      <c r="Y64" s="34">
        <v>0</v>
      </c>
      <c r="Z64" s="34">
        <v>0.65</v>
      </c>
      <c r="AB64" s="414"/>
      <c r="AC64" s="414"/>
    </row>
    <row r="65" spans="1:29" x14ac:dyDescent="0.25">
      <c r="A65" s="370">
        <v>5494</v>
      </c>
      <c r="B65" s="354" t="s">
        <v>167</v>
      </c>
      <c r="C65" s="34">
        <v>2264849.9500000002</v>
      </c>
      <c r="D65" s="34">
        <v>229148.99</v>
      </c>
      <c r="E65" s="380"/>
      <c r="F65" s="355"/>
      <c r="G65" s="425">
        <f>VLOOKUP(A65,'[1]Tableau (2)'!$A:$E,3,FALSE)</f>
        <v>18919.8</v>
      </c>
      <c r="H65" s="425">
        <f>VLOOKUP(A65,'[1]Tableau (2)'!$A:$E,4,FALSE)</f>
        <v>2322.4</v>
      </c>
      <c r="I65" s="425">
        <f>VLOOKUP(A65,'[2]Tableau (2)'!$A$4:$D$312,4,FALSE)</f>
        <v>6355.55</v>
      </c>
      <c r="J65" s="380"/>
      <c r="K65" s="357">
        <v>76473.31</v>
      </c>
      <c r="L65" s="355">
        <v>1185.6500000000001</v>
      </c>
      <c r="M65" s="357">
        <v>225037.25</v>
      </c>
      <c r="N65" s="358">
        <f t="shared" si="0"/>
        <v>2824292.9</v>
      </c>
      <c r="O65" s="34">
        <v>37615.550000000003</v>
      </c>
      <c r="P65" s="34"/>
      <c r="Q65" s="34">
        <v>33154</v>
      </c>
      <c r="R65" s="34">
        <v>14133.46</v>
      </c>
      <c r="S65" s="34">
        <v>3585.65</v>
      </c>
      <c r="T65" s="359">
        <f t="shared" si="1"/>
        <v>2912781.5599999996</v>
      </c>
      <c r="U65" s="17">
        <v>75</v>
      </c>
      <c r="V65" s="32">
        <v>1124</v>
      </c>
      <c r="W65" s="376">
        <v>-52673.67</v>
      </c>
      <c r="X65" s="34"/>
      <c r="Y65" s="34">
        <v>-158.27000000000001</v>
      </c>
      <c r="Z65" s="34">
        <v>1.05</v>
      </c>
      <c r="AB65" s="414"/>
      <c r="AC65" s="414"/>
    </row>
    <row r="66" spans="1:29" x14ac:dyDescent="0.25">
      <c r="A66" s="370">
        <v>5495</v>
      </c>
      <c r="B66" s="354" t="s">
        <v>168</v>
      </c>
      <c r="C66" s="34">
        <v>5453611.0800000001</v>
      </c>
      <c r="D66" s="34">
        <v>519184.46</v>
      </c>
      <c r="E66" s="380"/>
      <c r="F66" s="355"/>
      <c r="G66" s="425">
        <f>VLOOKUP(A66,'[1]Tableau (2)'!$A:$E,3,FALSE)</f>
        <v>70244.61</v>
      </c>
      <c r="H66" s="425">
        <f>VLOOKUP(A66,'[1]Tableau (2)'!$A:$E,4,FALSE)</f>
        <v>-571.04999999999745</v>
      </c>
      <c r="I66" s="425">
        <f>VLOOKUP(A66,'[2]Tableau (2)'!$A$4:$D$312,4,FALSE)</f>
        <v>35569.199999999997</v>
      </c>
      <c r="J66" s="380">
        <v>77536.600000000006</v>
      </c>
      <c r="K66" s="357">
        <v>214964.94</v>
      </c>
      <c r="L66" s="355">
        <v>89743</v>
      </c>
      <c r="M66" s="357">
        <v>494298.95</v>
      </c>
      <c r="N66" s="358">
        <f t="shared" si="0"/>
        <v>6954581.790000001</v>
      </c>
      <c r="O66" s="34">
        <v>175056.8</v>
      </c>
      <c r="P66" s="34">
        <v>159664.35</v>
      </c>
      <c r="Q66" s="34">
        <v>323392.75</v>
      </c>
      <c r="R66" s="34">
        <v>41109.46</v>
      </c>
      <c r="S66" s="34">
        <v>170764.65</v>
      </c>
      <c r="T66" s="359">
        <f t="shared" si="1"/>
        <v>7824569.8000000007</v>
      </c>
      <c r="U66" s="17">
        <v>74</v>
      </c>
      <c r="V66" s="32">
        <v>3282</v>
      </c>
      <c r="W66" s="376">
        <v>-123470.05</v>
      </c>
      <c r="X66" s="34"/>
      <c r="Y66" s="34">
        <v>-201.39</v>
      </c>
      <c r="Z66" s="34">
        <v>1</v>
      </c>
      <c r="AB66" s="414"/>
      <c r="AC66" s="414"/>
    </row>
    <row r="67" spans="1:29" x14ac:dyDescent="0.25">
      <c r="A67" s="370">
        <v>5496</v>
      </c>
      <c r="B67" s="354" t="s">
        <v>169</v>
      </c>
      <c r="C67" s="34">
        <v>3158739.98</v>
      </c>
      <c r="D67" s="34">
        <v>322153.09000000003</v>
      </c>
      <c r="E67" s="380"/>
      <c r="F67" s="355"/>
      <c r="G67" s="425">
        <f>VLOOKUP(A67,'[1]Tableau (2)'!$A:$E,3,FALSE)</f>
        <v>58714.239999999998</v>
      </c>
      <c r="H67" s="425">
        <f>VLOOKUP(A67,'[1]Tableau (2)'!$A:$E,4,FALSE)</f>
        <v>18478.400000000009</v>
      </c>
      <c r="I67" s="425">
        <f>VLOOKUP(A67,'[2]Tableau (2)'!$A$4:$D$312,4,FALSE)</f>
        <v>23081.1</v>
      </c>
      <c r="J67" s="380"/>
      <c r="K67" s="357">
        <v>67680.22</v>
      </c>
      <c r="L67" s="355">
        <v>14584.2</v>
      </c>
      <c r="M67" s="357">
        <v>294067.7</v>
      </c>
      <c r="N67" s="358">
        <f t="shared" si="0"/>
        <v>3957498.9300000006</v>
      </c>
      <c r="O67" s="34">
        <v>97292.1</v>
      </c>
      <c r="P67" s="34"/>
      <c r="Q67" s="34">
        <v>169655.55</v>
      </c>
      <c r="R67" s="34">
        <v>1882.93</v>
      </c>
      <c r="S67" s="34">
        <v>62488.3</v>
      </c>
      <c r="T67" s="359">
        <f t="shared" si="1"/>
        <v>4288817.8100000005</v>
      </c>
      <c r="U67" s="17">
        <v>71</v>
      </c>
      <c r="V67" s="32">
        <v>1726</v>
      </c>
      <c r="W67" s="376">
        <v>-66456.3</v>
      </c>
      <c r="X67" s="34"/>
      <c r="Y67" s="34">
        <v>-361.15</v>
      </c>
      <c r="Z67" s="34">
        <v>1</v>
      </c>
      <c r="AB67" s="414"/>
      <c r="AC67" s="414"/>
    </row>
    <row r="68" spans="1:29" x14ac:dyDescent="0.25">
      <c r="A68" s="370">
        <v>5497</v>
      </c>
      <c r="B68" s="354" t="s">
        <v>170</v>
      </c>
      <c r="C68" s="34">
        <v>1143312.6499999999</v>
      </c>
      <c r="D68" s="34">
        <v>121544.07</v>
      </c>
      <c r="E68" s="380"/>
      <c r="F68" s="355"/>
      <c r="G68" s="425">
        <f>VLOOKUP(A68,'[1]Tableau (2)'!$A:$E,3,FALSE)</f>
        <v>3595.62</v>
      </c>
      <c r="H68" s="425">
        <f>VLOOKUP(A68,'[1]Tableau (2)'!$A:$E,4,FALSE)</f>
        <v>569.79999999999995</v>
      </c>
      <c r="I68" s="425">
        <f>VLOOKUP(A68,'[2]Tableau (2)'!$A$4:$D$312,4,FALSE)</f>
        <v>1594.3</v>
      </c>
      <c r="J68" s="380"/>
      <c r="K68" s="357">
        <v>61393.86</v>
      </c>
      <c r="L68" s="355">
        <v>3137</v>
      </c>
      <c r="M68" s="357">
        <v>112734.1</v>
      </c>
      <c r="N68" s="358">
        <f t="shared" si="0"/>
        <v>1447881.4000000004</v>
      </c>
      <c r="O68" s="34">
        <v>241839.6</v>
      </c>
      <c r="P68" s="34">
        <v>219813.1</v>
      </c>
      <c r="Q68" s="34">
        <v>102092.1</v>
      </c>
      <c r="R68" s="34">
        <v>1962.3</v>
      </c>
      <c r="S68" s="34">
        <v>36343.199999999997</v>
      </c>
      <c r="T68" s="359">
        <f t="shared" si="1"/>
        <v>2049931.7000000007</v>
      </c>
      <c r="U68" s="17">
        <v>66</v>
      </c>
      <c r="V68" s="32">
        <v>854</v>
      </c>
      <c r="W68" s="376">
        <v>-16392.759999999998</v>
      </c>
      <c r="X68" s="34"/>
      <c r="Y68" s="34">
        <v>-3.03</v>
      </c>
      <c r="Z68" s="34">
        <v>1</v>
      </c>
      <c r="AB68" s="414"/>
      <c r="AC68" s="414"/>
    </row>
    <row r="69" spans="1:29" x14ac:dyDescent="0.25">
      <c r="A69" s="370">
        <v>5498</v>
      </c>
      <c r="B69" s="354" t="s">
        <v>171</v>
      </c>
      <c r="C69" s="34">
        <v>3766288.17</v>
      </c>
      <c r="D69" s="34">
        <v>408426.47</v>
      </c>
      <c r="E69" s="380"/>
      <c r="F69" s="355"/>
      <c r="G69" s="425">
        <f>VLOOKUP(A69,'[1]Tableau (2)'!$A:$E,3,FALSE)</f>
        <v>72882.87</v>
      </c>
      <c r="H69" s="425">
        <f>VLOOKUP(A69,'[1]Tableau (2)'!$A:$E,4,FALSE)</f>
        <v>1761.099999999999</v>
      </c>
      <c r="I69" s="425">
        <f>VLOOKUP(A69,'[2]Tableau (2)'!$A$4:$D$312,4,FALSE)</f>
        <v>24219.8</v>
      </c>
      <c r="J69" s="380"/>
      <c r="K69" s="357">
        <v>97882.77</v>
      </c>
      <c r="L69" s="355">
        <v>11990.15</v>
      </c>
      <c r="M69" s="357">
        <v>380916.05</v>
      </c>
      <c r="N69" s="358">
        <f t="shared" si="0"/>
        <v>4764367.379999999</v>
      </c>
      <c r="O69" s="34">
        <v>66652.55</v>
      </c>
      <c r="P69" s="34">
        <v>493460.3</v>
      </c>
      <c r="Q69" s="34">
        <v>226173.75</v>
      </c>
      <c r="R69" s="34">
        <v>60865.43</v>
      </c>
      <c r="S69" s="34">
        <v>103377.75</v>
      </c>
      <c r="T69" s="359">
        <f t="shared" si="1"/>
        <v>5714897.1599999983</v>
      </c>
      <c r="U69" s="17">
        <v>66</v>
      </c>
      <c r="V69" s="32">
        <v>2609</v>
      </c>
      <c r="W69" s="376">
        <v>-144753.57</v>
      </c>
      <c r="X69" s="34"/>
      <c r="Y69" s="34">
        <v>-118.26</v>
      </c>
      <c r="Z69" s="34">
        <v>1</v>
      </c>
      <c r="AB69" s="414"/>
      <c r="AC69" s="414"/>
    </row>
    <row r="70" spans="1:29" x14ac:dyDescent="0.25">
      <c r="A70" s="370">
        <v>5499</v>
      </c>
      <c r="B70" s="354" t="s">
        <v>172</v>
      </c>
      <c r="C70" s="34">
        <v>1119060.27</v>
      </c>
      <c r="D70" s="34">
        <v>129970.77</v>
      </c>
      <c r="E70" s="380"/>
      <c r="F70" s="355"/>
      <c r="G70" s="425">
        <f>VLOOKUP(A70,'[1]Tableau (2)'!$A:$E,3,FALSE)</f>
        <v>8467.48</v>
      </c>
      <c r="H70" s="425">
        <f>VLOOKUP(A70,'[1]Tableau (2)'!$A:$E,4,FALSE)</f>
        <v>1140.1500000000001</v>
      </c>
      <c r="I70" s="425">
        <f>VLOOKUP(A70,'[2]Tableau (2)'!$A$4:$D$312,4,FALSE)</f>
        <v>3393.85</v>
      </c>
      <c r="J70" s="380"/>
      <c r="K70" s="357">
        <v>29859.84</v>
      </c>
      <c r="L70" s="355"/>
      <c r="M70" s="357">
        <v>89021.8</v>
      </c>
      <c r="N70" s="358">
        <f t="shared" si="0"/>
        <v>1380914.1600000001</v>
      </c>
      <c r="O70" s="34">
        <v>17109.55</v>
      </c>
      <c r="P70" s="34">
        <v>219402.3</v>
      </c>
      <c r="Q70" s="34">
        <v>91685</v>
      </c>
      <c r="R70" s="34">
        <v>628.92999999999995</v>
      </c>
      <c r="S70" s="34">
        <v>33533.300000000003</v>
      </c>
      <c r="T70" s="359">
        <f t="shared" si="1"/>
        <v>1743273.2400000002</v>
      </c>
      <c r="U70" s="17">
        <v>68.5</v>
      </c>
      <c r="V70" s="32">
        <v>505</v>
      </c>
      <c r="W70" s="376">
        <v>-731.73</v>
      </c>
      <c r="X70" s="34"/>
      <c r="Y70" s="34">
        <v>-187.15</v>
      </c>
      <c r="Z70" s="34">
        <v>1</v>
      </c>
      <c r="AB70" s="414"/>
      <c r="AC70" s="414"/>
    </row>
    <row r="71" spans="1:29" x14ac:dyDescent="0.25">
      <c r="A71" s="370">
        <v>5500</v>
      </c>
      <c r="B71" s="354" t="s">
        <v>173</v>
      </c>
      <c r="C71" s="34">
        <v>468653.12</v>
      </c>
      <c r="D71" s="34">
        <v>156533.9</v>
      </c>
      <c r="E71" s="380"/>
      <c r="F71" s="355"/>
      <c r="G71" s="425">
        <f>VLOOKUP(A71,'[1]Tableau (2)'!$A:$E,3,FALSE)</f>
        <v>2227.77</v>
      </c>
      <c r="H71" s="425">
        <f>VLOOKUP(A71,'[1]Tableau (2)'!$A:$E,4,FALSE)</f>
        <v>578.5</v>
      </c>
      <c r="I71" s="425">
        <f>VLOOKUP(A71,'[2]Tableau (2)'!$A$4:$D$312,4,FALSE)</f>
        <v>721.35</v>
      </c>
      <c r="J71" s="380"/>
      <c r="K71" s="357">
        <v>1890.95</v>
      </c>
      <c r="L71" s="355">
        <v>153.94999999999999</v>
      </c>
      <c r="M71" s="357">
        <v>48305.3</v>
      </c>
      <c r="N71" s="358">
        <f t="shared" ref="N71:N134" si="2">SUM(C71:M71)</f>
        <v>679064.84</v>
      </c>
      <c r="O71" s="34">
        <v>3276.4</v>
      </c>
      <c r="P71" s="34"/>
      <c r="Q71" s="34">
        <v>20207</v>
      </c>
      <c r="R71" s="34">
        <v>5209.04</v>
      </c>
      <c r="S71" s="34">
        <v>10649.25</v>
      </c>
      <c r="T71" s="359">
        <f t="shared" ref="T71:T134" si="3">SUM(N71:S71)</f>
        <v>718406.53</v>
      </c>
      <c r="U71" s="17">
        <v>75</v>
      </c>
      <c r="V71" s="32">
        <v>233</v>
      </c>
      <c r="W71" s="376">
        <v>-3626.87</v>
      </c>
      <c r="X71" s="34"/>
      <c r="Y71" s="34">
        <v>-2785.17</v>
      </c>
      <c r="Z71" s="34">
        <v>1.2</v>
      </c>
      <c r="AB71" s="414"/>
      <c r="AC71" s="414"/>
    </row>
    <row r="72" spans="1:29" x14ac:dyDescent="0.25">
      <c r="A72" s="370">
        <v>5501</v>
      </c>
      <c r="B72" s="354" t="s">
        <v>174</v>
      </c>
      <c r="C72" s="34">
        <v>1799291.37</v>
      </c>
      <c r="D72" s="34">
        <v>289998.55</v>
      </c>
      <c r="E72" s="380"/>
      <c r="F72" s="355"/>
      <c r="G72" s="425">
        <f>VLOOKUP(A72,'[1]Tableau (2)'!$A:$E,3,FALSE)</f>
        <v>21732.49</v>
      </c>
      <c r="H72" s="425">
        <f>VLOOKUP(A72,'[1]Tableau (2)'!$A:$E,4,FALSE)</f>
        <v>1608.9</v>
      </c>
      <c r="I72" s="425">
        <f>VLOOKUP(A72,'[2]Tableau (2)'!$A$4:$D$312,4,FALSE)</f>
        <v>5392.65</v>
      </c>
      <c r="J72" s="380">
        <v>38474.65</v>
      </c>
      <c r="K72" s="357">
        <v>46297.19</v>
      </c>
      <c r="L72" s="355"/>
      <c r="M72" s="357">
        <v>209166.45</v>
      </c>
      <c r="N72" s="358">
        <f t="shared" si="2"/>
        <v>2411962.25</v>
      </c>
      <c r="O72" s="34">
        <v>62.3</v>
      </c>
      <c r="P72" s="34">
        <v>19752.2</v>
      </c>
      <c r="Q72" s="34">
        <v>72985</v>
      </c>
      <c r="R72" s="34">
        <v>-1881.88</v>
      </c>
      <c r="S72" s="34">
        <v>88206.85</v>
      </c>
      <c r="T72" s="359">
        <f t="shared" si="3"/>
        <v>2591086.7200000002</v>
      </c>
      <c r="U72" s="17">
        <v>70</v>
      </c>
      <c r="V72" s="32">
        <v>1005</v>
      </c>
      <c r="W72" s="376">
        <v>-13526.11</v>
      </c>
      <c r="X72" s="34"/>
      <c r="Y72" s="34">
        <v>-738.64</v>
      </c>
      <c r="Z72" s="34">
        <v>1</v>
      </c>
      <c r="AB72" s="414"/>
      <c r="AC72" s="414"/>
    </row>
    <row r="73" spans="1:29" x14ac:dyDescent="0.25">
      <c r="A73" s="370">
        <v>5503</v>
      </c>
      <c r="B73" s="354" t="s">
        <v>175</v>
      </c>
      <c r="C73" s="34">
        <v>2969120.44</v>
      </c>
      <c r="D73" s="34">
        <v>486087.66</v>
      </c>
      <c r="E73" s="380"/>
      <c r="F73" s="355"/>
      <c r="G73" s="425">
        <f>VLOOKUP(A73,'[1]Tableau (2)'!$A:$E,3,FALSE)</f>
        <v>335351.82</v>
      </c>
      <c r="H73" s="425">
        <f>VLOOKUP(A73,'[1]Tableau (2)'!$A:$E,4,FALSE)</f>
        <v>-10321.000000000005</v>
      </c>
      <c r="I73" s="425">
        <f>VLOOKUP(A73,'[2]Tableau (2)'!$A$4:$D$312,4,FALSE)</f>
        <v>76519.850000000006</v>
      </c>
      <c r="J73" s="380"/>
      <c r="K73" s="357">
        <v>128569.27</v>
      </c>
      <c r="L73" s="355">
        <v>-6136.15</v>
      </c>
      <c r="M73" s="357">
        <v>399597.7</v>
      </c>
      <c r="N73" s="358">
        <f t="shared" si="2"/>
        <v>4378789.59</v>
      </c>
      <c r="O73" s="34">
        <v>101099.1</v>
      </c>
      <c r="P73" s="34">
        <v>3019</v>
      </c>
      <c r="Q73" s="34">
        <v>77268.3</v>
      </c>
      <c r="R73" s="34">
        <v>13016.97</v>
      </c>
      <c r="S73" s="34">
        <v>144206.95000000001</v>
      </c>
      <c r="T73" s="359">
        <f t="shared" si="3"/>
        <v>4717399.9099999992</v>
      </c>
      <c r="U73" s="17">
        <v>67</v>
      </c>
      <c r="V73" s="32">
        <v>1284</v>
      </c>
      <c r="W73" s="376">
        <v>-2473.87</v>
      </c>
      <c r="X73" s="34"/>
      <c r="Y73" s="34">
        <v>-148.18</v>
      </c>
      <c r="Z73" s="34">
        <v>1.2</v>
      </c>
      <c r="AB73" s="414"/>
      <c r="AC73" s="414"/>
    </row>
    <row r="74" spans="1:29" x14ac:dyDescent="0.25">
      <c r="A74" s="370">
        <v>5511</v>
      </c>
      <c r="B74" s="354" t="s">
        <v>176</v>
      </c>
      <c r="C74" s="34">
        <v>2679710.31</v>
      </c>
      <c r="D74" s="34">
        <v>298995.09999999998</v>
      </c>
      <c r="E74" s="380"/>
      <c r="F74" s="355"/>
      <c r="G74" s="425">
        <f>VLOOKUP(A74,'[1]Tableau (2)'!$A:$E,3,FALSE)</f>
        <v>130748.68</v>
      </c>
      <c r="H74" s="425">
        <f>VLOOKUP(A74,'[1]Tableau (2)'!$A:$E,4,FALSE)</f>
        <v>1693.7999999999995</v>
      </c>
      <c r="I74" s="425">
        <f>VLOOKUP(A74,'[2]Tableau (2)'!$A$4:$D$312,4,FALSE)</f>
        <v>52870.55</v>
      </c>
      <c r="J74" s="380"/>
      <c r="K74" s="357">
        <v>16704.32</v>
      </c>
      <c r="L74" s="355">
        <v>775.3</v>
      </c>
      <c r="M74" s="357">
        <v>222168.85</v>
      </c>
      <c r="N74" s="358">
        <f t="shared" si="2"/>
        <v>3403666.9099999997</v>
      </c>
      <c r="O74" s="34">
        <v>15581.15</v>
      </c>
      <c r="P74" s="34"/>
      <c r="Q74" s="34">
        <v>54389.5</v>
      </c>
      <c r="R74" s="34"/>
      <c r="S74" s="34">
        <v>25055.599999999999</v>
      </c>
      <c r="T74" s="359">
        <f t="shared" si="3"/>
        <v>3498693.1599999997</v>
      </c>
      <c r="U74" s="17">
        <v>70</v>
      </c>
      <c r="V74" s="32">
        <v>1070</v>
      </c>
      <c r="W74" s="376">
        <v>-27752.29</v>
      </c>
      <c r="X74" s="34"/>
      <c r="Y74" s="34">
        <v>-10194.09</v>
      </c>
      <c r="Z74" s="34">
        <v>1</v>
      </c>
      <c r="AB74" s="414"/>
      <c r="AC74" s="414"/>
    </row>
    <row r="75" spans="1:29" x14ac:dyDescent="0.25">
      <c r="A75" s="370">
        <v>5512</v>
      </c>
      <c r="B75" s="354" t="s">
        <v>177</v>
      </c>
      <c r="C75" s="34">
        <v>2236364.15</v>
      </c>
      <c r="D75" s="34">
        <v>392212.08</v>
      </c>
      <c r="E75" s="380"/>
      <c r="F75" s="355"/>
      <c r="G75" s="425">
        <f>VLOOKUP(A75,'[1]Tableau (2)'!$A:$E,3,FALSE)</f>
        <v>57902.63</v>
      </c>
      <c r="H75" s="425">
        <f>VLOOKUP(A75,'[1]Tableau (2)'!$A:$E,4,FALSE)</f>
        <v>1042.8999999999999</v>
      </c>
      <c r="I75" s="425">
        <f>VLOOKUP(A75,'[2]Tableau (2)'!$A$4:$D$312,4,FALSE)</f>
        <v>8235.6</v>
      </c>
      <c r="J75" s="380"/>
      <c r="K75" s="357">
        <v>66454.080000000002</v>
      </c>
      <c r="L75" s="355">
        <v>-21.6999999999998</v>
      </c>
      <c r="M75" s="357">
        <v>229385.05</v>
      </c>
      <c r="N75" s="358">
        <f t="shared" si="2"/>
        <v>2991574.7899999996</v>
      </c>
      <c r="O75" s="34">
        <v>24678.6</v>
      </c>
      <c r="P75" s="34">
        <v>82469.5</v>
      </c>
      <c r="Q75" s="34">
        <v>78988.850000000006</v>
      </c>
      <c r="R75" s="34">
        <v>14432.19</v>
      </c>
      <c r="S75" s="34">
        <v>63480.2</v>
      </c>
      <c r="T75" s="359">
        <f t="shared" si="3"/>
        <v>3255624.13</v>
      </c>
      <c r="U75" s="17">
        <v>79</v>
      </c>
      <c r="V75" s="32">
        <v>1221</v>
      </c>
      <c r="W75" s="376">
        <v>-41053.599999999999</v>
      </c>
      <c r="X75" s="34"/>
      <c r="Y75" s="34">
        <v>-103.69</v>
      </c>
      <c r="Z75" s="34">
        <v>1</v>
      </c>
      <c r="AB75" s="414"/>
      <c r="AC75" s="414"/>
    </row>
    <row r="76" spans="1:29" x14ac:dyDescent="0.25">
      <c r="A76" s="370">
        <v>5513</v>
      </c>
      <c r="B76" s="354" t="s">
        <v>178</v>
      </c>
      <c r="C76" s="34">
        <v>887890.48</v>
      </c>
      <c r="D76" s="34">
        <v>82286.5</v>
      </c>
      <c r="E76" s="380"/>
      <c r="F76" s="355"/>
      <c r="G76" s="425">
        <f>VLOOKUP(A76,'[1]Tableau (2)'!$A:$E,3,FALSE)</f>
        <v>198928.68</v>
      </c>
      <c r="H76" s="425">
        <f>VLOOKUP(A76,'[1]Tableau (2)'!$A:$E,4,FALSE)</f>
        <v>21339.299999999996</v>
      </c>
      <c r="I76" s="425">
        <f>VLOOKUP(A76,'[2]Tableau (2)'!$A$4:$D$312,4,FALSE)</f>
        <v>78738.75</v>
      </c>
      <c r="J76" s="380"/>
      <c r="K76" s="357">
        <v>57238.25</v>
      </c>
      <c r="L76" s="355">
        <v>367</v>
      </c>
      <c r="M76" s="357">
        <v>51871.199999999997</v>
      </c>
      <c r="N76" s="358">
        <f t="shared" si="2"/>
        <v>1378660.16</v>
      </c>
      <c r="O76" s="34">
        <v>94419.55</v>
      </c>
      <c r="P76" s="34">
        <v>266532.7</v>
      </c>
      <c r="Q76" s="34">
        <v>69124</v>
      </c>
      <c r="R76" s="34">
        <v>2822.24</v>
      </c>
      <c r="S76" s="34">
        <v>35135.85</v>
      </c>
      <c r="T76" s="359">
        <f t="shared" si="3"/>
        <v>1846694.5</v>
      </c>
      <c r="U76" s="17">
        <v>68</v>
      </c>
      <c r="V76" s="32">
        <v>499</v>
      </c>
      <c r="W76" s="376">
        <v>-2253.0100000000002</v>
      </c>
      <c r="X76" s="34"/>
      <c r="Y76" s="34">
        <v>-0.03</v>
      </c>
      <c r="Z76" s="34">
        <v>0.5</v>
      </c>
      <c r="AB76" s="414"/>
      <c r="AC76" s="414"/>
    </row>
    <row r="77" spans="1:29" x14ac:dyDescent="0.25">
      <c r="A77" s="370">
        <v>5514</v>
      </c>
      <c r="B77" s="354" t="s">
        <v>179</v>
      </c>
      <c r="C77" s="34">
        <v>2227455.5499999998</v>
      </c>
      <c r="D77" s="34">
        <v>261672.98</v>
      </c>
      <c r="E77" s="380"/>
      <c r="F77" s="355"/>
      <c r="G77" s="425">
        <f>VLOOKUP(A77,'[1]Tableau (2)'!$A:$E,3,FALSE)</f>
        <v>12777.21</v>
      </c>
      <c r="H77" s="425">
        <f>VLOOKUP(A77,'[1]Tableau (2)'!$A:$E,4,FALSE)</f>
        <v>7935.9500000000007</v>
      </c>
      <c r="I77" s="425">
        <f>VLOOKUP(A77,'[2]Tableau (2)'!$A$4:$D$312,4,FALSE)</f>
        <v>5033.3999999999996</v>
      </c>
      <c r="J77" s="380">
        <v>34069.5</v>
      </c>
      <c r="K77" s="357">
        <v>74958.11</v>
      </c>
      <c r="L77" s="355">
        <v>6533</v>
      </c>
      <c r="M77" s="357">
        <v>208983.95</v>
      </c>
      <c r="N77" s="358">
        <f t="shared" si="2"/>
        <v>2839419.65</v>
      </c>
      <c r="O77" s="34">
        <v>8743.1</v>
      </c>
      <c r="P77" s="34">
        <v>34382.5</v>
      </c>
      <c r="Q77" s="34">
        <v>41746.199999999997</v>
      </c>
      <c r="R77" s="34">
        <v>2673.4</v>
      </c>
      <c r="S77" s="34">
        <v>43207.35</v>
      </c>
      <c r="T77" s="359">
        <f t="shared" si="3"/>
        <v>2970172.2</v>
      </c>
      <c r="U77" s="17">
        <v>69</v>
      </c>
      <c r="V77" s="32">
        <v>1263</v>
      </c>
      <c r="W77" s="376">
        <v>-19074.3</v>
      </c>
      <c r="X77" s="34"/>
      <c r="Y77" s="34">
        <v>-24.26</v>
      </c>
      <c r="Z77" s="34">
        <v>1</v>
      </c>
      <c r="AB77" s="414"/>
      <c r="AC77" s="414"/>
    </row>
    <row r="78" spans="1:29" x14ac:dyDescent="0.25">
      <c r="A78" s="370">
        <v>5515</v>
      </c>
      <c r="B78" s="354" t="s">
        <v>180</v>
      </c>
      <c r="C78" s="34">
        <v>1641742.04</v>
      </c>
      <c r="D78" s="34">
        <v>157435.64000000001</v>
      </c>
      <c r="E78" s="380"/>
      <c r="F78" s="355"/>
      <c r="G78" s="425">
        <f>VLOOKUP(A78,'[1]Tableau (2)'!$A:$E,3,FALSE)</f>
        <v>4085.71</v>
      </c>
      <c r="H78" s="425">
        <f>VLOOKUP(A78,'[1]Tableau (2)'!$A:$E,4,FALSE)</f>
        <v>299.5</v>
      </c>
      <c r="I78" s="425">
        <f>VLOOKUP(A78,'[2]Tableau (2)'!$A$4:$D$312,4,FALSE)</f>
        <v>1307.8</v>
      </c>
      <c r="J78" s="380"/>
      <c r="K78" s="357">
        <v>70431.5</v>
      </c>
      <c r="L78" s="355">
        <v>2000.55</v>
      </c>
      <c r="M78" s="357">
        <v>147887.15</v>
      </c>
      <c r="N78" s="358">
        <f t="shared" si="2"/>
        <v>2025189.8900000001</v>
      </c>
      <c r="O78" s="34">
        <v>9818.5</v>
      </c>
      <c r="P78" s="34"/>
      <c r="Q78" s="34">
        <v>77005.45</v>
      </c>
      <c r="R78" s="34"/>
      <c r="S78" s="34">
        <v>28531.7</v>
      </c>
      <c r="T78" s="359">
        <f t="shared" si="3"/>
        <v>2140545.5400000005</v>
      </c>
      <c r="U78" s="17">
        <v>73</v>
      </c>
      <c r="V78" s="32">
        <v>825</v>
      </c>
      <c r="W78" s="376">
        <v>-1885.34</v>
      </c>
      <c r="X78" s="34">
        <v>-1684.5</v>
      </c>
      <c r="Y78" s="34">
        <v>0</v>
      </c>
      <c r="Z78" s="34">
        <v>1</v>
      </c>
      <c r="AB78" s="414"/>
      <c r="AC78" s="414"/>
    </row>
    <row r="79" spans="1:29" x14ac:dyDescent="0.25">
      <c r="A79" s="370">
        <v>5516</v>
      </c>
      <c r="B79" s="354" t="s">
        <v>181</v>
      </c>
      <c r="C79" s="34">
        <v>5968787.6799999997</v>
      </c>
      <c r="D79" s="34">
        <v>923622.76</v>
      </c>
      <c r="E79" s="380"/>
      <c r="F79" s="355"/>
      <c r="G79" s="425">
        <f>VLOOKUP(A79,'[1]Tableau (2)'!$A:$E,3,FALSE)</f>
        <v>112082.26</v>
      </c>
      <c r="H79" s="425">
        <f>VLOOKUP(A79,'[1]Tableau (2)'!$A:$E,4,FALSE)</f>
        <v>4580.3500000000031</v>
      </c>
      <c r="I79" s="425">
        <f>VLOOKUP(A79,'[2]Tableau (2)'!$A$4:$D$312,4,FALSE)</f>
        <v>35654.35</v>
      </c>
      <c r="J79" s="380">
        <v>804.55</v>
      </c>
      <c r="K79" s="357">
        <v>129530.09</v>
      </c>
      <c r="L79" s="355">
        <v>24513.4</v>
      </c>
      <c r="M79" s="357">
        <v>551009.1</v>
      </c>
      <c r="N79" s="358">
        <f t="shared" si="2"/>
        <v>7750584.5399999982</v>
      </c>
      <c r="O79" s="34">
        <v>100206.7</v>
      </c>
      <c r="P79" s="34">
        <v>97960.9</v>
      </c>
      <c r="Q79" s="34">
        <v>201189.5</v>
      </c>
      <c r="R79" s="34">
        <v>11379.02</v>
      </c>
      <c r="S79" s="34">
        <v>252965.2</v>
      </c>
      <c r="T79" s="359">
        <f t="shared" si="3"/>
        <v>8414285.8599999975</v>
      </c>
      <c r="U79" s="17">
        <v>70</v>
      </c>
      <c r="V79" s="32">
        <v>2744</v>
      </c>
      <c r="W79" s="376">
        <v>-59831.1</v>
      </c>
      <c r="X79" s="34"/>
      <c r="Y79" s="34">
        <v>-845.74</v>
      </c>
      <c r="Z79" s="34">
        <v>1</v>
      </c>
      <c r="AB79" s="414"/>
      <c r="AC79" s="414"/>
    </row>
    <row r="80" spans="1:29" x14ac:dyDescent="0.25">
      <c r="A80" s="370">
        <v>5518</v>
      </c>
      <c r="B80" s="354" t="s">
        <v>182</v>
      </c>
      <c r="C80" s="34">
        <v>10330995.470000001</v>
      </c>
      <c r="D80" s="34">
        <v>1249873.3600000001</v>
      </c>
      <c r="E80" s="380"/>
      <c r="F80" s="355"/>
      <c r="G80" s="425">
        <f>VLOOKUP(A80,'[1]Tableau (2)'!$A:$E,3,FALSE)</f>
        <v>672363.99</v>
      </c>
      <c r="H80" s="425">
        <f>VLOOKUP(A80,'[1]Tableau (2)'!$A:$E,4,FALSE)</f>
        <v>87133.400000000038</v>
      </c>
      <c r="I80" s="425">
        <f>VLOOKUP(A80,'[2]Tableau (2)'!$A$4:$D$312,4,FALSE)</f>
        <v>217470.15</v>
      </c>
      <c r="J80" s="380"/>
      <c r="K80" s="357">
        <v>252557.19</v>
      </c>
      <c r="L80" s="355">
        <v>62484.55</v>
      </c>
      <c r="M80" s="357">
        <v>992100.1</v>
      </c>
      <c r="N80" s="358">
        <f t="shared" si="2"/>
        <v>13864978.210000001</v>
      </c>
      <c r="O80" s="34">
        <v>149387.6</v>
      </c>
      <c r="P80" s="34">
        <v>398441.4</v>
      </c>
      <c r="Q80" s="34">
        <v>276105.95</v>
      </c>
      <c r="R80" s="34">
        <v>116075.32</v>
      </c>
      <c r="S80" s="34">
        <v>-126575.55</v>
      </c>
      <c r="T80" s="359">
        <f t="shared" si="3"/>
        <v>14678412.93</v>
      </c>
      <c r="U80" s="17">
        <v>74</v>
      </c>
      <c r="V80" s="32">
        <v>5728</v>
      </c>
      <c r="W80" s="376">
        <v>-198416.91</v>
      </c>
      <c r="X80" s="34"/>
      <c r="Y80" s="34">
        <v>-51.45</v>
      </c>
      <c r="Z80" s="34">
        <v>1</v>
      </c>
      <c r="AB80" s="414"/>
      <c r="AC80" s="414"/>
    </row>
    <row r="81" spans="1:29" x14ac:dyDescent="0.25">
      <c r="A81" s="370">
        <v>5520</v>
      </c>
      <c r="B81" s="354" t="s">
        <v>183</v>
      </c>
      <c r="C81" s="34">
        <v>1857605.36</v>
      </c>
      <c r="D81" s="34">
        <v>275721.48</v>
      </c>
      <c r="E81" s="380"/>
      <c r="F81" s="355"/>
      <c r="G81" s="425">
        <f>VLOOKUP(A81,'[1]Tableau (2)'!$A:$E,3,FALSE)</f>
        <v>4576.04</v>
      </c>
      <c r="H81" s="425">
        <f>VLOOKUP(A81,'[1]Tableau (2)'!$A:$E,4,FALSE)</f>
        <v>2690.800000000002</v>
      </c>
      <c r="I81" s="425">
        <f>VLOOKUP(A81,'[2]Tableau (2)'!$A$4:$D$312,4,FALSE)</f>
        <v>4286.8999999999996</v>
      </c>
      <c r="J81" s="380"/>
      <c r="K81" s="357">
        <v>23467.29</v>
      </c>
      <c r="L81" s="355">
        <v>1728.25</v>
      </c>
      <c r="M81" s="357">
        <v>173096.2</v>
      </c>
      <c r="N81" s="358">
        <f t="shared" si="2"/>
        <v>2343172.3199999998</v>
      </c>
      <c r="O81" s="34">
        <v>11219.05</v>
      </c>
      <c r="P81" s="34">
        <v>19373.5</v>
      </c>
      <c r="Q81" s="34">
        <v>150701.25</v>
      </c>
      <c r="R81" s="34">
        <v>4509.1099999999997</v>
      </c>
      <c r="S81" s="34">
        <v>26267.4</v>
      </c>
      <c r="T81" s="359">
        <f t="shared" si="3"/>
        <v>2555242.6299999994</v>
      </c>
      <c r="U81" s="17">
        <v>73</v>
      </c>
      <c r="V81" s="32">
        <v>981</v>
      </c>
      <c r="W81" s="376">
        <v>-9716.3799999999992</v>
      </c>
      <c r="X81" s="34"/>
      <c r="Y81" s="34">
        <v>-50.93</v>
      </c>
      <c r="Z81" s="34">
        <v>1</v>
      </c>
      <c r="AB81" s="414"/>
      <c r="AC81" s="414"/>
    </row>
    <row r="82" spans="1:29" x14ac:dyDescent="0.25">
      <c r="A82" s="370">
        <v>5521</v>
      </c>
      <c r="B82" s="354" t="s">
        <v>184</v>
      </c>
      <c r="C82" s="34">
        <v>2330139.54</v>
      </c>
      <c r="D82" s="34">
        <v>245612.32</v>
      </c>
      <c r="E82" s="380"/>
      <c r="F82" s="355"/>
      <c r="G82" s="425">
        <f>VLOOKUP(A82,'[1]Tableau (2)'!$A:$E,3,FALSE)</f>
        <v>68485.179999999993</v>
      </c>
      <c r="H82" s="425">
        <f>VLOOKUP(A82,'[1]Tableau (2)'!$A:$E,4,FALSE)</f>
        <v>1274.9000000000001</v>
      </c>
      <c r="I82" s="425">
        <f>VLOOKUP(A82,'[2]Tableau (2)'!$A$4:$D$312,4,FALSE)</f>
        <v>20089.099999999999</v>
      </c>
      <c r="J82" s="380"/>
      <c r="K82" s="357">
        <v>84184.09</v>
      </c>
      <c r="L82" s="355">
        <v>10733.75</v>
      </c>
      <c r="M82" s="357">
        <v>234159.1</v>
      </c>
      <c r="N82" s="358">
        <f t="shared" si="2"/>
        <v>2994677.98</v>
      </c>
      <c r="O82" s="34">
        <v>49840.9</v>
      </c>
      <c r="P82" s="34"/>
      <c r="Q82" s="34">
        <v>119350</v>
      </c>
      <c r="R82" s="34">
        <v>10436.26</v>
      </c>
      <c r="S82" s="34">
        <v>28604.7</v>
      </c>
      <c r="T82" s="359">
        <f t="shared" si="3"/>
        <v>3202909.84</v>
      </c>
      <c r="U82" s="17">
        <v>73</v>
      </c>
      <c r="V82" s="32">
        <v>1119</v>
      </c>
      <c r="W82" s="376">
        <v>-16530.7</v>
      </c>
      <c r="X82" s="34"/>
      <c r="Y82" s="34">
        <v>-4.3600000000000003</v>
      </c>
      <c r="Z82" s="34">
        <v>1</v>
      </c>
      <c r="AB82" s="414"/>
      <c r="AC82" s="414"/>
    </row>
    <row r="83" spans="1:29" x14ac:dyDescent="0.25">
      <c r="A83" s="370">
        <v>5522</v>
      </c>
      <c r="B83" s="354" t="s">
        <v>185</v>
      </c>
      <c r="C83" s="34">
        <v>1213676.5</v>
      </c>
      <c r="D83" s="34">
        <v>157707.5</v>
      </c>
      <c r="E83" s="380"/>
      <c r="F83" s="355"/>
      <c r="G83" s="425">
        <f>VLOOKUP(A83,'[1]Tableau (2)'!$A:$E,3,FALSE)</f>
        <v>23248.52</v>
      </c>
      <c r="H83" s="425">
        <f>VLOOKUP(A83,'[1]Tableau (2)'!$A:$E,4,FALSE)</f>
        <v>641.79999999999995</v>
      </c>
      <c r="I83" s="425">
        <f>VLOOKUP(A83,'[2]Tableau (2)'!$A$4:$D$312,4,FALSE)</f>
        <v>4681.95</v>
      </c>
      <c r="J83" s="380"/>
      <c r="K83" s="357">
        <v>8454.81</v>
      </c>
      <c r="L83" s="355">
        <v>1287.9000000000001</v>
      </c>
      <c r="M83" s="357">
        <v>119536.9</v>
      </c>
      <c r="N83" s="358">
        <f t="shared" si="2"/>
        <v>1529235.88</v>
      </c>
      <c r="O83" s="34">
        <v>6207.7</v>
      </c>
      <c r="P83" s="34">
        <v>9107.9</v>
      </c>
      <c r="Q83" s="34">
        <v>33578.65</v>
      </c>
      <c r="R83" s="34"/>
      <c r="S83" s="34">
        <v>91475.45</v>
      </c>
      <c r="T83" s="359">
        <f t="shared" si="3"/>
        <v>1669605.5799999996</v>
      </c>
      <c r="U83" s="17">
        <v>75</v>
      </c>
      <c r="V83" s="32">
        <v>703</v>
      </c>
      <c r="W83" s="376">
        <v>-13047.43</v>
      </c>
      <c r="X83" s="34"/>
      <c r="Y83" s="34">
        <v>-2.46</v>
      </c>
      <c r="Z83" s="34">
        <v>1</v>
      </c>
      <c r="AB83" s="414"/>
      <c r="AC83" s="414"/>
    </row>
    <row r="84" spans="1:29" x14ac:dyDescent="0.25">
      <c r="A84" s="370">
        <v>5523</v>
      </c>
      <c r="B84" s="354" t="s">
        <v>186</v>
      </c>
      <c r="C84" s="34">
        <v>5224728.38</v>
      </c>
      <c r="D84" s="34">
        <v>558675.01</v>
      </c>
      <c r="E84" s="380"/>
      <c r="F84" s="355">
        <v>13870</v>
      </c>
      <c r="G84" s="425">
        <f>VLOOKUP(A84,'[1]Tableau (2)'!$A:$E,3,FALSE)</f>
        <v>14410.36</v>
      </c>
      <c r="H84" s="425">
        <f>VLOOKUP(A84,'[1]Tableau (2)'!$A:$E,4,FALSE)</f>
        <v>5475.2000000000016</v>
      </c>
      <c r="I84" s="425">
        <f>VLOOKUP(A84,'[2]Tableau (2)'!$A$4:$D$312,4,FALSE)</f>
        <v>12787.45</v>
      </c>
      <c r="J84" s="380">
        <v>27098.55</v>
      </c>
      <c r="K84" s="357">
        <v>98193.44</v>
      </c>
      <c r="L84" s="355">
        <v>17825.5</v>
      </c>
      <c r="M84" s="357">
        <v>590120</v>
      </c>
      <c r="N84" s="358">
        <f t="shared" si="2"/>
        <v>6563183.8900000006</v>
      </c>
      <c r="O84" s="34">
        <v>1694.9</v>
      </c>
      <c r="P84" s="34">
        <v>3244.3</v>
      </c>
      <c r="Q84" s="34">
        <v>187832.35</v>
      </c>
      <c r="R84" s="34">
        <v>14774.32</v>
      </c>
      <c r="S84" s="34">
        <v>96751.75</v>
      </c>
      <c r="T84" s="359">
        <f t="shared" si="3"/>
        <v>6867481.5100000007</v>
      </c>
      <c r="U84" s="17">
        <v>76</v>
      </c>
      <c r="V84" s="32">
        <v>2561</v>
      </c>
      <c r="W84" s="376">
        <v>-88741.32</v>
      </c>
      <c r="X84" s="34"/>
      <c r="Y84" s="34">
        <v>-25.02</v>
      </c>
      <c r="Z84" s="34">
        <v>1.25</v>
      </c>
      <c r="AB84" s="414"/>
      <c r="AC84" s="414"/>
    </row>
    <row r="85" spans="1:29" x14ac:dyDescent="0.25">
      <c r="A85" s="370">
        <v>5527</v>
      </c>
      <c r="B85" s="354" t="s">
        <v>187</v>
      </c>
      <c r="C85" s="34">
        <v>2178574.7400000002</v>
      </c>
      <c r="D85" s="34">
        <v>367054.94</v>
      </c>
      <c r="E85" s="380"/>
      <c r="F85" s="355"/>
      <c r="G85" s="425">
        <f>VLOOKUP(A85,'[1]Tableau (2)'!$A:$E,3,FALSE)</f>
        <v>6642.61</v>
      </c>
      <c r="H85" s="425">
        <f>VLOOKUP(A85,'[1]Tableau (2)'!$A:$E,4,FALSE)</f>
        <v>3030.25</v>
      </c>
      <c r="I85" s="425">
        <f>VLOOKUP(A85,'[2]Tableau (2)'!$A$4:$D$312,4,FALSE)</f>
        <v>2269.4</v>
      </c>
      <c r="J85" s="380"/>
      <c r="K85" s="357">
        <v>61320.45</v>
      </c>
      <c r="L85" s="355">
        <v>2321.0500000000002</v>
      </c>
      <c r="M85" s="357">
        <v>214518.65</v>
      </c>
      <c r="N85" s="358">
        <f t="shared" si="2"/>
        <v>2835732.09</v>
      </c>
      <c r="O85" s="34">
        <v>10589.6</v>
      </c>
      <c r="P85" s="34"/>
      <c r="Q85" s="34">
        <v>73497.7</v>
      </c>
      <c r="R85" s="34">
        <v>2646.04</v>
      </c>
      <c r="S85" s="34">
        <v>83651</v>
      </c>
      <c r="T85" s="359">
        <f t="shared" si="3"/>
        <v>3006116.43</v>
      </c>
      <c r="U85" s="17">
        <v>71</v>
      </c>
      <c r="V85" s="32">
        <v>1092</v>
      </c>
      <c r="W85" s="376">
        <v>-17636.34</v>
      </c>
      <c r="X85" s="34">
        <v>-4377.1000000000004</v>
      </c>
      <c r="Y85" s="34">
        <v>-22.1</v>
      </c>
      <c r="Z85" s="34">
        <v>1</v>
      </c>
      <c r="AB85" s="414"/>
      <c r="AC85" s="414"/>
    </row>
    <row r="86" spans="1:29" x14ac:dyDescent="0.25">
      <c r="A86" s="370">
        <v>5529</v>
      </c>
      <c r="B86" s="354" t="s">
        <v>188</v>
      </c>
      <c r="C86" s="34">
        <v>1176932.78</v>
      </c>
      <c r="D86" s="34">
        <v>108237.13</v>
      </c>
      <c r="E86" s="380"/>
      <c r="F86" s="355"/>
      <c r="G86" s="425">
        <f>VLOOKUP(A86,'[1]Tableau (2)'!$A:$E,3,FALSE)</f>
        <v>5408.6</v>
      </c>
      <c r="H86" s="425">
        <f>VLOOKUP(A86,'[1]Tableau (2)'!$A:$E,4,FALSE)</f>
        <v>1214.5999999999999</v>
      </c>
      <c r="I86" s="425">
        <f>VLOOKUP(A86,'[2]Tableau (2)'!$A$4:$D$312,4,FALSE)</f>
        <v>7553.05</v>
      </c>
      <c r="J86" s="380"/>
      <c r="K86" s="357">
        <v>44743.28</v>
      </c>
      <c r="L86" s="355">
        <v>2543.75</v>
      </c>
      <c r="M86" s="357">
        <v>102971.15</v>
      </c>
      <c r="N86" s="358">
        <f t="shared" si="2"/>
        <v>1449604.3400000003</v>
      </c>
      <c r="O86" s="34"/>
      <c r="P86" s="34">
        <v>2507.8000000000002</v>
      </c>
      <c r="Q86" s="34">
        <v>59757.65</v>
      </c>
      <c r="R86" s="34"/>
      <c r="S86" s="34">
        <v>43417.25</v>
      </c>
      <c r="T86" s="359">
        <f t="shared" si="3"/>
        <v>1555287.0400000003</v>
      </c>
      <c r="U86" s="17">
        <v>71</v>
      </c>
      <c r="V86" s="32">
        <v>577</v>
      </c>
      <c r="W86" s="376">
        <v>-13674.43</v>
      </c>
      <c r="X86" s="34"/>
      <c r="Y86" s="34">
        <v>-0.17</v>
      </c>
      <c r="Z86" s="34">
        <v>1</v>
      </c>
      <c r="AB86" s="414"/>
      <c r="AC86" s="414"/>
    </row>
    <row r="87" spans="1:29" x14ac:dyDescent="0.25">
      <c r="A87" s="370">
        <v>5530</v>
      </c>
      <c r="B87" s="354" t="s">
        <v>189</v>
      </c>
      <c r="C87" s="34">
        <v>954033.37</v>
      </c>
      <c r="D87" s="34">
        <v>146339.43</v>
      </c>
      <c r="E87" s="380"/>
      <c r="F87" s="355"/>
      <c r="G87" s="425">
        <f>VLOOKUP(A87,'[1]Tableau (2)'!$A:$E,3,FALSE)</f>
        <v>60005.37</v>
      </c>
      <c r="H87" s="425">
        <f>VLOOKUP(A87,'[1]Tableau (2)'!$A:$E,4,FALSE)</f>
        <v>376.00000000000011</v>
      </c>
      <c r="I87" s="425">
        <f>VLOOKUP(A87,'[2]Tableau (2)'!$A$4:$D$312,4,FALSE)</f>
        <v>11145.9</v>
      </c>
      <c r="J87" s="380"/>
      <c r="K87" s="357">
        <v>16837.580000000002</v>
      </c>
      <c r="L87" s="355">
        <v>37.5</v>
      </c>
      <c r="M87" s="357">
        <v>92797.29</v>
      </c>
      <c r="N87" s="358">
        <f t="shared" si="2"/>
        <v>1281572.4400000002</v>
      </c>
      <c r="O87" s="34">
        <v>2846.5</v>
      </c>
      <c r="P87" s="34">
        <v>48871.4</v>
      </c>
      <c r="Q87" s="34">
        <v>32528.1</v>
      </c>
      <c r="R87" s="34"/>
      <c r="S87" s="34">
        <v>19063.75</v>
      </c>
      <c r="T87" s="359">
        <f t="shared" si="3"/>
        <v>1384882.1900000002</v>
      </c>
      <c r="U87" s="17">
        <v>77.5</v>
      </c>
      <c r="V87" s="32">
        <v>543</v>
      </c>
      <c r="W87" s="376">
        <v>-2379.5700000000002</v>
      </c>
      <c r="X87" s="34">
        <v>-2402.85</v>
      </c>
      <c r="Y87" s="34">
        <v>0</v>
      </c>
      <c r="Z87" s="34">
        <v>1.2</v>
      </c>
      <c r="AB87" s="414"/>
      <c r="AC87" s="414"/>
    </row>
    <row r="88" spans="1:29" x14ac:dyDescent="0.25">
      <c r="A88" s="370">
        <v>5531</v>
      </c>
      <c r="B88" s="354" t="s">
        <v>190</v>
      </c>
      <c r="C88" s="34">
        <v>799918.67</v>
      </c>
      <c r="D88" s="34">
        <v>138230.20000000001</v>
      </c>
      <c r="E88" s="380"/>
      <c r="F88" s="355"/>
      <c r="G88" s="425">
        <f>VLOOKUP(A88,'[1]Tableau (2)'!$A:$E,3,FALSE)</f>
        <v>2524.2199999999998</v>
      </c>
      <c r="H88" s="425">
        <f>VLOOKUP(A88,'[1]Tableau (2)'!$A:$E,4,FALSE)</f>
        <v>767.19999999999993</v>
      </c>
      <c r="I88" s="425">
        <f>VLOOKUP(A88,'[2]Tableau (2)'!$A$4:$D$312,4,FALSE)</f>
        <v>1145.3499999999999</v>
      </c>
      <c r="J88" s="380"/>
      <c r="K88" s="357">
        <v>8482.7800000000007</v>
      </c>
      <c r="L88" s="355">
        <v>854</v>
      </c>
      <c r="M88" s="357">
        <v>71258.850000000006</v>
      </c>
      <c r="N88" s="358">
        <f t="shared" si="2"/>
        <v>1023181.27</v>
      </c>
      <c r="O88" s="34">
        <v>14930.3</v>
      </c>
      <c r="P88" s="34"/>
      <c r="Q88" s="34">
        <v>25232.7</v>
      </c>
      <c r="R88" s="34"/>
      <c r="S88" s="34">
        <v>23416.7</v>
      </c>
      <c r="T88" s="359">
        <f t="shared" si="3"/>
        <v>1086760.97</v>
      </c>
      <c r="U88" s="17">
        <v>78</v>
      </c>
      <c r="V88" s="32">
        <v>418</v>
      </c>
      <c r="W88" s="376">
        <v>-109.27</v>
      </c>
      <c r="X88" s="34"/>
      <c r="Y88" s="34">
        <v>-54.63</v>
      </c>
      <c r="Z88" s="34">
        <v>1</v>
      </c>
      <c r="AB88" s="414"/>
      <c r="AC88" s="414"/>
    </row>
    <row r="89" spans="1:29" x14ac:dyDescent="0.25">
      <c r="A89" s="370">
        <v>5533</v>
      </c>
      <c r="B89" s="354" t="s">
        <v>191</v>
      </c>
      <c r="C89" s="34">
        <v>1519440.63</v>
      </c>
      <c r="D89" s="34">
        <v>166034</v>
      </c>
      <c r="E89" s="380"/>
      <c r="F89" s="355"/>
      <c r="G89" s="425">
        <f>VLOOKUP(A89,'[1]Tableau (2)'!$A:$E,3,FALSE)</f>
        <v>50947.55</v>
      </c>
      <c r="H89" s="425">
        <f>VLOOKUP(A89,'[1]Tableau (2)'!$A:$E,4,FALSE)</f>
        <v>568.79999999999995</v>
      </c>
      <c r="I89" s="425">
        <f>VLOOKUP(A89,'[2]Tableau (2)'!$A$4:$D$312,4,FALSE)</f>
        <v>23098.7</v>
      </c>
      <c r="J89" s="380"/>
      <c r="K89" s="357">
        <v>60560.08</v>
      </c>
      <c r="L89" s="355">
        <v>8480</v>
      </c>
      <c r="M89" s="357">
        <v>80873.850000000006</v>
      </c>
      <c r="N89" s="358">
        <f t="shared" si="2"/>
        <v>1910003.61</v>
      </c>
      <c r="O89" s="34">
        <v>2712.4</v>
      </c>
      <c r="P89" s="34"/>
      <c r="Q89" s="34">
        <v>19047.849999999999</v>
      </c>
      <c r="R89" s="34"/>
      <c r="S89" s="34">
        <v>16820.95</v>
      </c>
      <c r="T89" s="359">
        <f t="shared" si="3"/>
        <v>1948584.81</v>
      </c>
      <c r="U89" s="17">
        <v>71</v>
      </c>
      <c r="V89" s="32">
        <v>849</v>
      </c>
      <c r="W89" s="376">
        <v>-10746.98</v>
      </c>
      <c r="X89" s="34"/>
      <c r="Y89" s="34">
        <v>-15.75</v>
      </c>
      <c r="Z89" s="34">
        <v>0.6</v>
      </c>
      <c r="AB89" s="414"/>
      <c r="AC89" s="414"/>
    </row>
    <row r="90" spans="1:29" x14ac:dyDescent="0.25">
      <c r="A90" s="370">
        <v>5534</v>
      </c>
      <c r="B90" s="354" t="s">
        <v>192</v>
      </c>
      <c r="C90" s="34">
        <v>423567.71</v>
      </c>
      <c r="D90" s="34">
        <v>99773.09</v>
      </c>
      <c r="E90" s="380"/>
      <c r="F90" s="355"/>
      <c r="G90" s="425">
        <f>VLOOKUP(A90,'[1]Tableau (2)'!$A:$E,3,FALSE)</f>
        <v>43999.49</v>
      </c>
      <c r="H90" s="425">
        <f>VLOOKUP(A90,'[1]Tableau (2)'!$A:$E,4,FALSE)</f>
        <v>3868.4</v>
      </c>
      <c r="I90" s="425">
        <f>VLOOKUP(A90,'[2]Tableau (2)'!$A$4:$D$312,4,FALSE)</f>
        <v>18824.75</v>
      </c>
      <c r="J90" s="380"/>
      <c r="K90" s="357">
        <v>18340.5</v>
      </c>
      <c r="L90" s="355">
        <v>1598.75</v>
      </c>
      <c r="M90" s="357">
        <v>70912</v>
      </c>
      <c r="N90" s="358">
        <f t="shared" si="2"/>
        <v>680884.69000000006</v>
      </c>
      <c r="O90" s="34">
        <v>26152.25</v>
      </c>
      <c r="P90" s="34"/>
      <c r="Q90" s="34">
        <v>7428.3</v>
      </c>
      <c r="R90" s="34"/>
      <c r="S90" s="34"/>
      <c r="T90" s="359">
        <f t="shared" si="3"/>
        <v>714465.24000000011</v>
      </c>
      <c r="U90" s="17">
        <v>73</v>
      </c>
      <c r="V90" s="32">
        <v>257</v>
      </c>
      <c r="W90" s="376">
        <v>-3260.55</v>
      </c>
      <c r="X90" s="34"/>
      <c r="Y90" s="34">
        <v>0</v>
      </c>
      <c r="Z90" s="34">
        <v>1</v>
      </c>
      <c r="AB90" s="414"/>
      <c r="AC90" s="414"/>
    </row>
    <row r="91" spans="1:29" x14ac:dyDescent="0.25">
      <c r="A91" s="370">
        <v>5535</v>
      </c>
      <c r="B91" s="354" t="s">
        <v>30</v>
      </c>
      <c r="C91" s="34">
        <v>1485994.2</v>
      </c>
      <c r="D91" s="34">
        <v>148339.97</v>
      </c>
      <c r="E91" s="380"/>
      <c r="F91" s="355"/>
      <c r="G91" s="425">
        <f>VLOOKUP(A91,'[1]Tableau (2)'!$A:$E,3,FALSE)</f>
        <v>9536.7999999999993</v>
      </c>
      <c r="H91" s="425">
        <f>VLOOKUP(A91,'[1]Tableau (2)'!$A:$E,4,FALSE)</f>
        <v>5808.9000000000005</v>
      </c>
      <c r="I91" s="425">
        <f>VLOOKUP(A91,'[2]Tableau (2)'!$A$4:$D$312,4,FALSE)</f>
        <v>2872.2</v>
      </c>
      <c r="J91" s="380"/>
      <c r="K91" s="357">
        <v>6673.58</v>
      </c>
      <c r="L91" s="355">
        <v>2254.3000000000002</v>
      </c>
      <c r="M91" s="357">
        <v>137110.29999999999</v>
      </c>
      <c r="N91" s="358">
        <f t="shared" si="2"/>
        <v>1798590.25</v>
      </c>
      <c r="O91" s="34">
        <v>34037.4</v>
      </c>
      <c r="P91" s="34"/>
      <c r="Q91" s="34">
        <v>14032.6</v>
      </c>
      <c r="R91" s="34">
        <v>2086.3000000000002</v>
      </c>
      <c r="S91" s="34">
        <v>18069.7</v>
      </c>
      <c r="T91" s="359">
        <f t="shared" si="3"/>
        <v>1866816.25</v>
      </c>
      <c r="U91" s="17">
        <v>77</v>
      </c>
      <c r="V91" s="32">
        <v>769</v>
      </c>
      <c r="W91" s="376">
        <v>-13799.23</v>
      </c>
      <c r="X91" s="34"/>
      <c r="Y91" s="34">
        <v>-2.39</v>
      </c>
      <c r="Z91" s="34">
        <v>1</v>
      </c>
      <c r="AB91" s="414"/>
      <c r="AC91" s="414"/>
    </row>
    <row r="92" spans="1:29" x14ac:dyDescent="0.25">
      <c r="A92" s="370">
        <v>5537</v>
      </c>
      <c r="B92" s="354" t="s">
        <v>31</v>
      </c>
      <c r="C92" s="34">
        <v>2008720.51</v>
      </c>
      <c r="D92" s="34">
        <v>206626.12</v>
      </c>
      <c r="E92" s="380"/>
      <c r="F92" s="355">
        <v>6069.55</v>
      </c>
      <c r="G92" s="425">
        <f>VLOOKUP(A92,'[1]Tableau (2)'!$A:$E,3,FALSE)</f>
        <v>20319.46</v>
      </c>
      <c r="H92" s="425">
        <f>VLOOKUP(A92,'[1]Tableau (2)'!$A:$E,4,FALSE)</f>
        <v>332.5</v>
      </c>
      <c r="I92" s="425">
        <f>VLOOKUP(A92,'[2]Tableau (2)'!$A$4:$D$312,4,FALSE)</f>
        <v>4222.8500000000004</v>
      </c>
      <c r="J92" s="380"/>
      <c r="K92" s="357">
        <v>38117.97</v>
      </c>
      <c r="L92" s="355">
        <v>1103.75</v>
      </c>
      <c r="M92" s="357">
        <v>158216</v>
      </c>
      <c r="N92" s="358">
        <f t="shared" si="2"/>
        <v>2443728.71</v>
      </c>
      <c r="O92" s="34">
        <v>954.05</v>
      </c>
      <c r="P92" s="34">
        <v>2120.5</v>
      </c>
      <c r="Q92" s="34">
        <v>91281.600000000006</v>
      </c>
      <c r="R92" s="34">
        <v>-7364.15</v>
      </c>
      <c r="S92" s="34">
        <v>51227.6</v>
      </c>
      <c r="T92" s="359">
        <f t="shared" si="3"/>
        <v>2581948.31</v>
      </c>
      <c r="U92" s="17">
        <v>73</v>
      </c>
      <c r="V92" s="32">
        <v>1150</v>
      </c>
      <c r="W92" s="376">
        <v>-30080.9</v>
      </c>
      <c r="X92" s="34"/>
      <c r="Y92" s="34">
        <v>0</v>
      </c>
      <c r="Z92" s="34">
        <v>0.8</v>
      </c>
      <c r="AB92" s="414"/>
      <c r="AC92" s="414"/>
    </row>
    <row r="93" spans="1:29" x14ac:dyDescent="0.25">
      <c r="A93" s="370">
        <v>5539</v>
      </c>
      <c r="B93" s="354" t="s">
        <v>32</v>
      </c>
      <c r="C93" s="34">
        <v>1650826.61</v>
      </c>
      <c r="D93" s="34">
        <v>165821.35999999999</v>
      </c>
      <c r="E93" s="380"/>
      <c r="F93" s="355"/>
      <c r="G93" s="425">
        <f>VLOOKUP(A93,'[1]Tableau (2)'!$A:$E,3,FALSE)</f>
        <v>4407.1400000000003</v>
      </c>
      <c r="H93" s="425">
        <f>VLOOKUP(A93,'[1]Tableau (2)'!$A:$E,4,FALSE)</f>
        <v>1123.7999999999997</v>
      </c>
      <c r="I93" s="425">
        <f>VLOOKUP(A93,'[2]Tableau (2)'!$A$4:$D$312,4,FALSE)</f>
        <v>2059.5500000000002</v>
      </c>
      <c r="J93" s="380"/>
      <c r="K93" s="357">
        <v>9088.7000000000007</v>
      </c>
      <c r="L93" s="355">
        <v>3239.7</v>
      </c>
      <c r="M93" s="357">
        <v>136332.35</v>
      </c>
      <c r="N93" s="358">
        <f t="shared" si="2"/>
        <v>1972899.2100000002</v>
      </c>
      <c r="O93" s="34">
        <v>34768.85</v>
      </c>
      <c r="P93" s="34">
        <v>11461.3</v>
      </c>
      <c r="Q93" s="34">
        <v>44306.15</v>
      </c>
      <c r="R93" s="34">
        <v>34053.21</v>
      </c>
      <c r="S93" s="34">
        <v>18892.55</v>
      </c>
      <c r="T93" s="359">
        <f t="shared" si="3"/>
        <v>2116381.27</v>
      </c>
      <c r="U93" s="17">
        <v>75</v>
      </c>
      <c r="V93" s="32">
        <v>1003</v>
      </c>
      <c r="W93" s="376">
        <v>-21512.86</v>
      </c>
      <c r="X93" s="34"/>
      <c r="Y93" s="34">
        <v>-40.229999999999997</v>
      </c>
      <c r="Z93" s="34">
        <v>0.8</v>
      </c>
      <c r="AB93" s="414"/>
      <c r="AC93" s="414"/>
    </row>
    <row r="94" spans="1:29" x14ac:dyDescent="0.25">
      <c r="A94" s="370">
        <v>5540</v>
      </c>
      <c r="B94" s="354" t="s">
        <v>432</v>
      </c>
      <c r="C94" s="34">
        <v>3348133.96</v>
      </c>
      <c r="D94" s="34">
        <v>463771.17</v>
      </c>
      <c r="E94" s="380"/>
      <c r="F94" s="355"/>
      <c r="G94" s="425">
        <f>VLOOKUP(A94,'[1]Tableau (2)'!$A:$E,3,FALSE)</f>
        <v>50157.31</v>
      </c>
      <c r="H94" s="425">
        <f>VLOOKUP(A94,'[1]Tableau (2)'!$A:$E,4,FALSE)</f>
        <v>4683</v>
      </c>
      <c r="I94" s="425">
        <f>VLOOKUP(A94,'[2]Tableau (2)'!$A$4:$D$312,4,FALSE)</f>
        <v>17532.25</v>
      </c>
      <c r="J94" s="380"/>
      <c r="K94" s="357">
        <v>67914.2</v>
      </c>
      <c r="L94" s="355">
        <v>6081.85</v>
      </c>
      <c r="M94" s="357">
        <v>246803.1</v>
      </c>
      <c r="N94" s="358">
        <f t="shared" si="2"/>
        <v>4205076.84</v>
      </c>
      <c r="O94" s="34">
        <v>2349.8000000000002</v>
      </c>
      <c r="P94" s="34">
        <v>15898.9</v>
      </c>
      <c r="Q94" s="34">
        <v>152128.95000000001</v>
      </c>
      <c r="R94" s="34">
        <v>2204.2800000000002</v>
      </c>
      <c r="S94" s="34">
        <v>41705.800000000003</v>
      </c>
      <c r="T94" s="359">
        <f t="shared" si="3"/>
        <v>4419364.57</v>
      </c>
      <c r="U94" s="17">
        <v>74</v>
      </c>
      <c r="V94" s="32">
        <v>1731</v>
      </c>
      <c r="W94" s="376">
        <v>-19340.84</v>
      </c>
      <c r="X94" s="34">
        <v>-32732</v>
      </c>
      <c r="Y94" s="34">
        <v>-118.95</v>
      </c>
      <c r="Z94" s="34">
        <v>0.8</v>
      </c>
      <c r="AB94" s="414"/>
      <c r="AC94" s="414"/>
    </row>
    <row r="95" spans="1:29" x14ac:dyDescent="0.25">
      <c r="A95" s="370">
        <v>5541</v>
      </c>
      <c r="B95" s="354" t="s">
        <v>431</v>
      </c>
      <c r="C95" s="34">
        <v>2426782.34</v>
      </c>
      <c r="D95" s="34">
        <v>274112.65000000002</v>
      </c>
      <c r="E95" s="380"/>
      <c r="F95" s="355"/>
      <c r="G95" s="425">
        <f>VLOOKUP(A95,'[1]Tableau (2)'!$A:$E,3,FALSE)</f>
        <v>36866.370000000003</v>
      </c>
      <c r="H95" s="425">
        <f>VLOOKUP(A95,'[1]Tableau (2)'!$A:$E,4,FALSE)</f>
        <v>2382</v>
      </c>
      <c r="I95" s="425">
        <f>VLOOKUP(A95,'[2]Tableau (2)'!$A$4:$D$312,4,FALSE)</f>
        <v>14118.35</v>
      </c>
      <c r="J95" s="380"/>
      <c r="K95" s="357">
        <v>38121.31</v>
      </c>
      <c r="L95" s="355">
        <v>1170.1500000000001</v>
      </c>
      <c r="M95" s="357">
        <v>192791.35</v>
      </c>
      <c r="N95" s="358">
        <f t="shared" si="2"/>
        <v>2986344.52</v>
      </c>
      <c r="O95" s="34">
        <v>7197</v>
      </c>
      <c r="P95" s="34">
        <v>56271.9</v>
      </c>
      <c r="Q95" s="34">
        <v>35585.4</v>
      </c>
      <c r="R95" s="34"/>
      <c r="S95" s="34">
        <v>48023.45</v>
      </c>
      <c r="T95" s="359">
        <f t="shared" si="3"/>
        <v>3133422.27</v>
      </c>
      <c r="U95" s="17">
        <v>77</v>
      </c>
      <c r="V95" s="32">
        <v>1110</v>
      </c>
      <c r="W95" s="376">
        <v>-18125.009999999998</v>
      </c>
      <c r="X95" s="34"/>
      <c r="Y95" s="34">
        <v>-2.44</v>
      </c>
      <c r="Z95" s="34">
        <v>1</v>
      </c>
      <c r="AB95" s="414"/>
      <c r="AC95" s="414"/>
    </row>
    <row r="96" spans="1:29" x14ac:dyDescent="0.25">
      <c r="A96" s="370">
        <v>5551</v>
      </c>
      <c r="B96" s="354" t="s">
        <v>33</v>
      </c>
      <c r="C96" s="34">
        <v>785643.31</v>
      </c>
      <c r="D96" s="34">
        <v>120805.96</v>
      </c>
      <c r="E96" s="380"/>
      <c r="F96" s="355"/>
      <c r="G96" s="425">
        <f>VLOOKUP(A96,'[1]Tableau (2)'!$A:$E,3,FALSE)</f>
        <v>9652.09</v>
      </c>
      <c r="H96" s="425">
        <f>VLOOKUP(A96,'[1]Tableau (2)'!$A:$E,4,FALSE)</f>
        <v>396.9</v>
      </c>
      <c r="I96" s="425">
        <f>VLOOKUP(A96,'[2]Tableau (2)'!$A$4:$D$312,4,FALSE)</f>
        <v>3589.35</v>
      </c>
      <c r="J96" s="380"/>
      <c r="K96" s="357">
        <v>4440.8999999999996</v>
      </c>
      <c r="L96" s="355">
        <v>5013.6000000000004</v>
      </c>
      <c r="M96" s="360">
        <v>103441.8</v>
      </c>
      <c r="N96" s="358">
        <f t="shared" si="2"/>
        <v>1032983.91</v>
      </c>
      <c r="O96" s="34">
        <v>10619.35</v>
      </c>
      <c r="P96" s="34"/>
      <c r="Q96" s="34">
        <v>100674.4</v>
      </c>
      <c r="R96" s="34"/>
      <c r="S96" s="34">
        <v>15155.5</v>
      </c>
      <c r="T96" s="359">
        <f t="shared" si="3"/>
        <v>1159433.1599999999</v>
      </c>
      <c r="U96" s="17">
        <v>55</v>
      </c>
      <c r="V96" s="32">
        <v>495</v>
      </c>
      <c r="W96" s="376">
        <v>-89.15</v>
      </c>
      <c r="X96" s="34"/>
      <c r="Y96" s="34">
        <v>-251.57</v>
      </c>
      <c r="Z96" s="34">
        <v>1</v>
      </c>
      <c r="AB96" s="414"/>
      <c r="AC96" s="414"/>
    </row>
    <row r="97" spans="1:29" x14ac:dyDescent="0.25">
      <c r="A97" s="370">
        <v>5552</v>
      </c>
      <c r="B97" s="354" t="s">
        <v>34</v>
      </c>
      <c r="C97" s="34">
        <v>935720.63</v>
      </c>
      <c r="D97" s="34">
        <v>150811.93</v>
      </c>
      <c r="E97" s="380"/>
      <c r="F97" s="355"/>
      <c r="G97" s="425">
        <f>VLOOKUP(A97,'[1]Tableau (2)'!$A:$E,3,FALSE)</f>
        <v>12442.87</v>
      </c>
      <c r="H97" s="425">
        <f>VLOOKUP(A97,'[1]Tableau (2)'!$A:$E,4,FALSE)</f>
        <v>2742</v>
      </c>
      <c r="I97" s="425">
        <f>VLOOKUP(A97,'[2]Tableau (2)'!$A$4:$D$312,4,FALSE)</f>
        <v>1535.6</v>
      </c>
      <c r="J97" s="380">
        <v>18158.48</v>
      </c>
      <c r="K97" s="357">
        <v>16042.29</v>
      </c>
      <c r="L97" s="355">
        <v>1528.9</v>
      </c>
      <c r="M97" s="357">
        <v>112420.6</v>
      </c>
      <c r="N97" s="358">
        <f t="shared" si="2"/>
        <v>1251403.3000000003</v>
      </c>
      <c r="O97" s="34">
        <v>44648.35</v>
      </c>
      <c r="P97" s="34">
        <v>16432.599999999999</v>
      </c>
      <c r="Q97" s="34">
        <v>55621.95</v>
      </c>
      <c r="R97" s="34">
        <v>459.57</v>
      </c>
      <c r="S97" s="34">
        <v>19506.400000000001</v>
      </c>
      <c r="T97" s="359">
        <f t="shared" si="3"/>
        <v>1388072.1700000004</v>
      </c>
      <c r="U97" s="17">
        <v>70</v>
      </c>
      <c r="V97" s="32">
        <v>644</v>
      </c>
      <c r="W97" s="376">
        <v>-6636.37</v>
      </c>
      <c r="X97" s="34"/>
      <c r="Y97" s="34">
        <v>-2.21</v>
      </c>
      <c r="Z97" s="34">
        <v>1</v>
      </c>
      <c r="AB97" s="414"/>
      <c r="AC97" s="414"/>
    </row>
    <row r="98" spans="1:29" x14ac:dyDescent="0.25">
      <c r="A98" s="370">
        <v>5553</v>
      </c>
      <c r="B98" s="354" t="s">
        <v>35</v>
      </c>
      <c r="C98" s="34">
        <v>1644132.03</v>
      </c>
      <c r="D98" s="34">
        <v>253204.55</v>
      </c>
      <c r="E98" s="380"/>
      <c r="F98" s="355"/>
      <c r="G98" s="425">
        <f>VLOOKUP(A98,'[1]Tableau (2)'!$A:$E,3,FALSE)</f>
        <v>36697.58</v>
      </c>
      <c r="H98" s="425">
        <f>VLOOKUP(A98,'[1]Tableau (2)'!$A:$E,4,FALSE)</f>
        <v>22916.25</v>
      </c>
      <c r="I98" s="425">
        <f>VLOOKUP(A98,'[2]Tableau (2)'!$A$4:$D$312,4,FALSE)</f>
        <v>11281.85</v>
      </c>
      <c r="J98" s="380"/>
      <c r="K98" s="357">
        <v>44721.53</v>
      </c>
      <c r="L98" s="355">
        <v>18615.5</v>
      </c>
      <c r="M98" s="357">
        <v>205121.6</v>
      </c>
      <c r="N98" s="358">
        <f t="shared" si="2"/>
        <v>2236690.89</v>
      </c>
      <c r="O98" s="34">
        <v>128249.75</v>
      </c>
      <c r="P98" s="34">
        <v>5573.9</v>
      </c>
      <c r="Q98" s="34">
        <v>110224.3</v>
      </c>
      <c r="R98" s="34"/>
      <c r="S98" s="34">
        <v>18822.400000000001</v>
      </c>
      <c r="T98" s="359">
        <f t="shared" si="3"/>
        <v>2499561.2399999998</v>
      </c>
      <c r="U98" s="17">
        <v>65</v>
      </c>
      <c r="V98" s="32">
        <v>1027</v>
      </c>
      <c r="W98" s="376">
        <v>-22312.42</v>
      </c>
      <c r="X98" s="34"/>
      <c r="Y98" s="34">
        <v>-453.75</v>
      </c>
      <c r="Z98" s="34">
        <v>1</v>
      </c>
      <c r="AB98" s="414"/>
      <c r="AC98" s="414"/>
    </row>
    <row r="99" spans="1:29" x14ac:dyDescent="0.25">
      <c r="A99" s="370">
        <v>5554</v>
      </c>
      <c r="B99" s="354" t="s">
        <v>36</v>
      </c>
      <c r="C99" s="34">
        <v>1779892.41</v>
      </c>
      <c r="D99" s="34">
        <v>365167.88</v>
      </c>
      <c r="E99" s="380"/>
      <c r="F99" s="355"/>
      <c r="G99" s="425">
        <f>VLOOKUP(A99,'[1]Tableau (2)'!$A:$E,3,FALSE)</f>
        <v>4754.95</v>
      </c>
      <c r="H99" s="425">
        <f>VLOOKUP(A99,'[1]Tableau (2)'!$A:$E,4,FALSE)</f>
        <v>1246.9000000000001</v>
      </c>
      <c r="I99" s="425">
        <f>VLOOKUP(A99,'[2]Tableau (2)'!$A$4:$D$312,4,FALSE)</f>
        <v>4598.05</v>
      </c>
      <c r="J99" s="380"/>
      <c r="K99" s="357">
        <v>39776.75</v>
      </c>
      <c r="L99" s="355">
        <v>6538.85</v>
      </c>
      <c r="M99" s="357">
        <v>167391.5</v>
      </c>
      <c r="N99" s="358">
        <f t="shared" si="2"/>
        <v>2369367.29</v>
      </c>
      <c r="O99" s="34">
        <v>1585.3</v>
      </c>
      <c r="P99" s="34">
        <v>24244.400000000001</v>
      </c>
      <c r="Q99" s="34">
        <v>52994.6</v>
      </c>
      <c r="R99" s="34">
        <v>43217.08</v>
      </c>
      <c r="S99" s="34">
        <v>40015.1</v>
      </c>
      <c r="T99" s="359">
        <f t="shared" si="3"/>
        <v>2531423.77</v>
      </c>
      <c r="U99" s="17">
        <v>75</v>
      </c>
      <c r="V99" s="32">
        <v>969</v>
      </c>
      <c r="W99" s="376">
        <v>-34091.85</v>
      </c>
      <c r="X99" s="34"/>
      <c r="Y99" s="34">
        <v>-915.76</v>
      </c>
      <c r="Z99" s="34">
        <v>1</v>
      </c>
      <c r="AB99" s="414"/>
      <c r="AC99" s="414"/>
    </row>
    <row r="100" spans="1:29" x14ac:dyDescent="0.25">
      <c r="A100" s="370">
        <v>5555</v>
      </c>
      <c r="B100" s="354" t="s">
        <v>37</v>
      </c>
      <c r="C100" s="34">
        <v>682944.37</v>
      </c>
      <c r="D100" s="34">
        <v>171564.11</v>
      </c>
      <c r="E100" s="380"/>
      <c r="F100" s="355"/>
      <c r="G100" s="425">
        <f>VLOOKUP(A100,'[1]Tableau (2)'!$A:$E,3,FALSE)</f>
        <v>3978.5</v>
      </c>
      <c r="H100" s="425">
        <f>VLOOKUP(A100,'[1]Tableau (2)'!$A:$E,4,FALSE)</f>
        <v>4125.5000000000055</v>
      </c>
      <c r="I100" s="425">
        <f>VLOOKUP(A100,'[2]Tableau (2)'!$A$4:$D$312,4,FALSE)</f>
        <v>1613.3</v>
      </c>
      <c r="J100" s="380"/>
      <c r="K100" s="357">
        <v>25954.69</v>
      </c>
      <c r="L100" s="355">
        <v>1829.1</v>
      </c>
      <c r="M100" s="357">
        <v>81681.25</v>
      </c>
      <c r="N100" s="358">
        <f t="shared" si="2"/>
        <v>973690.82</v>
      </c>
      <c r="O100" s="34">
        <v>7825.5</v>
      </c>
      <c r="P100" s="34">
        <v>1530.3</v>
      </c>
      <c r="Q100" s="34">
        <v>60753.05</v>
      </c>
      <c r="R100" s="34">
        <v>3049.2</v>
      </c>
      <c r="S100" s="34">
        <v>56927.35</v>
      </c>
      <c r="T100" s="359">
        <f t="shared" si="3"/>
        <v>1103776.22</v>
      </c>
      <c r="U100" s="17">
        <v>71</v>
      </c>
      <c r="V100" s="32">
        <v>377</v>
      </c>
      <c r="W100" s="376">
        <v>-8875.9500000000007</v>
      </c>
      <c r="X100" s="34"/>
      <c r="Y100" s="34">
        <v>-0.86</v>
      </c>
      <c r="Z100" s="34">
        <v>1</v>
      </c>
      <c r="AB100" s="414"/>
      <c r="AC100" s="414"/>
    </row>
    <row r="101" spans="1:29" x14ac:dyDescent="0.25">
      <c r="A101" s="370">
        <v>5556</v>
      </c>
      <c r="B101" s="354" t="s">
        <v>38</v>
      </c>
      <c r="C101" s="34">
        <v>737822.71999999997</v>
      </c>
      <c r="D101" s="34">
        <v>79609.149999999994</v>
      </c>
      <c r="E101" s="380"/>
      <c r="F101" s="355">
        <v>2200</v>
      </c>
      <c r="G101" s="425">
        <f>VLOOKUP(A101,'[1]Tableau (2)'!$A:$E,3,FALSE)</f>
        <v>569.41999999999996</v>
      </c>
      <c r="H101" s="425">
        <f>VLOOKUP(A101,'[1]Tableau (2)'!$A:$E,4,FALSE)</f>
        <v>30.300000000000004</v>
      </c>
      <c r="I101" s="425">
        <f>VLOOKUP(A101,'[2]Tableau (2)'!$A$4:$D$312,4,FALSE)</f>
        <v>407.35</v>
      </c>
      <c r="J101" s="380"/>
      <c r="K101" s="357">
        <v>5726.85</v>
      </c>
      <c r="L101" s="355">
        <v>519.15</v>
      </c>
      <c r="M101" s="360">
        <v>78147.8</v>
      </c>
      <c r="N101" s="358">
        <f t="shared" si="2"/>
        <v>905032.74000000011</v>
      </c>
      <c r="O101" s="34"/>
      <c r="P101" s="34">
        <v>425344.2</v>
      </c>
      <c r="Q101" s="34">
        <v>31181</v>
      </c>
      <c r="R101" s="34"/>
      <c r="S101" s="34">
        <v>18020.849999999999</v>
      </c>
      <c r="T101" s="359">
        <f t="shared" si="3"/>
        <v>1379578.7900000003</v>
      </c>
      <c r="U101" s="17">
        <v>69</v>
      </c>
      <c r="V101" s="32">
        <v>425</v>
      </c>
      <c r="W101" s="376">
        <v>-1314</v>
      </c>
      <c r="X101" s="34"/>
      <c r="Y101" s="34">
        <v>-0.12</v>
      </c>
      <c r="Z101" s="34">
        <v>1.2</v>
      </c>
      <c r="AB101" s="414"/>
      <c r="AC101" s="414"/>
    </row>
    <row r="102" spans="1:29" x14ac:dyDescent="0.25">
      <c r="A102" s="370">
        <v>5557</v>
      </c>
      <c r="B102" s="354" t="s">
        <v>39</v>
      </c>
      <c r="C102" s="34">
        <v>245212.76</v>
      </c>
      <c r="D102" s="34">
        <v>26122.84</v>
      </c>
      <c r="E102" s="380"/>
      <c r="F102" s="355">
        <v>990</v>
      </c>
      <c r="G102" s="425">
        <f>VLOOKUP(A102,'[1]Tableau (2)'!$A:$E,3,FALSE)</f>
        <v>3930.33</v>
      </c>
      <c r="H102" s="425">
        <f>VLOOKUP(A102,'[1]Tableau (2)'!$A:$E,4,FALSE)</f>
        <v>325.50000000000006</v>
      </c>
      <c r="I102" s="425">
        <f>VLOOKUP(A102,'[2]Tableau (2)'!$A$4:$D$312,4,FALSE)</f>
        <v>1769.1</v>
      </c>
      <c r="J102" s="380"/>
      <c r="K102" s="357">
        <v>1486.95</v>
      </c>
      <c r="L102" s="355">
        <v>270.89999999999998</v>
      </c>
      <c r="M102" s="357">
        <v>30035.7</v>
      </c>
      <c r="N102" s="358">
        <f t="shared" si="2"/>
        <v>310144.08000000007</v>
      </c>
      <c r="O102" s="34"/>
      <c r="P102" s="34">
        <v>945.6</v>
      </c>
      <c r="Q102" s="34">
        <v>21738</v>
      </c>
      <c r="R102" s="34">
        <v>800.77</v>
      </c>
      <c r="S102" s="34">
        <v>7943.8</v>
      </c>
      <c r="T102" s="359">
        <f t="shared" si="3"/>
        <v>341572.25000000006</v>
      </c>
      <c r="U102" s="17">
        <v>69</v>
      </c>
      <c r="V102" s="32">
        <v>210</v>
      </c>
      <c r="W102" s="376">
        <v>-5164.3100000000004</v>
      </c>
      <c r="X102" s="34"/>
      <c r="Y102" s="34">
        <v>0</v>
      </c>
      <c r="Z102" s="34">
        <v>1</v>
      </c>
      <c r="AB102" s="414"/>
      <c r="AC102" s="414"/>
    </row>
    <row r="103" spans="1:29" x14ac:dyDescent="0.25">
      <c r="A103" s="370">
        <v>5559</v>
      </c>
      <c r="B103" s="354" t="s">
        <v>40</v>
      </c>
      <c r="C103" s="34">
        <v>758871.01</v>
      </c>
      <c r="D103" s="34">
        <v>261896.04</v>
      </c>
      <c r="E103" s="380"/>
      <c r="F103" s="355"/>
      <c r="G103" s="425">
        <f>VLOOKUP(A103,'[1]Tableau (2)'!$A:$E,3,FALSE)</f>
        <v>-69588.289999999994</v>
      </c>
      <c r="H103" s="425">
        <f>VLOOKUP(A103,'[1]Tableau (2)'!$A:$E,4,FALSE)</f>
        <v>3311.9999999999995</v>
      </c>
      <c r="I103" s="425">
        <f>VLOOKUP(A103,'[2]Tableau (2)'!$A$4:$D$312,4,FALSE)</f>
        <v>6702</v>
      </c>
      <c r="J103" s="380"/>
      <c r="K103" s="357">
        <v>7128</v>
      </c>
      <c r="L103" s="355">
        <v>3427.8</v>
      </c>
      <c r="M103" s="357">
        <v>84923.3</v>
      </c>
      <c r="N103" s="358">
        <f t="shared" si="2"/>
        <v>1056671.8600000001</v>
      </c>
      <c r="O103" s="34">
        <v>18858.099999999999</v>
      </c>
      <c r="P103" s="34">
        <v>2548.6999999999998</v>
      </c>
      <c r="Q103" s="34">
        <v>23033.35</v>
      </c>
      <c r="R103" s="34">
        <v>1666.8</v>
      </c>
      <c r="S103" s="34">
        <v>31515.85</v>
      </c>
      <c r="T103" s="359">
        <f t="shared" si="3"/>
        <v>1134294.6600000004</v>
      </c>
      <c r="U103" s="17">
        <v>66</v>
      </c>
      <c r="V103" s="32">
        <v>421</v>
      </c>
      <c r="W103" s="376">
        <v>-15820.41</v>
      </c>
      <c r="X103" s="34"/>
      <c r="Y103" s="34">
        <v>-398.96</v>
      </c>
      <c r="Z103" s="34">
        <v>1</v>
      </c>
      <c r="AB103" s="414"/>
      <c r="AC103" s="414"/>
    </row>
    <row r="104" spans="1:29" x14ac:dyDescent="0.25">
      <c r="A104" s="370">
        <v>5560</v>
      </c>
      <c r="B104" s="354" t="s">
        <v>41</v>
      </c>
      <c r="C104" s="34">
        <v>375607.48</v>
      </c>
      <c r="D104" s="34">
        <v>34657.89</v>
      </c>
      <c r="E104" s="380"/>
      <c r="F104" s="355"/>
      <c r="G104" s="425">
        <f>VLOOKUP(A104,'[1]Tableau (2)'!$A:$E,3,FALSE)</f>
        <v>364.24</v>
      </c>
      <c r="H104" s="425">
        <f>VLOOKUP(A104,'[1]Tableau (2)'!$A:$E,4,FALSE)</f>
        <v>9.2000000000000064</v>
      </c>
      <c r="I104" s="425">
        <f>VLOOKUP(A104,'[2]Tableau (2)'!$A$4:$D$312,4,FALSE)</f>
        <v>101.3</v>
      </c>
      <c r="J104" s="380"/>
      <c r="K104" s="357">
        <v>-6587.12</v>
      </c>
      <c r="L104" s="355">
        <v>566.70000000000005</v>
      </c>
      <c r="M104" s="357">
        <v>39826.550000000003</v>
      </c>
      <c r="N104" s="358">
        <f t="shared" si="2"/>
        <v>444546.24</v>
      </c>
      <c r="O104" s="34"/>
      <c r="P104" s="34">
        <v>230.3</v>
      </c>
      <c r="Q104" s="34">
        <v>18468.5</v>
      </c>
      <c r="R104" s="34"/>
      <c r="S104" s="34">
        <v>8668.25</v>
      </c>
      <c r="T104" s="359">
        <f t="shared" si="3"/>
        <v>471913.29</v>
      </c>
      <c r="U104" s="17">
        <v>68</v>
      </c>
      <c r="V104" s="32">
        <v>229</v>
      </c>
      <c r="W104" s="376">
        <v>-18640.64</v>
      </c>
      <c r="X104" s="34"/>
      <c r="Y104" s="34">
        <v>0</v>
      </c>
      <c r="Z104" s="34">
        <v>1</v>
      </c>
      <c r="AB104" s="414"/>
      <c r="AC104" s="414"/>
    </row>
    <row r="105" spans="1:29" x14ac:dyDescent="0.25">
      <c r="A105" s="370">
        <v>5561</v>
      </c>
      <c r="B105" s="354" t="s">
        <v>42</v>
      </c>
      <c r="C105" s="34">
        <v>6116231.0300000003</v>
      </c>
      <c r="D105" s="34">
        <v>1043158.96</v>
      </c>
      <c r="E105" s="380"/>
      <c r="F105" s="355"/>
      <c r="G105" s="425">
        <f>VLOOKUP(A105,'[1]Tableau (2)'!$A:$E,3,FALSE)</f>
        <v>127487.27</v>
      </c>
      <c r="H105" s="425">
        <f>VLOOKUP(A105,'[1]Tableau (2)'!$A:$E,4,FALSE)</f>
        <v>13315.400000000005</v>
      </c>
      <c r="I105" s="425">
        <f>VLOOKUP(A105,'[2]Tableau (2)'!$A$4:$D$312,4,FALSE)</f>
        <v>58611.95</v>
      </c>
      <c r="J105" s="380"/>
      <c r="K105" s="357">
        <v>115848.41</v>
      </c>
      <c r="L105" s="355">
        <v>28638.35</v>
      </c>
      <c r="M105" s="357">
        <v>555808.6</v>
      </c>
      <c r="N105" s="358">
        <f t="shared" si="2"/>
        <v>8059099.9699999997</v>
      </c>
      <c r="O105" s="34">
        <v>286091.09999999998</v>
      </c>
      <c r="P105" s="34">
        <v>183273.15</v>
      </c>
      <c r="Q105" s="34">
        <v>144671</v>
      </c>
      <c r="R105" s="34">
        <v>21529.73</v>
      </c>
      <c r="S105" s="34">
        <v>57269.75</v>
      </c>
      <c r="T105" s="359">
        <f t="shared" si="3"/>
        <v>8751934.6999999993</v>
      </c>
      <c r="U105" s="17">
        <v>69</v>
      </c>
      <c r="V105" s="32">
        <v>3284</v>
      </c>
      <c r="W105" s="376">
        <v>-99993.88</v>
      </c>
      <c r="X105" s="34"/>
      <c r="Y105" s="34">
        <v>-205.46</v>
      </c>
      <c r="Z105" s="34">
        <v>1</v>
      </c>
      <c r="AB105" s="414"/>
      <c r="AC105" s="414"/>
    </row>
    <row r="106" spans="1:29" x14ac:dyDescent="0.25">
      <c r="A106" s="370">
        <v>5562</v>
      </c>
      <c r="B106" s="354" t="s">
        <v>43</v>
      </c>
      <c r="C106" s="34">
        <v>241310.96</v>
      </c>
      <c r="D106" s="34">
        <v>135719.07</v>
      </c>
      <c r="E106" s="380"/>
      <c r="F106" s="355">
        <v>730</v>
      </c>
      <c r="G106" s="425">
        <f>VLOOKUP(A106,'[1]Tableau (2)'!$A:$E,3,FALSE)</f>
        <v>1063.22</v>
      </c>
      <c r="H106" s="425">
        <f>VLOOKUP(A106,'[1]Tableau (2)'!$A:$E,4,FALSE)</f>
        <v>114.10000000000001</v>
      </c>
      <c r="I106" s="425">
        <f>VLOOKUP(A106,'[2]Tableau (2)'!$A$4:$D$312,4,FALSE)</f>
        <v>380.1</v>
      </c>
      <c r="J106" s="380"/>
      <c r="K106" s="357">
        <v>6000.03</v>
      </c>
      <c r="L106" s="355">
        <v>1155.5</v>
      </c>
      <c r="M106" s="357">
        <v>32818.949999999997</v>
      </c>
      <c r="N106" s="358">
        <f t="shared" si="2"/>
        <v>419291.93</v>
      </c>
      <c r="O106" s="34"/>
      <c r="P106" s="34">
        <v>9400.5</v>
      </c>
      <c r="Q106" s="34">
        <v>3704.95</v>
      </c>
      <c r="R106" s="34">
        <v>110.97</v>
      </c>
      <c r="S106" s="34"/>
      <c r="T106" s="359">
        <f t="shared" si="3"/>
        <v>432508.35</v>
      </c>
      <c r="U106" s="17">
        <v>70</v>
      </c>
      <c r="V106" s="32">
        <v>119</v>
      </c>
      <c r="W106" s="376">
        <v>-739.61</v>
      </c>
      <c r="X106" s="34"/>
      <c r="Y106" s="34">
        <v>0</v>
      </c>
      <c r="Z106" s="34">
        <v>1.2</v>
      </c>
      <c r="AB106" s="414"/>
      <c r="AC106" s="414"/>
    </row>
    <row r="107" spans="1:29" x14ac:dyDescent="0.25">
      <c r="A107" s="370">
        <v>5563</v>
      </c>
      <c r="B107" s="354" t="s">
        <v>285</v>
      </c>
      <c r="C107" s="34">
        <v>177090.76</v>
      </c>
      <c r="D107" s="34">
        <v>44987.42</v>
      </c>
      <c r="E107" s="380"/>
      <c r="F107" s="355">
        <v>534</v>
      </c>
      <c r="G107" s="425">
        <f>VLOOKUP(A107,'[1]Tableau (2)'!$A:$E,3,FALSE)</f>
        <v>368.67</v>
      </c>
      <c r="H107" s="425">
        <f>VLOOKUP(A107,'[1]Tableau (2)'!$A:$E,4,FALSE)</f>
        <v>22.5</v>
      </c>
      <c r="I107" s="425">
        <f>VLOOKUP(A107,'[2]Tableau (2)'!$A$4:$D$312,4,FALSE)</f>
        <v>135</v>
      </c>
      <c r="J107" s="380"/>
      <c r="K107" s="357">
        <v>332.06</v>
      </c>
      <c r="L107" s="355"/>
      <c r="M107" s="357">
        <v>20665.95</v>
      </c>
      <c r="N107" s="358">
        <f t="shared" si="2"/>
        <v>244136.36000000002</v>
      </c>
      <c r="O107" s="34"/>
      <c r="P107" s="34">
        <v>26.9</v>
      </c>
      <c r="Q107" s="34">
        <v>11950.95</v>
      </c>
      <c r="R107" s="34"/>
      <c r="S107" s="34">
        <v>265.14999999999998</v>
      </c>
      <c r="T107" s="359">
        <f t="shared" si="3"/>
        <v>256379.36000000002</v>
      </c>
      <c r="U107" s="17">
        <v>78.5</v>
      </c>
      <c r="V107" s="32">
        <v>163</v>
      </c>
      <c r="W107" s="376">
        <v>-58.14</v>
      </c>
      <c r="X107" s="34"/>
      <c r="Y107" s="34">
        <v>0</v>
      </c>
      <c r="Z107" s="34">
        <v>1</v>
      </c>
      <c r="AB107" s="414"/>
      <c r="AC107" s="414"/>
    </row>
    <row r="108" spans="1:29" x14ac:dyDescent="0.25">
      <c r="A108" s="370">
        <v>5564</v>
      </c>
      <c r="B108" s="354" t="s">
        <v>286</v>
      </c>
      <c r="C108" s="34">
        <v>175592.64</v>
      </c>
      <c r="D108" s="34">
        <v>15016.12</v>
      </c>
      <c r="E108" s="380"/>
      <c r="F108" s="355"/>
      <c r="G108" s="425">
        <f>VLOOKUP(A108,'[1]Tableau (2)'!$A:$E,3,FALSE)</f>
        <v>100.72</v>
      </c>
      <c r="H108" s="425">
        <f>VLOOKUP(A108,'[1]Tableau (2)'!$A:$E,4,FALSE)</f>
        <v>23.7</v>
      </c>
      <c r="I108" s="425">
        <f>VLOOKUP(A108,'[2]Tableau (2)'!$A$4:$D$312,4,FALSE)</f>
        <v>32.75</v>
      </c>
      <c r="J108" s="380"/>
      <c r="K108" s="357">
        <v>-235.32</v>
      </c>
      <c r="L108" s="355"/>
      <c r="M108" s="357">
        <v>10289.75</v>
      </c>
      <c r="N108" s="358">
        <f t="shared" si="2"/>
        <v>200820.36000000002</v>
      </c>
      <c r="O108" s="34"/>
      <c r="P108" s="34"/>
      <c r="Q108" s="34">
        <v>9361</v>
      </c>
      <c r="R108" s="34"/>
      <c r="S108" s="34">
        <v>7491.2</v>
      </c>
      <c r="T108" s="359">
        <f t="shared" si="3"/>
        <v>217672.56000000003</v>
      </c>
      <c r="U108" s="17">
        <v>76</v>
      </c>
      <c r="V108" s="32">
        <v>101</v>
      </c>
      <c r="W108" s="376">
        <v>-3823.54</v>
      </c>
      <c r="X108" s="34"/>
      <c r="Y108" s="34">
        <v>-9.23</v>
      </c>
      <c r="Z108" s="34">
        <v>0.8</v>
      </c>
      <c r="AB108" s="414"/>
      <c r="AC108" s="414"/>
    </row>
    <row r="109" spans="1:29" x14ac:dyDescent="0.25">
      <c r="A109" s="370">
        <v>5565</v>
      </c>
      <c r="B109" s="354" t="s">
        <v>287</v>
      </c>
      <c r="C109" s="34">
        <v>931094.6</v>
      </c>
      <c r="D109" s="34">
        <v>81586.06</v>
      </c>
      <c r="E109" s="380"/>
      <c r="F109" s="355"/>
      <c r="G109" s="425">
        <f>VLOOKUP(A109,'[1]Tableau (2)'!$A:$E,3,FALSE)</f>
        <v>45585.59</v>
      </c>
      <c r="H109" s="425">
        <f>VLOOKUP(A109,'[1]Tableau (2)'!$A:$E,4,FALSE)</f>
        <v>7621.9000000000015</v>
      </c>
      <c r="I109" s="425">
        <f>VLOOKUP(A109,'[2]Tableau (2)'!$A$4:$D$312,4,FALSE)</f>
        <v>16847.150000000001</v>
      </c>
      <c r="J109" s="380"/>
      <c r="K109" s="357">
        <v>1925.84</v>
      </c>
      <c r="L109" s="355">
        <v>789.15</v>
      </c>
      <c r="M109" s="357">
        <v>120553.25</v>
      </c>
      <c r="N109" s="358">
        <f t="shared" si="2"/>
        <v>1206003.5399999998</v>
      </c>
      <c r="O109" s="34">
        <v>31110.9</v>
      </c>
      <c r="P109" s="34">
        <v>3481.8</v>
      </c>
      <c r="Q109" s="34">
        <v>20231.849999999999</v>
      </c>
      <c r="R109" s="34">
        <v>2138.75</v>
      </c>
      <c r="S109" s="34">
        <v>56108.15</v>
      </c>
      <c r="T109" s="359">
        <f t="shared" si="3"/>
        <v>1319074.9899999998</v>
      </c>
      <c r="U109" s="17">
        <v>65</v>
      </c>
      <c r="V109" s="32">
        <v>477</v>
      </c>
      <c r="W109" s="376">
        <v>-5300.93</v>
      </c>
      <c r="X109" s="34"/>
      <c r="Y109" s="34">
        <v>-1131.3499999999999</v>
      </c>
      <c r="Z109" s="34">
        <v>1</v>
      </c>
      <c r="AB109" s="414"/>
      <c r="AC109" s="414"/>
    </row>
    <row r="110" spans="1:29" x14ac:dyDescent="0.25">
      <c r="A110" s="370">
        <v>5566</v>
      </c>
      <c r="B110" s="354" t="s">
        <v>288</v>
      </c>
      <c r="C110" s="34">
        <v>523710.27</v>
      </c>
      <c r="D110" s="34">
        <v>58343.87</v>
      </c>
      <c r="E110" s="380"/>
      <c r="F110" s="355">
        <v>2640</v>
      </c>
      <c r="G110" s="425">
        <f>VLOOKUP(A110,'[1]Tableau (2)'!$A:$E,3,FALSE)</f>
        <v>2962.59</v>
      </c>
      <c r="H110" s="425">
        <f>VLOOKUP(A110,'[1]Tableau (2)'!$A:$E,4,FALSE)</f>
        <v>3602.7000000000003</v>
      </c>
      <c r="I110" s="425">
        <f>VLOOKUP(A110,'[2]Tableau (2)'!$A$4:$D$312,4,FALSE)</f>
        <v>1223.05</v>
      </c>
      <c r="J110" s="380"/>
      <c r="K110" s="357">
        <v>9052.56</v>
      </c>
      <c r="L110" s="355">
        <v>-23.099999999999898</v>
      </c>
      <c r="M110" s="357">
        <v>75224.600000000006</v>
      </c>
      <c r="N110" s="358">
        <f t="shared" si="2"/>
        <v>676736.54</v>
      </c>
      <c r="O110" s="34">
        <v>50657.7</v>
      </c>
      <c r="P110" s="34">
        <v>1.7</v>
      </c>
      <c r="Q110" s="34">
        <v>8915.7999999999993</v>
      </c>
      <c r="R110" s="34"/>
      <c r="S110" s="34">
        <v>290.2</v>
      </c>
      <c r="T110" s="359">
        <f t="shared" si="3"/>
        <v>736601.94</v>
      </c>
      <c r="U110" s="17">
        <v>81</v>
      </c>
      <c r="V110" s="32">
        <v>388</v>
      </c>
      <c r="W110" s="376">
        <v>-8666.65</v>
      </c>
      <c r="X110" s="34"/>
      <c r="Y110" s="34">
        <v>0</v>
      </c>
      <c r="Z110" s="34">
        <v>1.5</v>
      </c>
      <c r="AB110" s="414"/>
      <c r="AC110" s="414"/>
    </row>
    <row r="111" spans="1:29" x14ac:dyDescent="0.25">
      <c r="A111" s="370">
        <v>5568</v>
      </c>
      <c r="B111" s="354" t="s">
        <v>119</v>
      </c>
      <c r="C111" s="34">
        <v>5576252.7199999997</v>
      </c>
      <c r="D111" s="34">
        <v>655255.12</v>
      </c>
      <c r="E111" s="380"/>
      <c r="F111" s="355"/>
      <c r="G111" s="425">
        <f>VLOOKUP(A111,'[1]Tableau (2)'!$A:$E,3,FALSE)</f>
        <v>114964.08</v>
      </c>
      <c r="H111" s="425">
        <f>VLOOKUP(A111,'[1]Tableau (2)'!$A:$E,4,FALSE)</f>
        <v>33118.550000000017</v>
      </c>
      <c r="I111" s="425">
        <f>VLOOKUP(A111,'[2]Tableau (2)'!$A$4:$D$312,4,FALSE)</f>
        <v>41349.35</v>
      </c>
      <c r="J111" s="380">
        <v>20500.55</v>
      </c>
      <c r="K111" s="357">
        <v>192599.97</v>
      </c>
      <c r="L111" s="355">
        <v>26904.6</v>
      </c>
      <c r="M111" s="357">
        <v>562788.85</v>
      </c>
      <c r="N111" s="358">
        <f t="shared" si="2"/>
        <v>7223733.7899999982</v>
      </c>
      <c r="O111" s="34">
        <v>1743574.2</v>
      </c>
      <c r="P111" s="34">
        <v>258421.5</v>
      </c>
      <c r="Q111" s="34">
        <v>366778.65</v>
      </c>
      <c r="R111" s="34">
        <v>25893.38</v>
      </c>
      <c r="S111" s="34">
        <v>191597.4</v>
      </c>
      <c r="T111" s="359">
        <f t="shared" si="3"/>
        <v>9809998.9199999999</v>
      </c>
      <c r="U111" s="17">
        <v>70</v>
      </c>
      <c r="V111" s="32">
        <v>4919</v>
      </c>
      <c r="W111" s="376">
        <v>-274598.14</v>
      </c>
      <c r="X111" s="34"/>
      <c r="Y111" s="34">
        <v>-192.32</v>
      </c>
      <c r="Z111" s="34">
        <v>1</v>
      </c>
      <c r="AB111" s="414"/>
      <c r="AC111" s="414"/>
    </row>
    <row r="112" spans="1:29" x14ac:dyDescent="0.25">
      <c r="A112" s="370">
        <v>5571</v>
      </c>
      <c r="B112" s="354" t="s">
        <v>429</v>
      </c>
      <c r="C112" s="34">
        <v>1225692.1599999999</v>
      </c>
      <c r="D112" s="34">
        <v>153869.65</v>
      </c>
      <c r="E112" s="380"/>
      <c r="F112" s="355"/>
      <c r="G112" s="425">
        <f>VLOOKUP(A112,'[1]Tableau (2)'!$A:$E,3,FALSE)</f>
        <v>2646.85</v>
      </c>
      <c r="H112" s="425">
        <f>VLOOKUP(A112,'[1]Tableau (2)'!$A:$E,4,FALSE)</f>
        <v>310.09999999999997</v>
      </c>
      <c r="I112" s="425">
        <f>VLOOKUP(A112,'[2]Tableau (2)'!$A$4:$D$312,4,FALSE)</f>
        <v>755.35</v>
      </c>
      <c r="J112" s="380"/>
      <c r="K112" s="357">
        <v>26791.5</v>
      </c>
      <c r="L112" s="355">
        <v>5592.2</v>
      </c>
      <c r="M112" s="357">
        <v>176239.05</v>
      </c>
      <c r="N112" s="358">
        <f t="shared" si="2"/>
        <v>1591896.86</v>
      </c>
      <c r="O112" s="34">
        <v>63422.35</v>
      </c>
      <c r="P112" s="34">
        <v>19082.3</v>
      </c>
      <c r="Q112" s="34">
        <v>55632.45</v>
      </c>
      <c r="R112" s="34">
        <v>178</v>
      </c>
      <c r="S112" s="34">
        <v>7670.85</v>
      </c>
      <c r="T112" s="359">
        <f t="shared" si="3"/>
        <v>1737882.8100000003</v>
      </c>
      <c r="U112" s="17">
        <v>73</v>
      </c>
      <c r="V112" s="32">
        <v>843</v>
      </c>
      <c r="W112" s="376">
        <v>-5991.38</v>
      </c>
      <c r="X112" s="34"/>
      <c r="Y112" s="34">
        <v>-12.32</v>
      </c>
      <c r="Z112" s="34">
        <v>1.2</v>
      </c>
      <c r="AB112" s="414"/>
      <c r="AC112" s="414"/>
    </row>
    <row r="113" spans="1:29" x14ac:dyDescent="0.25">
      <c r="A113" s="370">
        <v>5581</v>
      </c>
      <c r="B113" s="354" t="s">
        <v>389</v>
      </c>
      <c r="C113" s="34">
        <v>10456519.57</v>
      </c>
      <c r="D113" s="34">
        <v>1768091.96</v>
      </c>
      <c r="E113" s="380"/>
      <c r="F113" s="355"/>
      <c r="G113" s="425">
        <f>VLOOKUP(A113,'[1]Tableau (2)'!$A:$E,3,FALSE)</f>
        <v>68111.53</v>
      </c>
      <c r="H113" s="425">
        <f>VLOOKUP(A113,'[1]Tableau (2)'!$A:$E,4,FALSE)</f>
        <v>4820.2999999999993</v>
      </c>
      <c r="I113" s="425">
        <f>VLOOKUP(A113,'[2]Tableau (2)'!$A$4:$D$312,4,FALSE)</f>
        <v>27676</v>
      </c>
      <c r="J113" s="380">
        <v>45845.8</v>
      </c>
      <c r="K113" s="357">
        <v>230574.48</v>
      </c>
      <c r="L113" s="355">
        <v>15263.3</v>
      </c>
      <c r="M113" s="357">
        <v>1251240.8500000001</v>
      </c>
      <c r="N113" s="358">
        <f t="shared" si="2"/>
        <v>13868143.790000003</v>
      </c>
      <c r="O113" s="34">
        <v>1995.25</v>
      </c>
      <c r="P113" s="34">
        <v>284598.40000000002</v>
      </c>
      <c r="Q113" s="34">
        <v>451188.45</v>
      </c>
      <c r="R113" s="34">
        <v>6150.02</v>
      </c>
      <c r="S113" s="34">
        <v>272878.59999999998</v>
      </c>
      <c r="T113" s="359">
        <f t="shared" si="3"/>
        <v>14884954.510000002</v>
      </c>
      <c r="U113" s="17">
        <v>69.5</v>
      </c>
      <c r="V113" s="32">
        <v>3662</v>
      </c>
      <c r="W113" s="376">
        <v>-103362.51</v>
      </c>
      <c r="X113" s="34"/>
      <c r="Y113" s="34">
        <v>-6240.87</v>
      </c>
      <c r="Z113" s="34">
        <v>1.5</v>
      </c>
      <c r="AB113" s="414"/>
      <c r="AC113" s="414"/>
    </row>
    <row r="114" spans="1:29" x14ac:dyDescent="0.25">
      <c r="A114" s="370">
        <v>5582</v>
      </c>
      <c r="B114" s="354" t="s">
        <v>390</v>
      </c>
      <c r="C114" s="34">
        <v>10177902.939999999</v>
      </c>
      <c r="D114" s="34">
        <v>1094553.56</v>
      </c>
      <c r="E114" s="380"/>
      <c r="F114" s="355"/>
      <c r="G114" s="425">
        <f>VLOOKUP(A114,'[1]Tableau (2)'!$A:$E,3,FALSE)</f>
        <v>334889.51</v>
      </c>
      <c r="H114" s="425">
        <f>VLOOKUP(A114,'[1]Tableau (2)'!$A:$E,4,FALSE)</f>
        <v>500007.35</v>
      </c>
      <c r="I114" s="425">
        <f>VLOOKUP(A114,'[2]Tableau (2)'!$A$4:$D$312,4,FALSE)</f>
        <v>215895.55</v>
      </c>
      <c r="J114" s="380">
        <v>6112.4</v>
      </c>
      <c r="K114" s="357">
        <v>306180.03999999998</v>
      </c>
      <c r="L114" s="355">
        <v>56605</v>
      </c>
      <c r="M114" s="357">
        <v>806348.25</v>
      </c>
      <c r="N114" s="358">
        <f t="shared" si="2"/>
        <v>13498494.6</v>
      </c>
      <c r="O114" s="34">
        <v>427863.35</v>
      </c>
      <c r="P114" s="34">
        <v>28288.75</v>
      </c>
      <c r="Q114" s="34">
        <v>86737.5</v>
      </c>
      <c r="R114" s="34">
        <v>39020.6</v>
      </c>
      <c r="S114" s="34">
        <v>68341.649999999994</v>
      </c>
      <c r="T114" s="359">
        <f t="shared" si="3"/>
        <v>14148746.449999999</v>
      </c>
      <c r="U114" s="17">
        <v>74.5</v>
      </c>
      <c r="V114" s="32">
        <v>4357</v>
      </c>
      <c r="W114" s="376">
        <v>-180259.86</v>
      </c>
      <c r="X114" s="34"/>
      <c r="Y114" s="34">
        <v>-21557.85</v>
      </c>
      <c r="Z114" s="34">
        <v>1</v>
      </c>
      <c r="AB114" s="414"/>
      <c r="AC114" s="414"/>
    </row>
    <row r="115" spans="1:29" x14ac:dyDescent="0.25">
      <c r="A115" s="370">
        <v>5583</v>
      </c>
      <c r="B115" s="354" t="s">
        <v>391</v>
      </c>
      <c r="C115" s="34">
        <v>11356037.949999999</v>
      </c>
      <c r="D115" s="34">
        <v>1481765.05</v>
      </c>
      <c r="E115" s="380"/>
      <c r="F115" s="355"/>
      <c r="G115" s="425">
        <f>VLOOKUP(A115,'[1]Tableau (2)'!$A:$E,3,FALSE)</f>
        <v>1888111.64</v>
      </c>
      <c r="H115" s="425">
        <f>VLOOKUP(A115,'[1]Tableau (2)'!$A:$E,4,FALSE)</f>
        <v>408488.79999999964</v>
      </c>
      <c r="I115" s="425">
        <f>VLOOKUP(A115,'[2]Tableau (2)'!$A$4:$D$312,4,FALSE)</f>
        <v>745104.95</v>
      </c>
      <c r="J115" s="380"/>
      <c r="K115" s="357">
        <v>959554.86</v>
      </c>
      <c r="L115" s="355">
        <v>251936.15</v>
      </c>
      <c r="M115" s="357">
        <v>2220672.4</v>
      </c>
      <c r="N115" s="358">
        <f t="shared" si="2"/>
        <v>19311671.799999997</v>
      </c>
      <c r="O115" s="34">
        <v>1504095.45</v>
      </c>
      <c r="P115" s="34">
        <v>232239.5</v>
      </c>
      <c r="Q115" s="34">
        <v>588448.1</v>
      </c>
      <c r="R115" s="34">
        <v>45886.8</v>
      </c>
      <c r="S115" s="34">
        <v>265995.95</v>
      </c>
      <c r="T115" s="359">
        <f t="shared" si="3"/>
        <v>21948337.599999998</v>
      </c>
      <c r="U115" s="17">
        <v>65</v>
      </c>
      <c r="V115" s="32">
        <v>8008</v>
      </c>
      <c r="W115" s="376">
        <v>-211215.1</v>
      </c>
      <c r="X115" s="34"/>
      <c r="Y115" s="34">
        <v>-892.31</v>
      </c>
      <c r="Z115" s="34">
        <v>1</v>
      </c>
      <c r="AB115" s="414"/>
      <c r="AC115" s="414"/>
    </row>
    <row r="116" spans="1:29" x14ac:dyDescent="0.25">
      <c r="A116" s="370">
        <v>5584</v>
      </c>
      <c r="B116" s="354" t="s">
        <v>392</v>
      </c>
      <c r="C116" s="34">
        <v>20613461.73</v>
      </c>
      <c r="D116" s="34">
        <v>3789782.94</v>
      </c>
      <c r="E116" s="380"/>
      <c r="F116" s="355"/>
      <c r="G116" s="425">
        <f>VLOOKUP(A116,'[1]Tableau (2)'!$A:$E,3,FALSE)</f>
        <v>229868.99</v>
      </c>
      <c r="H116" s="425">
        <f>VLOOKUP(A116,'[1]Tableau (2)'!$A:$E,4,FALSE)</f>
        <v>-1005849.9999999992</v>
      </c>
      <c r="I116" s="425">
        <f>VLOOKUP(A116,'[2]Tableau (2)'!$A$4:$D$312,4,FALSE)</f>
        <v>158463.6</v>
      </c>
      <c r="J116" s="380">
        <v>449775.83</v>
      </c>
      <c r="K116" s="357">
        <v>964780.37</v>
      </c>
      <c r="L116" s="355">
        <v>194772.65</v>
      </c>
      <c r="M116" s="357">
        <v>2086777.35</v>
      </c>
      <c r="N116" s="358">
        <f t="shared" si="2"/>
        <v>27481833.460000001</v>
      </c>
      <c r="O116" s="34">
        <v>219156.75</v>
      </c>
      <c r="P116" s="34">
        <v>1157192.7</v>
      </c>
      <c r="Q116" s="34">
        <v>1047265.6</v>
      </c>
      <c r="R116" s="34">
        <v>71983.72</v>
      </c>
      <c r="S116" s="34">
        <v>579238.80000000005</v>
      </c>
      <c r="T116" s="359">
        <f t="shared" si="3"/>
        <v>30556671.030000001</v>
      </c>
      <c r="U116" s="17">
        <v>66</v>
      </c>
      <c r="V116" s="32">
        <v>9335</v>
      </c>
      <c r="W116" s="376">
        <v>-191928.64</v>
      </c>
      <c r="X116" s="34"/>
      <c r="Y116" s="34">
        <v>-11614.33</v>
      </c>
      <c r="Z116" s="34">
        <v>1</v>
      </c>
      <c r="AB116" s="414"/>
      <c r="AC116" s="414"/>
    </row>
    <row r="117" spans="1:29" x14ac:dyDescent="0.25">
      <c r="A117" s="370">
        <v>5585</v>
      </c>
      <c r="B117" s="354" t="s">
        <v>393</v>
      </c>
      <c r="C117" s="34">
        <v>11787578.619999999</v>
      </c>
      <c r="D117" s="34">
        <v>-3466797.84</v>
      </c>
      <c r="E117" s="380"/>
      <c r="F117" s="355"/>
      <c r="G117" s="425">
        <f>VLOOKUP(A117,'[1]Tableau (2)'!$A:$E,3,FALSE)</f>
        <v>13058.37</v>
      </c>
      <c r="H117" s="425">
        <f>VLOOKUP(A117,'[1]Tableau (2)'!$A:$E,4,FALSE)</f>
        <v>1302.7</v>
      </c>
      <c r="I117" s="425">
        <f>VLOOKUP(A117,'[2]Tableau (2)'!$A$4:$D$312,4,FALSE)</f>
        <v>4977.8500000000004</v>
      </c>
      <c r="J117" s="380">
        <v>191139.55</v>
      </c>
      <c r="K117" s="357">
        <v>105622.14</v>
      </c>
      <c r="L117" s="355">
        <v>8759.75</v>
      </c>
      <c r="M117" s="360">
        <v>468157</v>
      </c>
      <c r="N117" s="358">
        <f t="shared" si="2"/>
        <v>9113798.1400000006</v>
      </c>
      <c r="O117" s="34">
        <v>2700.5</v>
      </c>
      <c r="P117" s="34">
        <v>2874</v>
      </c>
      <c r="Q117" s="34">
        <v>265167.55</v>
      </c>
      <c r="R117" s="34">
        <v>124.15</v>
      </c>
      <c r="S117" s="34">
        <v>91435.55</v>
      </c>
      <c r="T117" s="359">
        <f t="shared" si="3"/>
        <v>9476099.8900000025</v>
      </c>
      <c r="U117" s="17">
        <v>53</v>
      </c>
      <c r="V117" s="32">
        <v>1469</v>
      </c>
      <c r="W117" s="376">
        <v>-13719.95</v>
      </c>
      <c r="X117" s="34"/>
      <c r="Y117" s="34">
        <v>-6109.11</v>
      </c>
      <c r="Z117" s="363">
        <v>1</v>
      </c>
      <c r="AB117" s="414"/>
      <c r="AC117" s="414"/>
    </row>
    <row r="118" spans="1:29" x14ac:dyDescent="0.25">
      <c r="A118" s="370">
        <v>5586</v>
      </c>
      <c r="B118" s="354" t="s">
        <v>120</v>
      </c>
      <c r="C118" s="34">
        <v>291150674.94999999</v>
      </c>
      <c r="D118" s="34">
        <v>37299702.810000002</v>
      </c>
      <c r="E118" s="380"/>
      <c r="F118" s="355"/>
      <c r="G118" s="425">
        <f>VLOOKUP(A118,'[1]Tableau (2)'!$A:$E,3,FALSE)</f>
        <v>49762554.890000001</v>
      </c>
      <c r="H118" s="425">
        <f>VLOOKUP(A118,'[1]Tableau (2)'!$A:$E,4,FALSE)</f>
        <v>9783549.0500000082</v>
      </c>
      <c r="I118" s="425">
        <f>VLOOKUP(A118,'[2]Tableau (2)'!$A$4:$D$312,4,FALSE)</f>
        <v>15999839.1</v>
      </c>
      <c r="J118" s="380">
        <v>5799695.9100000001</v>
      </c>
      <c r="K118" s="357">
        <v>30725353.239999998</v>
      </c>
      <c r="L118" s="355">
        <v>4752809.0999999996</v>
      </c>
      <c r="M118" s="357">
        <v>35300074.5</v>
      </c>
      <c r="N118" s="358">
        <f t="shared" si="2"/>
        <v>480574253.55000007</v>
      </c>
      <c r="O118" s="34">
        <v>11465768.75</v>
      </c>
      <c r="P118" s="34">
        <v>15718211.449999999</v>
      </c>
      <c r="Q118" s="34">
        <v>10805595.9</v>
      </c>
      <c r="R118" s="34">
        <v>2063219.95</v>
      </c>
      <c r="S118" s="34">
        <v>7005620.75</v>
      </c>
      <c r="T118" s="359">
        <f t="shared" si="3"/>
        <v>527632670.35000002</v>
      </c>
      <c r="U118" s="17">
        <v>79</v>
      </c>
      <c r="V118" s="32">
        <v>139624</v>
      </c>
      <c r="W118" s="376">
        <v>-6590560.71</v>
      </c>
      <c r="X118" s="34"/>
      <c r="Y118" s="34">
        <v>-407222.94</v>
      </c>
      <c r="Z118" s="34">
        <v>1.5</v>
      </c>
      <c r="AB118" s="414"/>
      <c r="AC118" s="414"/>
    </row>
    <row r="119" spans="1:29" x14ac:dyDescent="0.25">
      <c r="A119" s="370">
        <v>5587</v>
      </c>
      <c r="B119" s="354" t="s">
        <v>121</v>
      </c>
      <c r="C119" s="34">
        <v>21894715.309999999</v>
      </c>
      <c r="D119" s="34">
        <v>3674764.8</v>
      </c>
      <c r="E119" s="380"/>
      <c r="F119" s="355"/>
      <c r="G119" s="425">
        <f>VLOOKUP(A119,'[1]Tableau (2)'!$A:$E,3,FALSE)</f>
        <v>1108768.8999999999</v>
      </c>
      <c r="H119" s="425">
        <f>VLOOKUP(A119,'[1]Tableau (2)'!$A:$E,4,FALSE)</f>
        <v>1263967.4000000008</v>
      </c>
      <c r="I119" s="425">
        <f>VLOOKUP(A119,'[2]Tableau (2)'!$A$4:$D$312,4,FALSE)</f>
        <v>458689.6</v>
      </c>
      <c r="J119" s="380">
        <v>250946.15</v>
      </c>
      <c r="K119" s="357">
        <v>542839.71</v>
      </c>
      <c r="L119" s="355">
        <v>131716.54999999999</v>
      </c>
      <c r="M119" s="357">
        <v>2492746.65</v>
      </c>
      <c r="N119" s="358">
        <f t="shared" si="2"/>
        <v>31819155.07</v>
      </c>
      <c r="O119" s="34">
        <v>355226.65</v>
      </c>
      <c r="P119" s="34">
        <v>256200.8</v>
      </c>
      <c r="Q119" s="34">
        <v>1147492.2</v>
      </c>
      <c r="R119" s="34">
        <v>150619.32</v>
      </c>
      <c r="S119" s="34">
        <v>516311.75</v>
      </c>
      <c r="T119" s="359">
        <f t="shared" si="3"/>
        <v>34245005.789999999</v>
      </c>
      <c r="U119" s="17">
        <v>75</v>
      </c>
      <c r="V119" s="32">
        <v>8093</v>
      </c>
      <c r="W119" s="376">
        <v>-354247.71</v>
      </c>
      <c r="X119" s="34"/>
      <c r="Y119" s="34">
        <v>-4145.43</v>
      </c>
      <c r="Z119" s="34">
        <v>1.2</v>
      </c>
      <c r="AB119" s="414"/>
      <c r="AC119" s="414"/>
    </row>
    <row r="120" spans="1:29" x14ac:dyDescent="0.25">
      <c r="A120" s="370">
        <v>5588</v>
      </c>
      <c r="B120" s="354" t="s">
        <v>122</v>
      </c>
      <c r="C120" s="34">
        <v>4357502.59</v>
      </c>
      <c r="D120" s="34">
        <v>2471345.9700000002</v>
      </c>
      <c r="E120" s="380"/>
      <c r="F120" s="355"/>
      <c r="G120" s="425">
        <f>VLOOKUP(A120,'[1]Tableau (2)'!$A:$E,3,FALSE)</f>
        <v>435932.86</v>
      </c>
      <c r="H120" s="425">
        <f>VLOOKUP(A120,'[1]Tableau (2)'!$A:$E,4,FALSE)</f>
        <v>434790.90000000055</v>
      </c>
      <c r="I120" s="425">
        <f>VLOOKUP(A120,'[2]Tableau (2)'!$A$4:$D$312,4,FALSE)</f>
        <v>171448.4</v>
      </c>
      <c r="J120" s="380">
        <v>502840.3</v>
      </c>
      <c r="K120" s="357">
        <v>186106.18</v>
      </c>
      <c r="L120" s="355">
        <v>35870.550000000003</v>
      </c>
      <c r="M120" s="357">
        <v>348590.5</v>
      </c>
      <c r="N120" s="358">
        <f t="shared" si="2"/>
        <v>8944428.2500000019</v>
      </c>
      <c r="O120" s="34">
        <v>20053.349999999999</v>
      </c>
      <c r="P120" s="34"/>
      <c r="Q120" s="34">
        <v>3936.35</v>
      </c>
      <c r="R120" s="34">
        <v>37217.24</v>
      </c>
      <c r="S120" s="34">
        <v>9970.4500000000007</v>
      </c>
      <c r="T120" s="359">
        <f t="shared" si="3"/>
        <v>9015605.6400000006</v>
      </c>
      <c r="U120" s="17">
        <v>61.5</v>
      </c>
      <c r="V120" s="32">
        <v>1480</v>
      </c>
      <c r="W120" s="376">
        <v>-63507.72</v>
      </c>
      <c r="X120" s="34"/>
      <c r="Y120" s="34">
        <v>-14104.66</v>
      </c>
      <c r="Z120" s="34">
        <v>0.7</v>
      </c>
      <c r="AB120" s="414"/>
      <c r="AC120" s="414"/>
    </row>
    <row r="121" spans="1:29" x14ac:dyDescent="0.25">
      <c r="A121" s="370">
        <v>5589</v>
      </c>
      <c r="B121" s="354" t="s">
        <v>123</v>
      </c>
      <c r="C121" s="34">
        <v>18371438.02</v>
      </c>
      <c r="D121" s="34">
        <v>2003737.47</v>
      </c>
      <c r="E121" s="380"/>
      <c r="F121" s="355"/>
      <c r="G121" s="425">
        <f>VLOOKUP(A121,'[1]Tableau (2)'!$A:$E,3,FALSE)</f>
        <v>3417722.15</v>
      </c>
      <c r="H121" s="425">
        <f>VLOOKUP(A121,'[1]Tableau (2)'!$A:$E,4,FALSE)</f>
        <v>360475.14999999909</v>
      </c>
      <c r="I121" s="425">
        <f>VLOOKUP(A121,'[2]Tableau (2)'!$A$4:$D$312,4,FALSE)</f>
        <v>1380604.05</v>
      </c>
      <c r="J121" s="380">
        <v>54271.199999999997</v>
      </c>
      <c r="K121" s="357">
        <v>1732294.57</v>
      </c>
      <c r="L121" s="355">
        <v>337707.75</v>
      </c>
      <c r="M121" s="357">
        <v>1933853.55</v>
      </c>
      <c r="N121" s="358">
        <f t="shared" si="2"/>
        <v>29592103.909999996</v>
      </c>
      <c r="O121" s="34">
        <v>1032878.5</v>
      </c>
      <c r="P121" s="34">
        <v>201994.7</v>
      </c>
      <c r="Q121" s="34">
        <v>960911.4</v>
      </c>
      <c r="R121" s="34">
        <v>54455.05</v>
      </c>
      <c r="S121" s="34">
        <v>506836.85</v>
      </c>
      <c r="T121" s="359">
        <f t="shared" si="3"/>
        <v>32349180.409999996</v>
      </c>
      <c r="U121" s="17">
        <v>73.5</v>
      </c>
      <c r="V121" s="32">
        <v>12105</v>
      </c>
      <c r="W121" s="376">
        <v>-446004.61</v>
      </c>
      <c r="X121" s="34"/>
      <c r="Y121" s="34">
        <v>-1839.55</v>
      </c>
      <c r="Z121" s="34">
        <v>1</v>
      </c>
      <c r="AB121" s="414"/>
      <c r="AC121" s="414"/>
    </row>
    <row r="122" spans="1:29" x14ac:dyDescent="0.25">
      <c r="A122" s="370">
        <v>5590</v>
      </c>
      <c r="B122" s="354" t="s">
        <v>124</v>
      </c>
      <c r="C122" s="34">
        <v>57163546.280000001</v>
      </c>
      <c r="D122" s="34">
        <v>15299735.52</v>
      </c>
      <c r="E122" s="380"/>
      <c r="F122" s="355"/>
      <c r="G122" s="425">
        <f>VLOOKUP(A122,'[1]Tableau (2)'!$A:$E,3,FALSE)</f>
        <v>3641966.34</v>
      </c>
      <c r="H122" s="425">
        <f>VLOOKUP(A122,'[1]Tableau (2)'!$A:$E,4,FALSE)</f>
        <v>463272.49999999948</v>
      </c>
      <c r="I122" s="425">
        <f>VLOOKUP(A122,'[2]Tableau (2)'!$A$4:$D$312,4,FALSE)</f>
        <v>995250</v>
      </c>
      <c r="J122" s="380">
        <v>3621743.43</v>
      </c>
      <c r="K122" s="357">
        <v>1741867.3</v>
      </c>
      <c r="L122" s="355">
        <v>309800.8</v>
      </c>
      <c r="M122" s="357">
        <v>3267356.2</v>
      </c>
      <c r="N122" s="358">
        <f t="shared" si="2"/>
        <v>86504538.370000005</v>
      </c>
      <c r="O122" s="34">
        <v>168670.35</v>
      </c>
      <c r="P122" s="34">
        <v>5379877.5</v>
      </c>
      <c r="Q122" s="34">
        <v>2711661.65</v>
      </c>
      <c r="R122" s="34">
        <v>392296.19</v>
      </c>
      <c r="S122" s="34">
        <v>2241981.85</v>
      </c>
      <c r="T122" s="359">
        <f t="shared" si="3"/>
        <v>97399025.909999996</v>
      </c>
      <c r="U122" s="17">
        <v>61</v>
      </c>
      <c r="V122" s="32">
        <v>18194</v>
      </c>
      <c r="W122" s="376">
        <v>-588597.21</v>
      </c>
      <c r="X122" s="34"/>
      <c r="Y122" s="34">
        <v>-106213.75999999999</v>
      </c>
      <c r="Z122" s="34">
        <v>0.7</v>
      </c>
      <c r="AB122" s="414"/>
      <c r="AC122" s="414"/>
    </row>
    <row r="123" spans="1:29" x14ac:dyDescent="0.25">
      <c r="A123" s="370">
        <v>5591</v>
      </c>
      <c r="B123" s="354" t="s">
        <v>396</v>
      </c>
      <c r="C123" s="34">
        <v>28662670.719999999</v>
      </c>
      <c r="D123" s="34">
        <v>2766423.08</v>
      </c>
      <c r="E123" s="380"/>
      <c r="F123" s="355"/>
      <c r="G123" s="425">
        <f>VLOOKUP(A123,'[1]Tableau (2)'!$A:$E,3,FALSE)</f>
        <v>2655780.08</v>
      </c>
      <c r="H123" s="425">
        <f>VLOOKUP(A123,'[1]Tableau (2)'!$A:$E,4,FALSE)</f>
        <v>998089.00000000058</v>
      </c>
      <c r="I123" s="425">
        <f>VLOOKUP(A123,'[2]Tableau (2)'!$A$4:$D$312,4,FALSE)</f>
        <v>790439.6</v>
      </c>
      <c r="J123" s="380"/>
      <c r="K123" s="357">
        <v>2671812.1</v>
      </c>
      <c r="L123" s="355">
        <v>484567.4</v>
      </c>
      <c r="M123" s="360">
        <v>4675448.55</v>
      </c>
      <c r="N123" s="358">
        <f t="shared" si="2"/>
        <v>43705230.529999994</v>
      </c>
      <c r="O123" s="34">
        <v>2159436.0499999998</v>
      </c>
      <c r="P123" s="34">
        <v>515867.1</v>
      </c>
      <c r="Q123" s="34">
        <v>1192913.3</v>
      </c>
      <c r="R123" s="34">
        <v>1232836.19</v>
      </c>
      <c r="S123" s="34">
        <v>503701.3</v>
      </c>
      <c r="T123" s="359">
        <f t="shared" si="3"/>
        <v>49309984.469999984</v>
      </c>
      <c r="U123" s="17">
        <v>78.5</v>
      </c>
      <c r="V123" s="32">
        <v>21114</v>
      </c>
      <c r="W123" s="376">
        <v>-2269611.84</v>
      </c>
      <c r="X123" s="34"/>
      <c r="Y123" s="34">
        <v>-25181.19</v>
      </c>
      <c r="Z123" s="34">
        <v>1.4</v>
      </c>
      <c r="AB123" s="414"/>
      <c r="AC123" s="414"/>
    </row>
    <row r="124" spans="1:29" x14ac:dyDescent="0.25">
      <c r="A124" s="370">
        <v>5592</v>
      </c>
      <c r="B124" s="354" t="s">
        <v>216</v>
      </c>
      <c r="C124" s="34">
        <v>5566350.7000000002</v>
      </c>
      <c r="D124" s="34">
        <v>714301.93</v>
      </c>
      <c r="E124" s="380"/>
      <c r="F124" s="355"/>
      <c r="G124" s="425">
        <f>VLOOKUP(A124,'[1]Tableau (2)'!$A:$E,3,FALSE)</f>
        <v>366218.13</v>
      </c>
      <c r="H124" s="425">
        <f>VLOOKUP(A124,'[1]Tableau (2)'!$A:$E,4,FALSE)</f>
        <v>56937.399999999994</v>
      </c>
      <c r="I124" s="425">
        <f>VLOOKUP(A124,'[2]Tableau (2)'!$A$4:$D$312,4,FALSE)</f>
        <v>119726</v>
      </c>
      <c r="J124" s="380">
        <v>25729.55</v>
      </c>
      <c r="K124" s="357">
        <v>167360.29999999999</v>
      </c>
      <c r="L124" s="355">
        <v>131701.20000000001</v>
      </c>
      <c r="M124" s="357">
        <v>669294.55000000005</v>
      </c>
      <c r="N124" s="358">
        <f t="shared" si="2"/>
        <v>7817619.7599999998</v>
      </c>
      <c r="O124" s="34">
        <v>179138.3</v>
      </c>
      <c r="P124" s="34">
        <v>135850</v>
      </c>
      <c r="Q124" s="34">
        <v>80760.3</v>
      </c>
      <c r="R124" s="34">
        <v>47014.38</v>
      </c>
      <c r="S124" s="34">
        <v>122916</v>
      </c>
      <c r="T124" s="359">
        <f t="shared" si="3"/>
        <v>8383298.7399999993</v>
      </c>
      <c r="U124" s="17">
        <v>70</v>
      </c>
      <c r="V124" s="32">
        <v>3300</v>
      </c>
      <c r="W124" s="376">
        <v>-57476.62</v>
      </c>
      <c r="X124" s="34"/>
      <c r="Y124" s="34">
        <v>-2259.69</v>
      </c>
      <c r="Z124" s="34">
        <v>1</v>
      </c>
      <c r="AB124" s="414"/>
      <c r="AC124" s="414"/>
    </row>
    <row r="125" spans="1:29" x14ac:dyDescent="0.25">
      <c r="A125" s="370">
        <v>5601</v>
      </c>
      <c r="B125" s="354" t="s">
        <v>298</v>
      </c>
      <c r="C125" s="34">
        <v>5515225.5199999996</v>
      </c>
      <c r="D125" s="34">
        <v>1181870.97</v>
      </c>
      <c r="E125" s="380"/>
      <c r="F125" s="355"/>
      <c r="G125" s="425">
        <f>VLOOKUP(A125,'[1]Tableau (2)'!$A:$E,3,FALSE)</f>
        <v>58141.19</v>
      </c>
      <c r="H125" s="425">
        <f>VLOOKUP(A125,'[1]Tableau (2)'!$A:$E,4,FALSE)</f>
        <v>6863.199999999998</v>
      </c>
      <c r="I125" s="425">
        <f>VLOOKUP(A125,'[2]Tableau (2)'!$A$4:$D$312,4,FALSE)</f>
        <v>24584.6</v>
      </c>
      <c r="J125" s="380">
        <v>86149.119999999995</v>
      </c>
      <c r="K125" s="357">
        <v>191857.75</v>
      </c>
      <c r="L125" s="355">
        <v>13719.95</v>
      </c>
      <c r="M125" s="357">
        <v>433851.7</v>
      </c>
      <c r="N125" s="358">
        <f t="shared" si="2"/>
        <v>7512264</v>
      </c>
      <c r="O125" s="34">
        <v>58889.4</v>
      </c>
      <c r="P125" s="34">
        <v>636977.4</v>
      </c>
      <c r="Q125" s="34">
        <v>178305.15</v>
      </c>
      <c r="R125" s="34">
        <v>43073.26</v>
      </c>
      <c r="S125" s="34">
        <v>340860.4</v>
      </c>
      <c r="T125" s="359">
        <f t="shared" si="3"/>
        <v>8770369.6100000013</v>
      </c>
      <c r="U125" s="17">
        <v>64</v>
      </c>
      <c r="V125" s="32">
        <v>2250</v>
      </c>
      <c r="W125" s="376">
        <v>-75391.520000000004</v>
      </c>
      <c r="X125" s="34"/>
      <c r="Y125" s="34">
        <v>-2642.04</v>
      </c>
      <c r="Z125" s="34">
        <v>1</v>
      </c>
      <c r="AB125" s="414"/>
      <c r="AC125" s="414"/>
    </row>
    <row r="126" spans="1:29" x14ac:dyDescent="0.25">
      <c r="A126" s="370">
        <v>5604</v>
      </c>
      <c r="B126" s="354" t="s">
        <v>143</v>
      </c>
      <c r="C126" s="34">
        <v>3523406.32</v>
      </c>
      <c r="D126" s="34">
        <v>496297.49</v>
      </c>
      <c r="E126" s="380"/>
      <c r="F126" s="355"/>
      <c r="G126" s="425">
        <f>VLOOKUP(A126,'[1]Tableau (2)'!$A:$E,3,FALSE)</f>
        <v>194379.22</v>
      </c>
      <c r="H126" s="425">
        <f>VLOOKUP(A126,'[1]Tableau (2)'!$A:$E,4,FALSE)</f>
        <v>3024.1000000000008</v>
      </c>
      <c r="I126" s="425">
        <f>VLOOKUP(A126,'[2]Tableau (2)'!$A$4:$D$312,4,FALSE)</f>
        <v>63425.75</v>
      </c>
      <c r="J126" s="380">
        <v>28143.4</v>
      </c>
      <c r="K126" s="357">
        <v>109219.26</v>
      </c>
      <c r="L126" s="355">
        <v>16731.75</v>
      </c>
      <c r="M126" s="357">
        <v>360597.45</v>
      </c>
      <c r="N126" s="358">
        <f t="shared" si="2"/>
        <v>4795224.7399999993</v>
      </c>
      <c r="O126" s="34">
        <v>62723.199999999997</v>
      </c>
      <c r="P126" s="34">
        <v>996.3</v>
      </c>
      <c r="Q126" s="34">
        <v>148090.25</v>
      </c>
      <c r="R126" s="34">
        <v>10135.75</v>
      </c>
      <c r="S126" s="34">
        <v>161595.5</v>
      </c>
      <c r="T126" s="359">
        <f t="shared" si="3"/>
        <v>5178765.7399999993</v>
      </c>
      <c r="U126" s="17">
        <v>68</v>
      </c>
      <c r="V126" s="32">
        <v>2084</v>
      </c>
      <c r="W126" s="376">
        <v>-103202.36</v>
      </c>
      <c r="X126" s="34"/>
      <c r="Y126" s="34">
        <v>-346.72</v>
      </c>
      <c r="Z126" s="34">
        <v>1</v>
      </c>
      <c r="AB126" s="414"/>
      <c r="AC126" s="414"/>
    </row>
    <row r="127" spans="1:29" x14ac:dyDescent="0.25">
      <c r="A127" s="370">
        <v>5606</v>
      </c>
      <c r="B127" s="354" t="s">
        <v>144</v>
      </c>
      <c r="C127" s="34">
        <v>31890429.550000001</v>
      </c>
      <c r="D127" s="34">
        <v>7538947.8099999996</v>
      </c>
      <c r="E127" s="380"/>
      <c r="F127" s="355"/>
      <c r="G127" s="425">
        <f>VLOOKUP(A127,'[1]Tableau (2)'!$A:$E,3,FALSE)</f>
        <v>860319.08</v>
      </c>
      <c r="H127" s="425">
        <f>VLOOKUP(A127,'[1]Tableau (2)'!$A:$E,4,FALSE)</f>
        <v>112658.05000000018</v>
      </c>
      <c r="I127" s="425">
        <f>VLOOKUP(A127,'[2]Tableau (2)'!$A$4:$D$312,4,FALSE)</f>
        <v>224640.8</v>
      </c>
      <c r="J127" s="380">
        <v>1418252.61</v>
      </c>
      <c r="K127" s="357">
        <v>746415.9</v>
      </c>
      <c r="L127" s="355">
        <v>123390.5</v>
      </c>
      <c r="M127" s="357">
        <v>1969866.9</v>
      </c>
      <c r="N127" s="358">
        <f t="shared" si="2"/>
        <v>44884921.199999988</v>
      </c>
      <c r="O127" s="34">
        <v>101865.55</v>
      </c>
      <c r="P127" s="34">
        <v>3253830.6</v>
      </c>
      <c r="Q127" s="34">
        <v>1555512</v>
      </c>
      <c r="R127" s="34">
        <v>70047.92</v>
      </c>
      <c r="S127" s="34">
        <v>1464890.3</v>
      </c>
      <c r="T127" s="359">
        <f t="shared" si="3"/>
        <v>51331067.569999985</v>
      </c>
      <c r="U127" s="17">
        <v>55.5</v>
      </c>
      <c r="V127" s="32">
        <v>10001</v>
      </c>
      <c r="W127" s="376">
        <v>-289283.12</v>
      </c>
      <c r="X127" s="34"/>
      <c r="Y127" s="34">
        <v>-38077.919999999998</v>
      </c>
      <c r="Z127" s="34">
        <v>0.7</v>
      </c>
      <c r="AB127" s="414"/>
      <c r="AC127" s="414"/>
    </row>
    <row r="128" spans="1:29" x14ac:dyDescent="0.25">
      <c r="A128" s="370">
        <v>5607</v>
      </c>
      <c r="B128" s="354" t="s">
        <v>300</v>
      </c>
      <c r="C128" s="34">
        <v>5187973.13</v>
      </c>
      <c r="D128" s="34">
        <v>839037.46</v>
      </c>
      <c r="E128" s="380"/>
      <c r="F128" s="355"/>
      <c r="G128" s="425">
        <f>VLOOKUP(A128,'[1]Tableau (2)'!$A:$E,3,FALSE)</f>
        <v>369585.69</v>
      </c>
      <c r="H128" s="425">
        <f>VLOOKUP(A128,'[1]Tableau (2)'!$A:$E,4,FALSE)</f>
        <v>87735.400000000009</v>
      </c>
      <c r="I128" s="425">
        <f>VLOOKUP(A128,'[2]Tableau (2)'!$A$4:$D$312,4,FALSE)</f>
        <v>139759.65</v>
      </c>
      <c r="J128" s="380">
        <v>-35044.949999999997</v>
      </c>
      <c r="K128" s="357">
        <v>160286.93</v>
      </c>
      <c r="L128" s="355">
        <v>57264.05</v>
      </c>
      <c r="M128" s="357">
        <v>689556.35</v>
      </c>
      <c r="N128" s="358">
        <f t="shared" si="2"/>
        <v>7496153.71</v>
      </c>
      <c r="O128" s="34">
        <v>145055.75</v>
      </c>
      <c r="P128" s="34">
        <v>0</v>
      </c>
      <c r="Q128" s="34">
        <v>533899.65</v>
      </c>
      <c r="R128" s="34">
        <v>30748.75</v>
      </c>
      <c r="S128" s="34">
        <v>139176.25</v>
      </c>
      <c r="T128" s="359">
        <f t="shared" si="3"/>
        <v>8345034.1100000003</v>
      </c>
      <c r="U128" s="17">
        <v>70</v>
      </c>
      <c r="V128" s="32">
        <v>2904</v>
      </c>
      <c r="W128" s="376">
        <v>-102132.22</v>
      </c>
      <c r="X128" s="34"/>
      <c r="Y128" s="34">
        <v>-1069.3</v>
      </c>
      <c r="Z128" s="34">
        <v>1.1499999999999999</v>
      </c>
      <c r="AB128" s="414"/>
      <c r="AC128" s="414"/>
    </row>
    <row r="129" spans="1:29" x14ac:dyDescent="0.25">
      <c r="A129" s="370">
        <v>5609</v>
      </c>
      <c r="B129" s="354" t="s">
        <v>128</v>
      </c>
      <c r="C129" s="34">
        <v>737221.8</v>
      </c>
      <c r="D129" s="34">
        <v>162143.32</v>
      </c>
      <c r="E129" s="380"/>
      <c r="F129" s="355"/>
      <c r="G129" s="425">
        <f>VLOOKUP(A129,'[1]Tableau (2)'!$A:$E,3,FALSE)</f>
        <v>3244.1</v>
      </c>
      <c r="H129" s="425">
        <f>VLOOKUP(A129,'[1]Tableau (2)'!$A:$E,4,FALSE)</f>
        <v>436.49999999999994</v>
      </c>
      <c r="I129" s="425">
        <f>VLOOKUP(A129,'[2]Tableau (2)'!$A$4:$D$312,4,FALSE)</f>
        <v>1766.45</v>
      </c>
      <c r="J129" s="380"/>
      <c r="K129" s="357">
        <v>32229.15</v>
      </c>
      <c r="L129" s="355">
        <v>1225.4000000000001</v>
      </c>
      <c r="M129" s="357">
        <v>52996.5</v>
      </c>
      <c r="N129" s="358">
        <f t="shared" si="2"/>
        <v>991263.22000000009</v>
      </c>
      <c r="O129" s="34"/>
      <c r="P129" s="34">
        <v>5886</v>
      </c>
      <c r="Q129" s="34">
        <v>23736.6</v>
      </c>
      <c r="R129" s="34"/>
      <c r="S129" s="34">
        <v>44194.65</v>
      </c>
      <c r="T129" s="359">
        <f t="shared" si="3"/>
        <v>1065080.47</v>
      </c>
      <c r="U129" s="17">
        <v>63.5</v>
      </c>
      <c r="V129" s="32">
        <v>351</v>
      </c>
      <c r="W129" s="376">
        <v>-3659.34</v>
      </c>
      <c r="X129" s="34"/>
      <c r="Y129" s="34">
        <v>-163.63</v>
      </c>
      <c r="Z129" s="34">
        <v>1</v>
      </c>
      <c r="AB129" s="414"/>
      <c r="AC129" s="414"/>
    </row>
    <row r="130" spans="1:29" x14ac:dyDescent="0.25">
      <c r="A130" s="370">
        <v>5610</v>
      </c>
      <c r="B130" s="354" t="s">
        <v>129</v>
      </c>
      <c r="C130" s="34">
        <f>1429137.66-450000</f>
        <v>979137.65999999992</v>
      </c>
      <c r="D130" s="34">
        <v>-162217.04999999999</v>
      </c>
      <c r="E130" s="380"/>
      <c r="F130" s="355"/>
      <c r="G130" s="425">
        <f>VLOOKUP(A130,'[1]Tableau (2)'!$A:$E,3,FALSE)</f>
        <v>3156.62</v>
      </c>
      <c r="H130" s="425">
        <f>VLOOKUP(A130,'[1]Tableau (2)'!$A:$E,4,FALSE)</f>
        <v>2952.1000000000008</v>
      </c>
      <c r="I130" s="425">
        <f>VLOOKUP(A130,'[2]Tableau (2)'!$A$4:$D$312,4,FALSE)</f>
        <v>1714.8</v>
      </c>
      <c r="J130" s="380">
        <v>113527.1</v>
      </c>
      <c r="K130" s="357">
        <v>43089.89</v>
      </c>
      <c r="L130" s="355">
        <v>6110.5</v>
      </c>
      <c r="M130" s="357">
        <v>83951.55</v>
      </c>
      <c r="N130" s="358">
        <f t="shared" si="2"/>
        <v>1071423.17</v>
      </c>
      <c r="O130" s="34"/>
      <c r="P130" s="34">
        <v>166097.79999999999</v>
      </c>
      <c r="Q130" s="34">
        <v>6233.25</v>
      </c>
      <c r="R130" s="34">
        <v>-511.05</v>
      </c>
      <c r="S130" s="34">
        <v>62495.35</v>
      </c>
      <c r="T130" s="359">
        <f t="shared" si="3"/>
        <v>1305738.52</v>
      </c>
      <c r="U130" s="17">
        <v>67</v>
      </c>
      <c r="V130" s="32">
        <v>389</v>
      </c>
      <c r="W130" s="376">
        <v>-39631.339999999997</v>
      </c>
      <c r="X130" s="34"/>
      <c r="Y130" s="34">
        <v>-3132.51</v>
      </c>
      <c r="Z130" s="34">
        <v>1</v>
      </c>
      <c r="AB130" s="414"/>
      <c r="AC130" s="414"/>
    </row>
    <row r="131" spans="1:29" x14ac:dyDescent="0.25">
      <c r="A131" s="370">
        <v>5611</v>
      </c>
      <c r="B131" s="354" t="s">
        <v>297</v>
      </c>
      <c r="C131" s="34">
        <v>6952908.71</v>
      </c>
      <c r="D131" s="34">
        <v>1074820.24</v>
      </c>
      <c r="E131" s="380"/>
      <c r="F131" s="355"/>
      <c r="G131" s="425">
        <f>VLOOKUP(A131,'[1]Tableau (2)'!$A:$E,3,FALSE)</f>
        <v>210060.08</v>
      </c>
      <c r="H131" s="425">
        <f>VLOOKUP(A131,'[1]Tableau (2)'!$A:$E,4,FALSE)</f>
        <v>15766.39999999998</v>
      </c>
      <c r="I131" s="425">
        <f>VLOOKUP(A131,'[2]Tableau (2)'!$A$4:$D$312,4,FALSE)</f>
        <v>70551.199999999997</v>
      </c>
      <c r="J131" s="380">
        <v>69312.25</v>
      </c>
      <c r="K131" s="357">
        <v>149834.14000000001</v>
      </c>
      <c r="L131" s="355">
        <v>9369.6</v>
      </c>
      <c r="M131" s="357">
        <v>743993.65</v>
      </c>
      <c r="N131" s="358">
        <f t="shared" si="2"/>
        <v>9296616.2700000014</v>
      </c>
      <c r="O131" s="34">
        <v>134342.79999999999</v>
      </c>
      <c r="P131" s="34">
        <v>573197.4</v>
      </c>
      <c r="Q131" s="34">
        <v>296514.59999999998</v>
      </c>
      <c r="R131" s="34">
        <v>34828.19</v>
      </c>
      <c r="S131" s="34">
        <v>277460.05</v>
      </c>
      <c r="T131" s="359">
        <f t="shared" si="3"/>
        <v>10612959.310000002</v>
      </c>
      <c r="U131" s="17">
        <v>69</v>
      </c>
      <c r="V131" s="32">
        <v>3352</v>
      </c>
      <c r="W131" s="376">
        <v>-99702.720000000001</v>
      </c>
      <c r="X131" s="34"/>
      <c r="Y131" s="34">
        <v>-931.37</v>
      </c>
      <c r="Z131" s="34">
        <v>1.2</v>
      </c>
      <c r="AB131" s="414"/>
      <c r="AC131" s="414"/>
    </row>
    <row r="132" spans="1:29" x14ac:dyDescent="0.25">
      <c r="A132" s="370">
        <v>5613</v>
      </c>
      <c r="B132" s="354" t="s">
        <v>428</v>
      </c>
      <c r="C132" s="34">
        <v>14837107.5</v>
      </c>
      <c r="D132" s="34">
        <v>3361433.06</v>
      </c>
      <c r="E132" s="380"/>
      <c r="F132" s="355"/>
      <c r="G132" s="425">
        <f>VLOOKUP(A132,'[1]Tableau (2)'!$A:$E,3,FALSE)</f>
        <v>112411.91</v>
      </c>
      <c r="H132" s="425">
        <f>VLOOKUP(A132,'[1]Tableau (2)'!$A:$E,4,FALSE)</f>
        <v>52865.199999999983</v>
      </c>
      <c r="I132" s="425">
        <f>VLOOKUP(A132,'[2]Tableau (2)'!$A$4:$D$312,4,FALSE)</f>
        <v>37215</v>
      </c>
      <c r="J132" s="380">
        <v>150982.20000000001</v>
      </c>
      <c r="K132" s="357">
        <v>413820.12</v>
      </c>
      <c r="L132" s="355">
        <v>26619.4</v>
      </c>
      <c r="M132" s="357">
        <v>1923133.9</v>
      </c>
      <c r="N132" s="358">
        <f t="shared" si="2"/>
        <v>20915588.289999995</v>
      </c>
      <c r="O132" s="34">
        <v>18736</v>
      </c>
      <c r="P132" s="34">
        <v>242481.1</v>
      </c>
      <c r="Q132" s="34">
        <v>668142.85</v>
      </c>
      <c r="R132" s="34">
        <v>9478.5400000000009</v>
      </c>
      <c r="S132" s="34">
        <v>690231.5</v>
      </c>
      <c r="T132" s="359">
        <f t="shared" si="3"/>
        <v>22544658.279999997</v>
      </c>
      <c r="U132" s="17">
        <v>61</v>
      </c>
      <c r="V132" s="32">
        <v>5288</v>
      </c>
      <c r="W132" s="376">
        <v>-158129.57999999999</v>
      </c>
      <c r="X132" s="34"/>
      <c r="Y132" s="34">
        <v>-6888.22</v>
      </c>
      <c r="Z132" s="34">
        <v>1.5</v>
      </c>
      <c r="AB132" s="414"/>
      <c r="AC132" s="414"/>
    </row>
    <row r="133" spans="1:29" x14ac:dyDescent="0.25">
      <c r="A133" s="370">
        <v>5621</v>
      </c>
      <c r="B133" s="354" t="s">
        <v>405</v>
      </c>
      <c r="C133" s="34">
        <v>1081330.3600000001</v>
      </c>
      <c r="D133" s="34">
        <v>125362.16</v>
      </c>
      <c r="E133" s="380"/>
      <c r="F133" s="355"/>
      <c r="G133" s="425">
        <f>VLOOKUP(A133,'[1]Tableau (2)'!$A:$E,3,FALSE)</f>
        <v>235006.09</v>
      </c>
      <c r="H133" s="425">
        <f>VLOOKUP(A133,'[1]Tableau (2)'!$A:$E,4,FALSE)</f>
        <v>10064.749999999995</v>
      </c>
      <c r="I133" s="425">
        <f>VLOOKUP(A133,'[2]Tableau (2)'!$A$4:$D$312,4,FALSE)</f>
        <v>70885.45</v>
      </c>
      <c r="J133" s="380"/>
      <c r="K133" s="357">
        <v>59819.55</v>
      </c>
      <c r="L133" s="355">
        <v>-5234.8500000000004</v>
      </c>
      <c r="M133" s="357">
        <v>304030.25</v>
      </c>
      <c r="N133" s="358">
        <f t="shared" si="2"/>
        <v>1881263.76</v>
      </c>
      <c r="O133" s="34">
        <v>167208.75</v>
      </c>
      <c r="P133" s="34">
        <v>131916.70000000001</v>
      </c>
      <c r="Q133" s="34">
        <v>184944.5</v>
      </c>
      <c r="R133" s="34">
        <v>147690.70000000001</v>
      </c>
      <c r="S133" s="34">
        <v>266833.5</v>
      </c>
      <c r="T133" s="359">
        <f t="shared" si="3"/>
        <v>2779857.91</v>
      </c>
      <c r="U133" s="17">
        <v>62</v>
      </c>
      <c r="V133" s="32">
        <v>545</v>
      </c>
      <c r="W133" s="376">
        <v>-155107.92000000001</v>
      </c>
      <c r="X133" s="34"/>
      <c r="Y133" s="34">
        <v>-1580.04</v>
      </c>
      <c r="Z133" s="34">
        <v>1.1000000000000001</v>
      </c>
      <c r="AB133" s="414"/>
      <c r="AC133" s="414"/>
    </row>
    <row r="134" spans="1:29" x14ac:dyDescent="0.25">
      <c r="A134" s="370">
        <v>5622</v>
      </c>
      <c r="B134" s="354" t="s">
        <v>147</v>
      </c>
      <c r="C134" s="34">
        <v>1345128.32</v>
      </c>
      <c r="D134" s="34">
        <v>230300.26</v>
      </c>
      <c r="E134" s="380"/>
      <c r="F134" s="355"/>
      <c r="G134" s="425">
        <f>VLOOKUP(A134,'[1]Tableau (2)'!$A:$E,3,FALSE)</f>
        <v>95896.7</v>
      </c>
      <c r="H134" s="425">
        <f>VLOOKUP(A134,'[1]Tableau (2)'!$A:$E,4,FALSE)</f>
        <v>1520.95</v>
      </c>
      <c r="I134" s="425">
        <f>VLOOKUP(A134,'[2]Tableau (2)'!$A$4:$D$312,4,FALSE)</f>
        <v>37475.199999999997</v>
      </c>
      <c r="J134" s="380"/>
      <c r="K134" s="357">
        <v>134834.70000000001</v>
      </c>
      <c r="L134" s="355">
        <v>5698</v>
      </c>
      <c r="M134" s="357">
        <v>134410</v>
      </c>
      <c r="N134" s="358">
        <f t="shared" si="2"/>
        <v>1985264.13</v>
      </c>
      <c r="O134" s="34">
        <v>17319.55</v>
      </c>
      <c r="P134" s="34"/>
      <c r="Q134" s="34">
        <v>36517.15</v>
      </c>
      <c r="R134" s="34"/>
      <c r="S134" s="34">
        <v>25680.15</v>
      </c>
      <c r="T134" s="359">
        <f t="shared" si="3"/>
        <v>2064780.9799999997</v>
      </c>
      <c r="U134" s="17">
        <v>66</v>
      </c>
      <c r="V134" s="32">
        <v>547</v>
      </c>
      <c r="W134" s="376">
        <v>-891.3</v>
      </c>
      <c r="X134" s="34"/>
      <c r="Y134" s="34">
        <v>-45.53</v>
      </c>
      <c r="Z134" s="34">
        <v>1</v>
      </c>
      <c r="AB134" s="414"/>
      <c r="AC134" s="414"/>
    </row>
    <row r="135" spans="1:29" x14ac:dyDescent="0.25">
      <c r="A135" s="370">
        <v>5623</v>
      </c>
      <c r="B135" s="354" t="s">
        <v>148</v>
      </c>
      <c r="C135" s="34">
        <v>2250670.33</v>
      </c>
      <c r="D135" s="34">
        <v>923507.5</v>
      </c>
      <c r="E135" s="380"/>
      <c r="F135" s="355"/>
      <c r="G135" s="425">
        <f>VLOOKUP(A135,'[1]Tableau (2)'!$A:$E,3,FALSE)</f>
        <v>26666.77</v>
      </c>
      <c r="H135" s="425">
        <f>VLOOKUP(A135,'[1]Tableau (2)'!$A:$E,4,FALSE)</f>
        <v>192857.69999999998</v>
      </c>
      <c r="I135" s="425">
        <f>VLOOKUP(A135,'[2]Tableau (2)'!$A$4:$D$312,4,FALSE)</f>
        <v>32731.85</v>
      </c>
      <c r="J135" s="380">
        <v>182427.55</v>
      </c>
      <c r="K135" s="357">
        <v>60062.21</v>
      </c>
      <c r="L135" s="355">
        <v>4972.3</v>
      </c>
      <c r="M135" s="357">
        <v>312535</v>
      </c>
      <c r="N135" s="358">
        <f t="shared" ref="N135:N198" si="4">SUM(C135:M135)</f>
        <v>3986431.21</v>
      </c>
      <c r="O135" s="34">
        <v>1757.1</v>
      </c>
      <c r="P135" s="34"/>
      <c r="Q135" s="34">
        <v>80333</v>
      </c>
      <c r="R135" s="34">
        <v>1025.95</v>
      </c>
      <c r="S135" s="34">
        <v>61581.4</v>
      </c>
      <c r="T135" s="359">
        <f t="shared" ref="T135:T198" si="5">SUM(N135:S135)</f>
        <v>4131128.66</v>
      </c>
      <c r="U135" s="17">
        <v>53</v>
      </c>
      <c r="V135" s="32">
        <v>638</v>
      </c>
      <c r="W135" s="376">
        <v>-1610.17</v>
      </c>
      <c r="X135" s="34"/>
      <c r="Y135" s="34">
        <v>-25657.96</v>
      </c>
      <c r="Z135" s="34">
        <v>1</v>
      </c>
      <c r="AB135" s="414"/>
      <c r="AC135" s="414"/>
    </row>
    <row r="136" spans="1:29" x14ac:dyDescent="0.25">
      <c r="A136" s="370">
        <v>5624</v>
      </c>
      <c r="B136" s="354" t="s">
        <v>441</v>
      </c>
      <c r="C136" s="34">
        <v>12782970.550000001</v>
      </c>
      <c r="D136" s="34">
        <v>1164252</v>
      </c>
      <c r="E136" s="380"/>
      <c r="F136" s="355"/>
      <c r="G136" s="425">
        <f>VLOOKUP(A136,'[1]Tableau (2)'!$A:$E,3,FALSE)</f>
        <v>1879636.22</v>
      </c>
      <c r="H136" s="425">
        <f>VLOOKUP(A136,'[1]Tableau (2)'!$A:$E,4,FALSE)</f>
        <v>205897.24999999956</v>
      </c>
      <c r="I136" s="425">
        <f>VLOOKUP(A136,'[2]Tableau (2)'!$A$4:$D$312,4,FALSE)</f>
        <v>730454.55</v>
      </c>
      <c r="J136" s="380"/>
      <c r="K136" s="357">
        <v>912503.62</v>
      </c>
      <c r="L136" s="355">
        <v>284849.59999999998</v>
      </c>
      <c r="M136" s="357">
        <v>1778913.75</v>
      </c>
      <c r="N136" s="358">
        <f t="shared" si="4"/>
        <v>19739477.540000003</v>
      </c>
      <c r="O136" s="34">
        <v>1222764.6000000001</v>
      </c>
      <c r="P136" s="34">
        <v>45365.4</v>
      </c>
      <c r="Q136" s="34">
        <v>1488459.3</v>
      </c>
      <c r="R136" s="34">
        <v>62432.5</v>
      </c>
      <c r="S136" s="34">
        <v>381713.4</v>
      </c>
      <c r="T136" s="359">
        <f t="shared" si="5"/>
        <v>22940212.740000002</v>
      </c>
      <c r="U136" s="17">
        <v>62</v>
      </c>
      <c r="V136" s="32">
        <v>8677</v>
      </c>
      <c r="W136" s="376">
        <v>-374053.16</v>
      </c>
      <c r="X136" s="34"/>
      <c r="Y136" s="34">
        <v>0</v>
      </c>
      <c r="Z136" s="34">
        <v>1</v>
      </c>
      <c r="AB136" s="414"/>
      <c r="AC136" s="414"/>
    </row>
    <row r="137" spans="1:29" x14ac:dyDescent="0.25">
      <c r="A137" s="370">
        <v>5625</v>
      </c>
      <c r="B137" s="354" t="s">
        <v>301</v>
      </c>
      <c r="C137" s="34">
        <v>847843.93</v>
      </c>
      <c r="D137" s="34">
        <v>41969</v>
      </c>
      <c r="E137" s="380"/>
      <c r="F137" s="355"/>
      <c r="G137" s="425">
        <f>VLOOKUP(A137,'[1]Tableau (2)'!$A:$E,3,FALSE)</f>
        <v>11338.57</v>
      </c>
      <c r="H137" s="425">
        <f>VLOOKUP(A137,'[1]Tableau (2)'!$A:$E,4,FALSE)</f>
        <v>405.70000000000005</v>
      </c>
      <c r="I137" s="425">
        <f>VLOOKUP(A137,'[2]Tableau (2)'!$A$4:$D$312,4,FALSE)</f>
        <v>2095.1999999999998</v>
      </c>
      <c r="J137" s="380">
        <v>49537.55</v>
      </c>
      <c r="K137" s="357">
        <v>17072.86</v>
      </c>
      <c r="L137" s="355">
        <v>7588</v>
      </c>
      <c r="M137" s="357">
        <v>107197</v>
      </c>
      <c r="N137" s="358">
        <f t="shared" si="4"/>
        <v>1085047.81</v>
      </c>
      <c r="O137" s="34"/>
      <c r="P137" s="34"/>
      <c r="Q137" s="34">
        <v>33220</v>
      </c>
      <c r="R137" s="34">
        <v>178.75</v>
      </c>
      <c r="S137" s="34">
        <v>47777.75</v>
      </c>
      <c r="T137" s="359">
        <f t="shared" si="5"/>
        <v>1166224.31</v>
      </c>
      <c r="U137" s="17">
        <v>78</v>
      </c>
      <c r="V137" s="32">
        <v>371</v>
      </c>
      <c r="W137" s="376">
        <v>-2840.14</v>
      </c>
      <c r="X137" s="34"/>
      <c r="Y137" s="34">
        <v>0</v>
      </c>
      <c r="Z137" s="34">
        <v>1.2</v>
      </c>
      <c r="AB137" s="414"/>
      <c r="AC137" s="414"/>
    </row>
    <row r="138" spans="1:29" x14ac:dyDescent="0.25">
      <c r="A138" s="370">
        <v>5627</v>
      </c>
      <c r="B138" s="354" t="s">
        <v>255</v>
      </c>
      <c r="C138" s="34">
        <v>9674929.5800000001</v>
      </c>
      <c r="D138" s="34">
        <v>593985.26</v>
      </c>
      <c r="E138" s="380"/>
      <c r="F138" s="355"/>
      <c r="G138" s="425">
        <f>VLOOKUP(A138,'[1]Tableau (2)'!$A:$E,3,FALSE)</f>
        <v>812660.71</v>
      </c>
      <c r="H138" s="425">
        <f>VLOOKUP(A138,'[1]Tableau (2)'!$A:$E,4,FALSE)</f>
        <v>193551.34999999989</v>
      </c>
      <c r="I138" s="425">
        <f>VLOOKUP(A138,'[2]Tableau (2)'!$A$4:$D$312,4,FALSE)</f>
        <v>287011.8</v>
      </c>
      <c r="J138" s="380"/>
      <c r="K138" s="357">
        <v>861608.62</v>
      </c>
      <c r="L138" s="355">
        <v>158076.04999999999</v>
      </c>
      <c r="M138" s="357">
        <v>1382453</v>
      </c>
      <c r="N138" s="358">
        <f t="shared" si="4"/>
        <v>13964276.370000001</v>
      </c>
      <c r="O138" s="34">
        <v>382133.95</v>
      </c>
      <c r="P138" s="34">
        <v>87645.5</v>
      </c>
      <c r="Q138" s="34">
        <v>852829.4</v>
      </c>
      <c r="R138" s="34">
        <v>81539.7</v>
      </c>
      <c r="S138" s="34">
        <v>1599154.75</v>
      </c>
      <c r="T138" s="359">
        <f t="shared" si="5"/>
        <v>16967579.670000002</v>
      </c>
      <c r="U138" s="17">
        <v>79</v>
      </c>
      <c r="V138" s="32">
        <v>7653</v>
      </c>
      <c r="W138" s="376">
        <v>-333160.23</v>
      </c>
      <c r="X138" s="34"/>
      <c r="Y138" s="34">
        <v>-366.38</v>
      </c>
      <c r="Z138" s="34">
        <v>1.5</v>
      </c>
      <c r="AB138" s="414"/>
      <c r="AC138" s="414"/>
    </row>
    <row r="139" spans="1:29" x14ac:dyDescent="0.25">
      <c r="A139" s="370">
        <v>5628</v>
      </c>
      <c r="B139" s="354" t="s">
        <v>256</v>
      </c>
      <c r="C139" s="34">
        <v>1110373.8600000001</v>
      </c>
      <c r="D139" s="34"/>
      <c r="E139" s="380"/>
      <c r="F139" s="355"/>
      <c r="G139" s="425">
        <f>VLOOKUP(A139,'[1]Tableau (2)'!$A:$E,3,FALSE)</f>
        <v>222.89</v>
      </c>
      <c r="H139" s="425">
        <f>VLOOKUP(A139,'[1]Tableau (2)'!$A:$E,4,FALSE)</f>
        <v>547.1</v>
      </c>
      <c r="I139" s="425">
        <f>VLOOKUP(A139,'[2]Tableau (2)'!$A$4:$D$312,4,FALSE)</f>
        <v>1174.25</v>
      </c>
      <c r="J139" s="380"/>
      <c r="K139" s="357">
        <v>18929.59</v>
      </c>
      <c r="L139" s="355">
        <v>859.5</v>
      </c>
      <c r="M139" s="357">
        <v>82267.7</v>
      </c>
      <c r="N139" s="358">
        <f t="shared" si="4"/>
        <v>1214374.8900000001</v>
      </c>
      <c r="O139" s="34">
        <v>16284.8</v>
      </c>
      <c r="P139" s="34"/>
      <c r="Q139" s="34">
        <v>45475.55</v>
      </c>
      <c r="R139" s="34"/>
      <c r="S139" s="34">
        <v>58184.75</v>
      </c>
      <c r="T139" s="359">
        <f t="shared" si="5"/>
        <v>1334319.9900000002</v>
      </c>
      <c r="U139" s="17">
        <v>62</v>
      </c>
      <c r="V139" s="32">
        <v>338</v>
      </c>
      <c r="W139" s="376">
        <v>-4547.12</v>
      </c>
      <c r="X139" s="34"/>
      <c r="Y139" s="34">
        <v>0</v>
      </c>
      <c r="Z139" s="34">
        <v>1</v>
      </c>
      <c r="AB139" s="414"/>
      <c r="AC139" s="414"/>
    </row>
    <row r="140" spans="1:29" x14ac:dyDescent="0.25">
      <c r="A140" s="370">
        <v>5629</v>
      </c>
      <c r="B140" s="354" t="s">
        <v>151</v>
      </c>
      <c r="C140" s="34">
        <v>471054.36</v>
      </c>
      <c r="D140" s="34">
        <v>55101.65</v>
      </c>
      <c r="E140" s="380"/>
      <c r="F140" s="355"/>
      <c r="G140" s="425">
        <f>VLOOKUP(A140,'[1]Tableau (2)'!$A:$E,3,FALSE)</f>
        <v>5503.02</v>
      </c>
      <c r="H140" s="425">
        <f>VLOOKUP(A140,'[1]Tableau (2)'!$A:$E,4,FALSE)</f>
        <v>281.29999999999995</v>
      </c>
      <c r="I140" s="425">
        <f>VLOOKUP(A140,'[2]Tableau (2)'!$A$4:$D$312,4,FALSE)</f>
        <v>1290.55</v>
      </c>
      <c r="J140" s="380"/>
      <c r="K140" s="357">
        <v>4511.34</v>
      </c>
      <c r="L140" s="355">
        <v>1728.55</v>
      </c>
      <c r="M140" s="357">
        <v>35909.1</v>
      </c>
      <c r="N140" s="358">
        <f t="shared" si="4"/>
        <v>575379.87000000011</v>
      </c>
      <c r="O140" s="34"/>
      <c r="P140" s="34"/>
      <c r="Q140" s="34">
        <v>24134.6</v>
      </c>
      <c r="R140" s="34"/>
      <c r="S140" s="34"/>
      <c r="T140" s="359">
        <f t="shared" si="5"/>
        <v>599514.47000000009</v>
      </c>
      <c r="U140" s="17">
        <v>75</v>
      </c>
      <c r="V140" s="32">
        <v>189</v>
      </c>
      <c r="W140" s="376">
        <v>-17162.919999999998</v>
      </c>
      <c r="X140" s="34"/>
      <c r="Y140" s="34">
        <v>0</v>
      </c>
      <c r="Z140" s="34">
        <v>1</v>
      </c>
      <c r="AB140" s="414"/>
      <c r="AC140" s="414"/>
    </row>
    <row r="141" spans="1:29" x14ac:dyDescent="0.25">
      <c r="A141" s="370">
        <v>5631</v>
      </c>
      <c r="B141" s="354" t="s">
        <v>152</v>
      </c>
      <c r="C141" s="34">
        <v>2202033.09</v>
      </c>
      <c r="D141" s="34">
        <v>574081.94999999995</v>
      </c>
      <c r="E141" s="380"/>
      <c r="F141" s="355"/>
      <c r="G141" s="425">
        <f>VLOOKUP(A141,'[1]Tableau (2)'!$A:$E,3,FALSE)</f>
        <v>10028.08</v>
      </c>
      <c r="H141" s="425">
        <f>VLOOKUP(A141,'[1]Tableau (2)'!$A:$E,4,FALSE)</f>
        <v>11181.950000000003</v>
      </c>
      <c r="I141" s="425">
        <f>VLOOKUP(A141,'[2]Tableau (2)'!$A$4:$D$312,4,FALSE)</f>
        <v>7124.45</v>
      </c>
      <c r="J141" s="380">
        <v>111331.45</v>
      </c>
      <c r="K141" s="357">
        <v>69297.86</v>
      </c>
      <c r="L141" s="355">
        <v>-261.10000000000002</v>
      </c>
      <c r="M141" s="357">
        <v>193401.65</v>
      </c>
      <c r="N141" s="358">
        <f t="shared" si="4"/>
        <v>3178219.3800000004</v>
      </c>
      <c r="O141" s="34"/>
      <c r="P141" s="34">
        <v>8896.2999999999993</v>
      </c>
      <c r="Q141" s="34">
        <v>71248.2</v>
      </c>
      <c r="R141" s="34">
        <v>10206.709999999999</v>
      </c>
      <c r="S141" s="34">
        <v>131699.95000000001</v>
      </c>
      <c r="T141" s="359">
        <f t="shared" si="5"/>
        <v>3400270.5400000005</v>
      </c>
      <c r="U141" s="17">
        <v>70</v>
      </c>
      <c r="V141" s="32">
        <v>774</v>
      </c>
      <c r="W141" s="376">
        <v>-12514.81</v>
      </c>
      <c r="X141" s="34"/>
      <c r="Y141" s="34">
        <v>-204.82</v>
      </c>
      <c r="Z141" s="34">
        <v>1</v>
      </c>
      <c r="AB141" s="414"/>
      <c r="AC141" s="414"/>
    </row>
    <row r="142" spans="1:29" x14ac:dyDescent="0.25">
      <c r="A142" s="370">
        <v>5632</v>
      </c>
      <c r="B142" s="354" t="s">
        <v>153</v>
      </c>
      <c r="C142" s="34">
        <v>3056330.95</v>
      </c>
      <c r="D142" s="34">
        <v>471889.18</v>
      </c>
      <c r="E142" s="380"/>
      <c r="F142" s="355"/>
      <c r="G142" s="425">
        <f>VLOOKUP(A142,'[1]Tableau (2)'!$A:$E,3,FALSE)</f>
        <v>70734.67</v>
      </c>
      <c r="H142" s="425">
        <f>VLOOKUP(A142,'[1]Tableau (2)'!$A:$E,4,FALSE)</f>
        <v>17453.949999999993</v>
      </c>
      <c r="I142" s="425">
        <f>VLOOKUP(A142,'[2]Tableau (2)'!$A$4:$D$312,4,FALSE)</f>
        <v>27515.8</v>
      </c>
      <c r="J142" s="380"/>
      <c r="K142" s="357">
        <v>185267.79</v>
      </c>
      <c r="L142" s="355">
        <v>18381.8</v>
      </c>
      <c r="M142" s="357">
        <v>327637.40000000002</v>
      </c>
      <c r="N142" s="358">
        <f t="shared" si="4"/>
        <v>4175211.54</v>
      </c>
      <c r="O142" s="34">
        <v>63037.35</v>
      </c>
      <c r="P142" s="34"/>
      <c r="Q142" s="34">
        <v>157830.6</v>
      </c>
      <c r="R142" s="34">
        <v>15184.06</v>
      </c>
      <c r="S142" s="34">
        <v>95149.85</v>
      </c>
      <c r="T142" s="359">
        <f t="shared" si="5"/>
        <v>4506413.3999999985</v>
      </c>
      <c r="U142" s="17">
        <v>62</v>
      </c>
      <c r="V142" s="32">
        <v>1614</v>
      </c>
      <c r="W142" s="376">
        <v>-25911.85</v>
      </c>
      <c r="X142" s="34"/>
      <c r="Y142" s="34">
        <v>-282.55</v>
      </c>
      <c r="Z142" s="34">
        <v>1</v>
      </c>
      <c r="AB142" s="414"/>
      <c r="AC142" s="414"/>
    </row>
    <row r="143" spans="1:29" x14ac:dyDescent="0.25">
      <c r="A143" s="370">
        <v>5633</v>
      </c>
      <c r="B143" s="354" t="s">
        <v>154</v>
      </c>
      <c r="C143" s="34">
        <v>5788885.9000000004</v>
      </c>
      <c r="D143" s="34">
        <v>1247321.8500000001</v>
      </c>
      <c r="E143" s="380"/>
      <c r="F143" s="355"/>
      <c r="G143" s="425">
        <f>VLOOKUP(A143,'[1]Tableau (2)'!$A:$E,3,FALSE)</f>
        <v>167649.34</v>
      </c>
      <c r="H143" s="425">
        <f>VLOOKUP(A143,'[1]Tableau (2)'!$A:$E,4,FALSE)</f>
        <v>176839.14999999994</v>
      </c>
      <c r="I143" s="425">
        <f>VLOOKUP(A143,'[2]Tableau (2)'!$A$4:$D$312,4,FALSE)</f>
        <v>93791.45</v>
      </c>
      <c r="J143" s="380"/>
      <c r="K143" s="357">
        <v>219133.24</v>
      </c>
      <c r="L143" s="355">
        <v>22085.05</v>
      </c>
      <c r="M143" s="357">
        <v>596444.1</v>
      </c>
      <c r="N143" s="358">
        <f t="shared" si="4"/>
        <v>8312150.0800000001</v>
      </c>
      <c r="O143" s="34">
        <v>159886.15</v>
      </c>
      <c r="P143" s="34">
        <v>42687.199999999997</v>
      </c>
      <c r="Q143" s="34">
        <v>313303</v>
      </c>
      <c r="R143" s="34">
        <v>158.19</v>
      </c>
      <c r="S143" s="34">
        <v>249959.14</v>
      </c>
      <c r="T143" s="359">
        <f t="shared" si="5"/>
        <v>9078143.7599999998</v>
      </c>
      <c r="U143" s="17">
        <v>62</v>
      </c>
      <c r="V143" s="32">
        <v>2757</v>
      </c>
      <c r="W143" s="376">
        <v>-121189.36</v>
      </c>
      <c r="X143" s="34"/>
      <c r="Y143" s="34">
        <v>0</v>
      </c>
      <c r="Z143" s="34">
        <v>1</v>
      </c>
      <c r="AB143" s="414"/>
      <c r="AC143" s="414"/>
    </row>
    <row r="144" spans="1:29" x14ac:dyDescent="0.25">
      <c r="A144" s="370">
        <v>5634</v>
      </c>
      <c r="B144" s="354" t="s">
        <v>155</v>
      </c>
      <c r="C144" s="34">
        <v>6701766.5999999996</v>
      </c>
      <c r="D144" s="34">
        <v>1068459.75</v>
      </c>
      <c r="E144" s="380"/>
      <c r="F144" s="355"/>
      <c r="G144" s="425">
        <f>VLOOKUP(A144,'[1]Tableau (2)'!$A:$E,3,FALSE)</f>
        <v>47410.43</v>
      </c>
      <c r="H144" s="425">
        <f>VLOOKUP(A144,'[1]Tableau (2)'!$A:$E,4,FALSE)</f>
        <v>9671.3999999999978</v>
      </c>
      <c r="I144" s="425">
        <f>VLOOKUP(A144,'[2]Tableau (2)'!$A$4:$D$312,4,FALSE)</f>
        <v>20215.3</v>
      </c>
      <c r="J144" s="380">
        <v>112104</v>
      </c>
      <c r="K144" s="357">
        <v>100347.37</v>
      </c>
      <c r="L144" s="355">
        <v>19338.5</v>
      </c>
      <c r="M144" s="357">
        <v>566075.30000000005</v>
      </c>
      <c r="N144" s="358">
        <f t="shared" si="4"/>
        <v>8645388.6500000004</v>
      </c>
      <c r="O144" s="34">
        <v>28133.7</v>
      </c>
      <c r="P144" s="34">
        <v>63849.599999999999</v>
      </c>
      <c r="Q144" s="34">
        <v>647553.65</v>
      </c>
      <c r="R144" s="34">
        <v>21715.52</v>
      </c>
      <c r="S144" s="34">
        <v>324565.84999999998</v>
      </c>
      <c r="T144" s="359">
        <f t="shared" si="5"/>
        <v>9731206.9699999988</v>
      </c>
      <c r="U144" s="17">
        <v>68</v>
      </c>
      <c r="V144" s="32">
        <v>2712</v>
      </c>
      <c r="W144" s="376">
        <v>-50443.32</v>
      </c>
      <c r="X144" s="34"/>
      <c r="Y144" s="34">
        <v>-1289.6500000000001</v>
      </c>
      <c r="Z144" s="34">
        <v>1</v>
      </c>
      <c r="AB144" s="414"/>
      <c r="AC144" s="414"/>
    </row>
    <row r="145" spans="1:29" x14ac:dyDescent="0.25">
      <c r="A145" s="370">
        <v>5635</v>
      </c>
      <c r="B145" s="354" t="s">
        <v>156</v>
      </c>
      <c r="C145" s="34">
        <v>18253845.91</v>
      </c>
      <c r="D145" s="34">
        <v>2560075</v>
      </c>
      <c r="E145" s="380"/>
      <c r="F145" s="355"/>
      <c r="G145" s="425">
        <f>VLOOKUP(A145,'[1]Tableau (2)'!$A:$E,3,FALSE)</f>
        <v>1300933.29</v>
      </c>
      <c r="H145" s="425">
        <f>VLOOKUP(A145,'[1]Tableau (2)'!$A:$E,4,FALSE)</f>
        <v>1315788.9499999983</v>
      </c>
      <c r="I145" s="425">
        <f>VLOOKUP(A145,'[2]Tableau (2)'!$A$4:$D$312,4,FALSE)</f>
        <v>620219.75</v>
      </c>
      <c r="J145" s="380">
        <v>49883.55</v>
      </c>
      <c r="K145" s="357">
        <v>1466306.67</v>
      </c>
      <c r="L145" s="355">
        <v>375200.3</v>
      </c>
      <c r="M145" s="357">
        <v>2095088.8</v>
      </c>
      <c r="N145" s="358">
        <f t="shared" si="4"/>
        <v>28037342.219999999</v>
      </c>
      <c r="O145" s="34">
        <v>2168934.3999999999</v>
      </c>
      <c r="P145" s="34">
        <v>240163</v>
      </c>
      <c r="Q145" s="34">
        <v>637904.5</v>
      </c>
      <c r="R145" s="34">
        <v>1831699.09</v>
      </c>
      <c r="S145" s="34">
        <v>592282.65</v>
      </c>
      <c r="T145" s="359">
        <f t="shared" si="5"/>
        <v>33508325.859999996</v>
      </c>
      <c r="U145" s="17">
        <v>62</v>
      </c>
      <c r="V145" s="32">
        <v>12560</v>
      </c>
      <c r="W145" s="376">
        <v>-2110666.2799999998</v>
      </c>
      <c r="X145" s="34"/>
      <c r="Y145" s="34">
        <v>-58029.9</v>
      </c>
      <c r="Z145" s="34">
        <v>0.95</v>
      </c>
      <c r="AB145" s="414"/>
      <c r="AC145" s="414"/>
    </row>
    <row r="146" spans="1:29" x14ac:dyDescent="0.25">
      <c r="A146" s="370">
        <v>5636</v>
      </c>
      <c r="B146" s="354" t="s">
        <v>157</v>
      </c>
      <c r="C146" s="34">
        <v>5580423.5499999998</v>
      </c>
      <c r="D146" s="34">
        <v>731481.19</v>
      </c>
      <c r="E146" s="380"/>
      <c r="F146" s="355"/>
      <c r="G146" s="425">
        <f>VLOOKUP(A146,'[1]Tableau (2)'!$A:$E,3,FALSE)</f>
        <v>581604.23</v>
      </c>
      <c r="H146" s="425">
        <f>VLOOKUP(A146,'[1]Tableau (2)'!$A:$E,4,FALSE)</f>
        <v>449951.39999999997</v>
      </c>
      <c r="I146" s="425">
        <f>VLOOKUP(A146,'[2]Tableau (2)'!$A$4:$D$312,4,FALSE)</f>
        <v>239901.5</v>
      </c>
      <c r="J146" s="380">
        <v>68376.399999999994</v>
      </c>
      <c r="K146" s="357">
        <v>528459.61</v>
      </c>
      <c r="L146" s="355">
        <v>83168</v>
      </c>
      <c r="M146" s="357">
        <v>985456.65</v>
      </c>
      <c r="N146" s="358">
        <f t="shared" si="4"/>
        <v>9248822.5300000012</v>
      </c>
      <c r="O146" s="34">
        <v>560619.75</v>
      </c>
      <c r="P146" s="34">
        <v>29299.75</v>
      </c>
      <c r="Q146" s="34">
        <v>919081.05</v>
      </c>
      <c r="R146" s="34">
        <v>37666.69</v>
      </c>
      <c r="S146" s="34">
        <v>149314.9</v>
      </c>
      <c r="T146" s="359">
        <f t="shared" si="5"/>
        <v>10944804.670000002</v>
      </c>
      <c r="U146" s="17">
        <v>61</v>
      </c>
      <c r="V146" s="32">
        <v>2908</v>
      </c>
      <c r="W146" s="376">
        <v>-68314.05</v>
      </c>
      <c r="X146" s="34"/>
      <c r="Y146" s="34">
        <v>-731.93</v>
      </c>
      <c r="Z146" s="34">
        <v>1</v>
      </c>
      <c r="AB146" s="414"/>
      <c r="AC146" s="414"/>
    </row>
    <row r="147" spans="1:29" x14ac:dyDescent="0.25">
      <c r="A147" s="370">
        <v>5637</v>
      </c>
      <c r="B147" s="354" t="s">
        <v>158</v>
      </c>
      <c r="C147" s="34">
        <v>2153022.65</v>
      </c>
      <c r="D147" s="34">
        <v>225734.53</v>
      </c>
      <c r="E147" s="380"/>
      <c r="F147" s="355"/>
      <c r="G147" s="425">
        <f>VLOOKUP(A147,'[1]Tableau (2)'!$A:$E,3,FALSE)</f>
        <v>18097.849999999999</v>
      </c>
      <c r="H147" s="425">
        <f>VLOOKUP(A147,'[1]Tableau (2)'!$A:$E,4,FALSE)</f>
        <v>401.29999999999973</v>
      </c>
      <c r="I147" s="425">
        <f>VLOOKUP(A147,'[2]Tableau (2)'!$A$4:$D$312,4,FALSE)</f>
        <v>8748.5499999999993</v>
      </c>
      <c r="J147" s="380"/>
      <c r="K147" s="357">
        <v>98356.86</v>
      </c>
      <c r="L147" s="355">
        <v>4736.6000000000004</v>
      </c>
      <c r="M147" s="357">
        <v>279064.84999999998</v>
      </c>
      <c r="N147" s="358">
        <f t="shared" si="4"/>
        <v>2788163.1899999995</v>
      </c>
      <c r="O147" s="34">
        <v>214244</v>
      </c>
      <c r="P147" s="34">
        <v>57122.7</v>
      </c>
      <c r="Q147" s="34">
        <v>25719.85</v>
      </c>
      <c r="R147" s="34">
        <v>16109.05</v>
      </c>
      <c r="S147" s="34">
        <v>24433.599999999999</v>
      </c>
      <c r="T147" s="359">
        <f t="shared" si="5"/>
        <v>3125792.3899999997</v>
      </c>
      <c r="U147" s="17">
        <v>74.5</v>
      </c>
      <c r="V147" s="32">
        <v>1007</v>
      </c>
      <c r="W147" s="376">
        <v>-22607.79</v>
      </c>
      <c r="X147" s="34"/>
      <c r="Y147" s="34">
        <v>-80.459999999999994</v>
      </c>
      <c r="Z147" s="34">
        <v>1.5</v>
      </c>
      <c r="AB147" s="414"/>
      <c r="AC147" s="414"/>
    </row>
    <row r="148" spans="1:29" x14ac:dyDescent="0.25">
      <c r="A148" s="370">
        <v>5638</v>
      </c>
      <c r="B148" s="354" t="s">
        <v>159</v>
      </c>
      <c r="C148" s="34">
        <v>5017782.7</v>
      </c>
      <c r="D148" s="34">
        <v>1335160.8</v>
      </c>
      <c r="E148" s="380"/>
      <c r="F148" s="355"/>
      <c r="G148" s="425">
        <f>VLOOKUP(A148,'[1]Tableau (2)'!$A:$E,3,FALSE)</f>
        <v>511394.87</v>
      </c>
      <c r="H148" s="425">
        <f>VLOOKUP(A148,'[1]Tableau (2)'!$A:$E,4,FALSE)</f>
        <v>148694.14999999982</v>
      </c>
      <c r="I148" s="425">
        <f>VLOOKUP(A148,'[2]Tableau (2)'!$A$4:$D$312,4,FALSE)</f>
        <v>185365.9</v>
      </c>
      <c r="J148" s="380">
        <v>125707.6</v>
      </c>
      <c r="K148" s="357">
        <v>150854.95000000001</v>
      </c>
      <c r="L148" s="355">
        <v>58783.25</v>
      </c>
      <c r="M148" s="357">
        <v>610987.55000000005</v>
      </c>
      <c r="N148" s="358">
        <f t="shared" si="4"/>
        <v>8144731.7699999996</v>
      </c>
      <c r="O148" s="34">
        <v>195178.05</v>
      </c>
      <c r="P148" s="34">
        <v>5372126.9000000004</v>
      </c>
      <c r="Q148" s="34">
        <v>327617.2</v>
      </c>
      <c r="R148" s="34">
        <v>30336.52</v>
      </c>
      <c r="S148" s="34">
        <v>212938.75</v>
      </c>
      <c r="T148" s="359">
        <f t="shared" si="5"/>
        <v>14282929.189999998</v>
      </c>
      <c r="U148" s="17">
        <v>55</v>
      </c>
      <c r="V148" s="32">
        <v>2492</v>
      </c>
      <c r="W148" s="376">
        <v>-69205.56</v>
      </c>
      <c r="X148" s="34"/>
      <c r="Y148" s="34">
        <v>-3963.67</v>
      </c>
      <c r="Z148" s="34">
        <v>1</v>
      </c>
      <c r="AB148" s="414"/>
      <c r="AC148" s="414"/>
    </row>
    <row r="149" spans="1:29" x14ac:dyDescent="0.25">
      <c r="A149" s="370">
        <v>5639</v>
      </c>
      <c r="B149" s="354" t="s">
        <v>160</v>
      </c>
      <c r="C149" s="34">
        <v>2361702.98</v>
      </c>
      <c r="D149" s="34">
        <v>496788.6</v>
      </c>
      <c r="E149" s="380"/>
      <c r="F149" s="355"/>
      <c r="G149" s="425">
        <f>VLOOKUP(A149,'[1]Tableau (2)'!$A:$E,3,FALSE)</f>
        <v>37646.54</v>
      </c>
      <c r="H149" s="425">
        <f>VLOOKUP(A149,'[1]Tableau (2)'!$A:$E,4,FALSE)</f>
        <v>3467.3</v>
      </c>
      <c r="I149" s="425">
        <f>VLOOKUP(A149,'[2]Tableau (2)'!$A$4:$D$312,4,FALSE)</f>
        <v>11942.8</v>
      </c>
      <c r="J149" s="380"/>
      <c r="K149" s="357">
        <v>34548.29</v>
      </c>
      <c r="L149" s="355">
        <v>2910.85</v>
      </c>
      <c r="M149" s="357">
        <v>232855.15</v>
      </c>
      <c r="N149" s="358">
        <f t="shared" si="4"/>
        <v>3181862.51</v>
      </c>
      <c r="O149" s="34">
        <v>7673.95</v>
      </c>
      <c r="P149" s="34">
        <v>4672.2</v>
      </c>
      <c r="Q149" s="34">
        <v>103464.2</v>
      </c>
      <c r="R149" s="34"/>
      <c r="S149" s="34">
        <v>74264.649999999994</v>
      </c>
      <c r="T149" s="359">
        <f t="shared" si="5"/>
        <v>3371937.5100000002</v>
      </c>
      <c r="U149" s="17">
        <v>61</v>
      </c>
      <c r="V149" s="32">
        <v>795</v>
      </c>
      <c r="W149" s="376">
        <v>-10891.22</v>
      </c>
      <c r="X149" s="34"/>
      <c r="Y149" s="34">
        <v>0</v>
      </c>
      <c r="Z149" s="34">
        <v>1.25</v>
      </c>
      <c r="AB149" s="414"/>
      <c r="AC149" s="414"/>
    </row>
    <row r="150" spans="1:29" x14ac:dyDescent="0.25">
      <c r="A150" s="370">
        <v>5640</v>
      </c>
      <c r="B150" s="354" t="s">
        <v>161</v>
      </c>
      <c r="C150" s="34">
        <v>2605123.98</v>
      </c>
      <c r="D150" s="34">
        <v>650490.82999999996</v>
      </c>
      <c r="E150" s="380"/>
      <c r="F150" s="355"/>
      <c r="G150" s="425">
        <f>VLOOKUP(A150,'[1]Tableau (2)'!$A:$E,3,FALSE)</f>
        <v>50397.46</v>
      </c>
      <c r="H150" s="425">
        <f>VLOOKUP(A150,'[1]Tableau (2)'!$A:$E,4,FALSE)</f>
        <v>4580.7999999999993</v>
      </c>
      <c r="I150" s="425">
        <f>VLOOKUP(A150,'[2]Tableau (2)'!$A$4:$D$312,4,FALSE)</f>
        <v>31888.9</v>
      </c>
      <c r="J150" s="380">
        <v>112456.95</v>
      </c>
      <c r="K150" s="357">
        <v>13011.45</v>
      </c>
      <c r="L150" s="355">
        <v>3311.15</v>
      </c>
      <c r="M150" s="357">
        <v>177094.65</v>
      </c>
      <c r="N150" s="358">
        <f t="shared" si="4"/>
        <v>3648356.17</v>
      </c>
      <c r="O150" s="34">
        <v>20858.45</v>
      </c>
      <c r="P150" s="34">
        <v>1179708.6000000001</v>
      </c>
      <c r="Q150" s="34">
        <v>99486.5</v>
      </c>
      <c r="R150" s="34"/>
      <c r="S150" s="34">
        <v>165951.20000000001</v>
      </c>
      <c r="T150" s="359">
        <f t="shared" si="5"/>
        <v>5114360.9200000009</v>
      </c>
      <c r="U150" s="17">
        <v>66</v>
      </c>
      <c r="V150" s="32">
        <v>667</v>
      </c>
      <c r="W150" s="376">
        <v>-1896.95</v>
      </c>
      <c r="X150" s="34"/>
      <c r="Y150" s="34">
        <v>-5013.92</v>
      </c>
      <c r="Z150" s="34">
        <v>1</v>
      </c>
      <c r="AB150" s="414"/>
      <c r="AC150" s="414"/>
    </row>
    <row r="151" spans="1:29" x14ac:dyDescent="0.25">
      <c r="A151" s="370">
        <v>5642</v>
      </c>
      <c r="B151" s="354" t="s">
        <v>162</v>
      </c>
      <c r="C151" s="34">
        <v>34199708.310000002</v>
      </c>
      <c r="D151" s="34">
        <v>5136971.76</v>
      </c>
      <c r="E151" s="380"/>
      <c r="F151" s="355"/>
      <c r="G151" s="425">
        <f>VLOOKUP(A151,'[1]Tableau (2)'!$A:$E,3,FALSE)</f>
        <v>4836646.3600000003</v>
      </c>
      <c r="H151" s="425">
        <f>VLOOKUP(A151,'[1]Tableau (2)'!$A:$E,4,FALSE)</f>
        <v>-187486.85000000609</v>
      </c>
      <c r="I151" s="425">
        <f>VLOOKUP(A151,'[2]Tableau (2)'!$A$4:$D$312,4,FALSE)</f>
        <v>1250189.2</v>
      </c>
      <c r="J151" s="380">
        <v>532169.51</v>
      </c>
      <c r="K151" s="357">
        <v>1876864.23</v>
      </c>
      <c r="L151" s="355">
        <v>341755.65</v>
      </c>
      <c r="M151" s="357">
        <v>3094735.4</v>
      </c>
      <c r="N151" s="358">
        <f t="shared" si="4"/>
        <v>51081553.569999985</v>
      </c>
      <c r="O151" s="34">
        <v>1182879.75</v>
      </c>
      <c r="P151" s="34">
        <v>3711652.25</v>
      </c>
      <c r="Q151" s="34">
        <v>1319928.1499999999</v>
      </c>
      <c r="R151" s="34">
        <v>64558.37</v>
      </c>
      <c r="S151" s="34">
        <v>894656.9</v>
      </c>
      <c r="T151" s="359">
        <f t="shared" si="5"/>
        <v>58255228.98999998</v>
      </c>
      <c r="U151" s="17">
        <v>68.5</v>
      </c>
      <c r="V151" s="32">
        <v>15839</v>
      </c>
      <c r="W151" s="376">
        <v>-578734.39</v>
      </c>
      <c r="X151" s="34"/>
      <c r="Y151" s="34">
        <v>-30349.71</v>
      </c>
      <c r="Z151" s="34">
        <v>1</v>
      </c>
      <c r="AB151" s="414"/>
      <c r="AC151" s="414"/>
    </row>
    <row r="152" spans="1:29" x14ac:dyDescent="0.25">
      <c r="A152" s="370">
        <v>5643</v>
      </c>
      <c r="B152" s="354" t="s">
        <v>163</v>
      </c>
      <c r="C152" s="34">
        <v>11689953.369999999</v>
      </c>
      <c r="D152" s="34">
        <v>2460909.94</v>
      </c>
      <c r="E152" s="380"/>
      <c r="F152" s="355"/>
      <c r="G152" s="425">
        <f>VLOOKUP(A152,'[1]Tableau (2)'!$A:$E,3,FALSE)</f>
        <v>342997.84</v>
      </c>
      <c r="H152" s="425">
        <f>VLOOKUP(A152,'[1]Tableau (2)'!$A:$E,4,FALSE)</f>
        <v>40896.050000000083</v>
      </c>
      <c r="I152" s="425">
        <f>VLOOKUP(A152,'[2]Tableau (2)'!$A$4:$D$312,4,FALSE)</f>
        <v>135094.54999999999</v>
      </c>
      <c r="J152" s="380">
        <v>525939.9</v>
      </c>
      <c r="K152" s="357">
        <v>480997.42</v>
      </c>
      <c r="L152" s="355">
        <v>90581.25</v>
      </c>
      <c r="M152" s="357">
        <v>1087622.55</v>
      </c>
      <c r="N152" s="358">
        <f t="shared" si="4"/>
        <v>16854992.870000001</v>
      </c>
      <c r="O152" s="34">
        <v>146777.79999999999</v>
      </c>
      <c r="P152" s="34">
        <v>87618.7</v>
      </c>
      <c r="Q152" s="34">
        <v>302692.05</v>
      </c>
      <c r="R152" s="34">
        <v>32882.79</v>
      </c>
      <c r="S152" s="34">
        <v>221118.95</v>
      </c>
      <c r="T152" s="359">
        <f t="shared" si="5"/>
        <v>17646083.16</v>
      </c>
      <c r="U152" s="17">
        <v>64</v>
      </c>
      <c r="V152" s="32">
        <v>5291</v>
      </c>
      <c r="W152" s="376">
        <v>-137338.57999999999</v>
      </c>
      <c r="X152" s="34"/>
      <c r="Y152" s="34">
        <v>-6905.63</v>
      </c>
      <c r="Z152" s="34">
        <v>1</v>
      </c>
      <c r="AB152" s="414"/>
      <c r="AC152" s="414"/>
    </row>
    <row r="153" spans="1:29" x14ac:dyDescent="0.25">
      <c r="A153" s="370">
        <v>5644</v>
      </c>
      <c r="B153" s="354" t="s">
        <v>312</v>
      </c>
      <c r="C153" s="34">
        <v>905993.31</v>
      </c>
      <c r="D153" s="34">
        <v>121133.83</v>
      </c>
      <c r="E153" s="380"/>
      <c r="F153" s="355"/>
      <c r="G153" s="425">
        <f>VLOOKUP(A153,'[1]Tableau (2)'!$A:$E,3,FALSE)</f>
        <v>15995.18</v>
      </c>
      <c r="H153" s="425">
        <f>VLOOKUP(A153,'[1]Tableau (2)'!$A:$E,4,FALSE)</f>
        <v>129.69999999999996</v>
      </c>
      <c r="I153" s="425">
        <f>VLOOKUP(A153,'[2]Tableau (2)'!$A$4:$D$312,4,FALSE)</f>
        <v>5378.1</v>
      </c>
      <c r="J153" s="380"/>
      <c r="K153" s="357">
        <v>17628.66</v>
      </c>
      <c r="L153" s="355">
        <v>150</v>
      </c>
      <c r="M153" s="357">
        <v>72080.45</v>
      </c>
      <c r="N153" s="358">
        <f t="shared" si="4"/>
        <v>1138489.23</v>
      </c>
      <c r="O153" s="34">
        <v>11543.65</v>
      </c>
      <c r="P153" s="34"/>
      <c r="Q153" s="34">
        <v>40112.050000000003</v>
      </c>
      <c r="R153" s="34"/>
      <c r="S153" s="34">
        <v>4106.05</v>
      </c>
      <c r="T153" s="359">
        <f t="shared" si="5"/>
        <v>1194250.98</v>
      </c>
      <c r="U153" s="17">
        <v>76</v>
      </c>
      <c r="V153" s="32">
        <v>382</v>
      </c>
      <c r="W153" s="376">
        <v>-1783.14</v>
      </c>
      <c r="X153" s="34"/>
      <c r="Y153" s="34">
        <v>0</v>
      </c>
      <c r="Z153" s="34">
        <v>1</v>
      </c>
      <c r="AB153" s="414"/>
      <c r="AC153" s="414"/>
    </row>
    <row r="154" spans="1:29" x14ac:dyDescent="0.25">
      <c r="A154" s="370">
        <v>5645</v>
      </c>
      <c r="B154" s="354" t="s">
        <v>313</v>
      </c>
      <c r="C154" s="34">
        <v>1016126.39</v>
      </c>
      <c r="D154" s="34">
        <v>162447.01999999999</v>
      </c>
      <c r="E154" s="380"/>
      <c r="F154" s="355"/>
      <c r="G154" s="425">
        <f>VLOOKUP(A154,'[1]Tableau (2)'!$A:$E,3,FALSE)</f>
        <v>35501.5</v>
      </c>
      <c r="H154" s="425">
        <f>VLOOKUP(A154,'[1]Tableau (2)'!$A:$E,4,FALSE)</f>
        <v>4914.75</v>
      </c>
      <c r="I154" s="425">
        <f>VLOOKUP(A154,'[2]Tableau (2)'!$A$4:$D$312,4,FALSE)</f>
        <v>14582.7</v>
      </c>
      <c r="J154" s="380"/>
      <c r="K154" s="357">
        <v>85108.88</v>
      </c>
      <c r="L154" s="355">
        <v>6457.6</v>
      </c>
      <c r="M154" s="357">
        <v>115420.55</v>
      </c>
      <c r="N154" s="358">
        <f t="shared" si="4"/>
        <v>1440559.39</v>
      </c>
      <c r="O154" s="34">
        <v>64803.7</v>
      </c>
      <c r="P154" s="34">
        <v>9635.4</v>
      </c>
      <c r="Q154" s="34">
        <v>14008.5</v>
      </c>
      <c r="R154" s="34">
        <v>773.43</v>
      </c>
      <c r="S154" s="34"/>
      <c r="T154" s="359">
        <f t="shared" si="5"/>
        <v>1529780.4199999997</v>
      </c>
      <c r="U154" s="17">
        <v>56</v>
      </c>
      <c r="V154" s="32">
        <v>470</v>
      </c>
      <c r="W154" s="376">
        <v>-13033.28</v>
      </c>
      <c r="X154" s="34"/>
      <c r="Y154" s="34">
        <v>-35.659999999999997</v>
      </c>
      <c r="Z154" s="34">
        <v>0.8</v>
      </c>
      <c r="AB154" s="414"/>
      <c r="AC154" s="414"/>
    </row>
    <row r="155" spans="1:29" x14ac:dyDescent="0.25">
      <c r="A155" s="370">
        <v>5646</v>
      </c>
      <c r="B155" s="354" t="s">
        <v>314</v>
      </c>
      <c r="C155" s="34">
        <v>11496912.439999999</v>
      </c>
      <c r="D155" s="34">
        <v>2316027.2799999998</v>
      </c>
      <c r="E155" s="380"/>
      <c r="F155" s="355"/>
      <c r="G155" s="425">
        <f>VLOOKUP(A155,'[1]Tableau (2)'!$A:$E,3,FALSE)</f>
        <v>747904.55</v>
      </c>
      <c r="H155" s="425">
        <f>VLOOKUP(A155,'[1]Tableau (2)'!$A:$E,4,FALSE)</f>
        <v>12711881.44999999</v>
      </c>
      <c r="I155" s="425">
        <f>VLOOKUP(A155,'[2]Tableau (2)'!$A$4:$D$312,4,FALSE)</f>
        <v>1104091.3</v>
      </c>
      <c r="J155" s="380">
        <v>796369.16</v>
      </c>
      <c r="K155" s="357">
        <v>400412.17</v>
      </c>
      <c r="L155" s="355">
        <v>90214.399999999994</v>
      </c>
      <c r="M155" s="357">
        <v>1541528.45</v>
      </c>
      <c r="N155" s="358">
        <f t="shared" si="4"/>
        <v>31205341.199999992</v>
      </c>
      <c r="O155" s="34">
        <v>442944.65</v>
      </c>
      <c r="P155" s="34">
        <v>324599.7</v>
      </c>
      <c r="Q155" s="34">
        <v>730417.9</v>
      </c>
      <c r="R155" s="34">
        <v>17737.5</v>
      </c>
      <c r="S155" s="34">
        <v>825938.3</v>
      </c>
      <c r="T155" s="359">
        <f t="shared" si="5"/>
        <v>33546979.249999989</v>
      </c>
      <c r="U155" s="17">
        <v>55</v>
      </c>
      <c r="V155" s="32">
        <v>5695</v>
      </c>
      <c r="W155" s="376">
        <v>-156511.45000000001</v>
      </c>
      <c r="X155" s="34"/>
      <c r="Y155" s="34">
        <v>-3473.21</v>
      </c>
      <c r="Z155" s="34">
        <v>1</v>
      </c>
      <c r="AB155" s="414"/>
      <c r="AC155" s="414"/>
    </row>
    <row r="156" spans="1:29" x14ac:dyDescent="0.25">
      <c r="A156" s="370">
        <v>5648</v>
      </c>
      <c r="B156" s="354" t="s">
        <v>315</v>
      </c>
      <c r="C156" s="34">
        <v>12921951.210000001</v>
      </c>
      <c r="D156" s="34">
        <v>3332989.14</v>
      </c>
      <c r="E156" s="380"/>
      <c r="F156" s="355"/>
      <c r="G156" s="425">
        <f>VLOOKUP(A156,'[1]Tableau (2)'!$A:$E,3,FALSE)</f>
        <v>371854.9</v>
      </c>
      <c r="H156" s="425">
        <f>VLOOKUP(A156,'[1]Tableau (2)'!$A:$E,4,FALSE)</f>
        <v>440224.60000000009</v>
      </c>
      <c r="I156" s="425">
        <f>VLOOKUP(A156,'[2]Tableau (2)'!$A$4:$D$312,4,FALSE)</f>
        <v>178702.5</v>
      </c>
      <c r="J156" s="380">
        <v>400643.54</v>
      </c>
      <c r="K156" s="357">
        <v>866041.95</v>
      </c>
      <c r="L156" s="355">
        <v>74742.2</v>
      </c>
      <c r="M156" s="357">
        <v>1060836.28</v>
      </c>
      <c r="N156" s="358">
        <f t="shared" si="4"/>
        <v>19647986.32</v>
      </c>
      <c r="O156" s="34">
        <v>51473.55</v>
      </c>
      <c r="P156" s="34">
        <v>608307.6</v>
      </c>
      <c r="Q156" s="34">
        <v>1232099.75</v>
      </c>
      <c r="R156" s="34">
        <v>1736.93</v>
      </c>
      <c r="S156" s="34">
        <v>554617.85</v>
      </c>
      <c r="T156" s="359">
        <f t="shared" si="5"/>
        <v>22096222.000000004</v>
      </c>
      <c r="U156" s="17">
        <v>55</v>
      </c>
      <c r="V156" s="32">
        <v>4524</v>
      </c>
      <c r="W156" s="376">
        <v>-44795.58</v>
      </c>
      <c r="X156" s="34"/>
      <c r="Y156" s="34">
        <v>-18715.68</v>
      </c>
      <c r="Z156" s="34">
        <v>0.8</v>
      </c>
      <c r="AB156" s="414"/>
      <c r="AC156" s="414"/>
    </row>
    <row r="157" spans="1:29" x14ac:dyDescent="0.25">
      <c r="A157" s="370">
        <v>5649</v>
      </c>
      <c r="B157" s="354" t="s">
        <v>316</v>
      </c>
      <c r="C157" s="34">
        <v>3827297.2</v>
      </c>
      <c r="D157" s="34">
        <v>1055591.6200000001</v>
      </c>
      <c r="E157" s="380"/>
      <c r="F157" s="355"/>
      <c r="G157" s="425">
        <f>VLOOKUP(A157,'[1]Tableau (2)'!$A:$E,3,FALSE)</f>
        <v>4183357.94</v>
      </c>
      <c r="H157" s="425">
        <f>VLOOKUP(A157,'[1]Tableau (2)'!$A:$E,4,FALSE)</f>
        <v>943568.20000000007</v>
      </c>
      <c r="I157" s="425">
        <f>VLOOKUP(A157,'[2]Tableau (2)'!$A$4:$D$312,4,FALSE)</f>
        <v>568212</v>
      </c>
      <c r="J157" s="380">
        <v>159637.71</v>
      </c>
      <c r="K157" s="357">
        <v>161641.66</v>
      </c>
      <c r="L157" s="355">
        <v>63516.6</v>
      </c>
      <c r="M157" s="357">
        <v>540169.69999999995</v>
      </c>
      <c r="N157" s="358">
        <f t="shared" si="4"/>
        <v>11502992.629999999</v>
      </c>
      <c r="O157" s="34">
        <v>610323.6</v>
      </c>
      <c r="P157" s="34">
        <v>5548.9</v>
      </c>
      <c r="Q157" s="34">
        <v>121751.25</v>
      </c>
      <c r="R157" s="34">
        <v>30.2</v>
      </c>
      <c r="S157" s="34">
        <v>263442.95</v>
      </c>
      <c r="T157" s="359">
        <f t="shared" si="5"/>
        <v>12504089.529999997</v>
      </c>
      <c r="U157" s="17">
        <v>65</v>
      </c>
      <c r="V157" s="32">
        <v>1883</v>
      </c>
      <c r="W157" s="376">
        <v>-55457.45</v>
      </c>
      <c r="X157" s="34"/>
      <c r="Y157" s="34">
        <v>-690.72</v>
      </c>
      <c r="Z157" s="34">
        <v>1</v>
      </c>
      <c r="AB157" s="414"/>
      <c r="AC157" s="414"/>
    </row>
    <row r="158" spans="1:29" s="364" customFormat="1" x14ac:dyDescent="0.25">
      <c r="A158" s="371">
        <v>5650</v>
      </c>
      <c r="B158" s="361" t="s">
        <v>317</v>
      </c>
      <c r="C158" s="34">
        <v>2733742.82</v>
      </c>
      <c r="D158" s="34">
        <v>6700983.7000000002</v>
      </c>
      <c r="E158" s="381"/>
      <c r="F158" s="362"/>
      <c r="G158" s="425">
        <f>VLOOKUP(A158,'[1]Tableau (2)'!$A:$E,3,FALSE)</f>
        <v>11253.31</v>
      </c>
      <c r="H158" s="425">
        <f>VLOOKUP(A158,'[1]Tableau (2)'!$A:$E,4,FALSE)</f>
        <v>31</v>
      </c>
      <c r="I158" s="425">
        <f>VLOOKUP(A158,'[2]Tableau (2)'!$A$4:$D$312,4,FALSE)</f>
        <v>3215.35</v>
      </c>
      <c r="J158" s="381"/>
      <c r="K158" s="360">
        <v>4629.63</v>
      </c>
      <c r="L158" s="362"/>
      <c r="M158" s="360">
        <v>54508.7</v>
      </c>
      <c r="N158" s="358">
        <f t="shared" si="4"/>
        <v>9508364.5099999998</v>
      </c>
      <c r="O158" s="363">
        <v>93.95</v>
      </c>
      <c r="P158" s="363"/>
      <c r="Q158" s="363">
        <v>12100</v>
      </c>
      <c r="R158" s="363"/>
      <c r="S158" s="363">
        <v>10000.5</v>
      </c>
      <c r="T158" s="359">
        <f t="shared" si="5"/>
        <v>9530558.959999999</v>
      </c>
      <c r="U158" s="17">
        <v>56</v>
      </c>
      <c r="V158" s="32">
        <v>199</v>
      </c>
      <c r="W158" s="377">
        <v>-116.03</v>
      </c>
      <c r="X158" s="363"/>
      <c r="Y158" s="363">
        <v>0</v>
      </c>
      <c r="Z158" s="34">
        <v>1.25</v>
      </c>
      <c r="AB158" s="414"/>
      <c r="AC158" s="414"/>
    </row>
    <row r="159" spans="1:29" x14ac:dyDescent="0.25">
      <c r="A159" s="370">
        <v>5651</v>
      </c>
      <c r="B159" s="354" t="s">
        <v>318</v>
      </c>
      <c r="C159" s="34">
        <v>1853771.73</v>
      </c>
      <c r="D159" s="34">
        <v>249743.33</v>
      </c>
      <c r="E159" s="380"/>
      <c r="F159" s="355"/>
      <c r="G159" s="425">
        <f>VLOOKUP(A159,'[1]Tableau (2)'!$A:$E,3,FALSE)</f>
        <v>320847.95</v>
      </c>
      <c r="H159" s="425">
        <f>VLOOKUP(A159,'[1]Tableau (2)'!$A:$E,4,FALSE)</f>
        <v>1794.3</v>
      </c>
      <c r="I159" s="425">
        <f>VLOOKUP(A159,'[2]Tableau (2)'!$A$4:$D$312,4,FALSE)</f>
        <v>66691.05</v>
      </c>
      <c r="J159" s="380"/>
      <c r="K159" s="357">
        <v>48414.5</v>
      </c>
      <c r="L159" s="355">
        <v>18278</v>
      </c>
      <c r="M159" s="357">
        <v>264848.09999999998</v>
      </c>
      <c r="N159" s="358">
        <f t="shared" si="4"/>
        <v>2824388.96</v>
      </c>
      <c r="O159" s="34">
        <v>166753.75</v>
      </c>
      <c r="P159" s="34"/>
      <c r="Q159" s="34">
        <v>231689.8</v>
      </c>
      <c r="R159" s="34">
        <v>2357.8000000000002</v>
      </c>
      <c r="S159" s="34">
        <v>42894.6</v>
      </c>
      <c r="T159" s="359">
        <f t="shared" si="5"/>
        <v>3268084.9099999997</v>
      </c>
      <c r="U159" s="17">
        <v>59</v>
      </c>
      <c r="V159" s="32">
        <v>935</v>
      </c>
      <c r="W159" s="376">
        <v>-11745.78</v>
      </c>
      <c r="X159" s="34"/>
      <c r="Y159" s="34">
        <v>-94.59</v>
      </c>
      <c r="Z159" s="34">
        <v>1</v>
      </c>
      <c r="AB159" s="414"/>
      <c r="AC159" s="414"/>
    </row>
    <row r="160" spans="1:29" x14ac:dyDescent="0.25">
      <c r="A160" s="370">
        <v>5652</v>
      </c>
      <c r="B160" s="354" t="s">
        <v>198</v>
      </c>
      <c r="C160" s="34">
        <v>1456953.09</v>
      </c>
      <c r="D160" s="34">
        <v>356132.69</v>
      </c>
      <c r="E160" s="380"/>
      <c r="F160" s="355"/>
      <c r="G160" s="425">
        <f>VLOOKUP(A160,'[1]Tableau (2)'!$A:$E,3,FALSE)</f>
        <v>8232.7000000000007</v>
      </c>
      <c r="H160" s="425">
        <f>VLOOKUP(A160,'[1]Tableau (2)'!$A:$E,4,FALSE)</f>
        <v>633.6</v>
      </c>
      <c r="I160" s="425">
        <f>VLOOKUP(A160,'[2]Tableau (2)'!$A$4:$D$312,4,FALSE)</f>
        <v>2089.4</v>
      </c>
      <c r="J160" s="380"/>
      <c r="K160" s="357">
        <v>36632.910000000003</v>
      </c>
      <c r="L160" s="355">
        <v>614.15</v>
      </c>
      <c r="M160" s="357">
        <v>127343.05</v>
      </c>
      <c r="N160" s="358">
        <f t="shared" si="4"/>
        <v>1988631.5899999999</v>
      </c>
      <c r="O160" s="34">
        <v>7470.6</v>
      </c>
      <c r="P160" s="34"/>
      <c r="Q160" s="34">
        <v>41371</v>
      </c>
      <c r="R160" s="34"/>
      <c r="S160" s="34">
        <v>11871.95</v>
      </c>
      <c r="T160" s="359">
        <f t="shared" si="5"/>
        <v>2049345.14</v>
      </c>
      <c r="U160" s="17">
        <v>76</v>
      </c>
      <c r="V160" s="32">
        <v>614</v>
      </c>
      <c r="W160" s="376">
        <v>-6913.36</v>
      </c>
      <c r="X160" s="34"/>
      <c r="Y160" s="34">
        <v>-143.91999999999999</v>
      </c>
      <c r="Z160" s="34">
        <v>1.2</v>
      </c>
      <c r="AB160" s="414"/>
      <c r="AC160" s="414"/>
    </row>
    <row r="161" spans="1:29" x14ac:dyDescent="0.25">
      <c r="A161" s="370">
        <v>5653</v>
      </c>
      <c r="B161" s="354" t="s">
        <v>199</v>
      </c>
      <c r="C161" s="34">
        <v>2143239.66</v>
      </c>
      <c r="D161" s="34">
        <v>687240.92</v>
      </c>
      <c r="E161" s="380"/>
      <c r="F161" s="355"/>
      <c r="G161" s="425">
        <f>VLOOKUP(A161,'[1]Tableau (2)'!$A:$E,3,FALSE)</f>
        <v>3250.13</v>
      </c>
      <c r="H161" s="425">
        <f>VLOOKUP(A161,'[1]Tableau (2)'!$A:$E,4,FALSE)</f>
        <v>164.2</v>
      </c>
      <c r="I161" s="425">
        <f>VLOOKUP(A161,'[2]Tableau (2)'!$A$4:$D$312,4,FALSE)</f>
        <v>2333.0500000000002</v>
      </c>
      <c r="J161" s="380">
        <v>92686.65</v>
      </c>
      <c r="K161" s="357">
        <v>45413.88</v>
      </c>
      <c r="L161" s="355">
        <v>1537</v>
      </c>
      <c r="M161" s="357">
        <v>185285.6</v>
      </c>
      <c r="N161" s="358">
        <f t="shared" si="4"/>
        <v>3161151.09</v>
      </c>
      <c r="O161" s="34">
        <v>406.8</v>
      </c>
      <c r="P161" s="34"/>
      <c r="Q161" s="34">
        <v>66731.55</v>
      </c>
      <c r="R161" s="34"/>
      <c r="S161" s="34">
        <v>9370.1</v>
      </c>
      <c r="T161" s="359">
        <f t="shared" si="5"/>
        <v>3237659.5399999996</v>
      </c>
      <c r="U161" s="17">
        <v>55</v>
      </c>
      <c r="V161" s="32">
        <v>884</v>
      </c>
      <c r="W161" s="376">
        <v>-8804.7199999999993</v>
      </c>
      <c r="X161" s="34"/>
      <c r="Y161" s="34">
        <v>-2908.68</v>
      </c>
      <c r="Z161" s="34">
        <v>0.8</v>
      </c>
      <c r="AB161" s="414"/>
      <c r="AC161" s="414"/>
    </row>
    <row r="162" spans="1:29" x14ac:dyDescent="0.25">
      <c r="A162" s="370">
        <v>5654</v>
      </c>
      <c r="B162" s="354" t="s">
        <v>200</v>
      </c>
      <c r="C162" s="34">
        <v>1089726.95</v>
      </c>
      <c r="D162" s="34">
        <v>185824.55</v>
      </c>
      <c r="E162" s="380"/>
      <c r="F162" s="355"/>
      <c r="G162" s="425">
        <f>VLOOKUP(A162,'[1]Tableau (2)'!$A:$E,3,FALSE)</f>
        <v>12918</v>
      </c>
      <c r="H162" s="425">
        <f>VLOOKUP(A162,'[1]Tableau (2)'!$A:$E,4,FALSE)</f>
        <v>1532.7</v>
      </c>
      <c r="I162" s="425">
        <f>VLOOKUP(A162,'[2]Tableau (2)'!$A$4:$D$312,4,FALSE)</f>
        <v>3828.25</v>
      </c>
      <c r="J162" s="380"/>
      <c r="K162" s="357">
        <v>37052.31</v>
      </c>
      <c r="L162" s="355">
        <v>1251.95</v>
      </c>
      <c r="M162" s="357">
        <v>89335.35</v>
      </c>
      <c r="N162" s="358">
        <f t="shared" si="4"/>
        <v>1421470.06</v>
      </c>
      <c r="O162" s="34">
        <v>2445.85</v>
      </c>
      <c r="P162" s="34">
        <v>4667.3</v>
      </c>
      <c r="Q162" s="34">
        <v>13695.05</v>
      </c>
      <c r="R162" s="34"/>
      <c r="S162" s="34">
        <v>17352.400000000001</v>
      </c>
      <c r="T162" s="359">
        <f t="shared" si="5"/>
        <v>1459630.6600000001</v>
      </c>
      <c r="U162" s="17">
        <v>76</v>
      </c>
      <c r="V162" s="32">
        <v>499</v>
      </c>
      <c r="W162" s="376">
        <v>-10334.25</v>
      </c>
      <c r="X162" s="34"/>
      <c r="Y162" s="34">
        <v>-1458.99</v>
      </c>
      <c r="Z162" s="34">
        <v>1</v>
      </c>
      <c r="AB162" s="414"/>
      <c r="AC162" s="414"/>
    </row>
    <row r="163" spans="1:29" x14ac:dyDescent="0.25">
      <c r="A163" s="370">
        <v>5655</v>
      </c>
      <c r="B163" s="354" t="s">
        <v>201</v>
      </c>
      <c r="C163" s="34">
        <v>4096015.88</v>
      </c>
      <c r="D163" s="34">
        <v>591522.44999999995</v>
      </c>
      <c r="E163" s="380"/>
      <c r="F163" s="355"/>
      <c r="G163" s="425">
        <f>VLOOKUP(A163,'[1]Tableau (2)'!$A:$E,3,FALSE)</f>
        <v>66531.820000000007</v>
      </c>
      <c r="H163" s="425">
        <f>VLOOKUP(A163,'[1]Tableau (2)'!$A:$E,4,FALSE)</f>
        <v>2374.3000000000002</v>
      </c>
      <c r="I163" s="425">
        <f>VLOOKUP(A163,'[2]Tableau (2)'!$A$4:$D$312,4,FALSE)</f>
        <v>23646.7</v>
      </c>
      <c r="J163" s="380">
        <v>-11254.2</v>
      </c>
      <c r="K163" s="357">
        <v>85854.02</v>
      </c>
      <c r="L163" s="355">
        <v>8464</v>
      </c>
      <c r="M163" s="357">
        <v>371490.85</v>
      </c>
      <c r="N163" s="358">
        <f t="shared" si="4"/>
        <v>5234645.8199999994</v>
      </c>
      <c r="O163" s="34">
        <v>60612.05</v>
      </c>
      <c r="P163" s="34">
        <v>121137.3</v>
      </c>
      <c r="Q163" s="34">
        <v>301458.3</v>
      </c>
      <c r="R163" s="34">
        <v>1492.99</v>
      </c>
      <c r="S163" s="34">
        <v>354268.85</v>
      </c>
      <c r="T163" s="359">
        <f t="shared" si="5"/>
        <v>6073615.3099999987</v>
      </c>
      <c r="U163" s="17">
        <v>73</v>
      </c>
      <c r="V163" s="32">
        <v>1395</v>
      </c>
      <c r="W163" s="376">
        <v>-11152.45</v>
      </c>
      <c r="X163" s="34"/>
      <c r="Y163" s="34">
        <v>-536.85</v>
      </c>
      <c r="Z163" s="34">
        <v>1</v>
      </c>
      <c r="AB163" s="414"/>
      <c r="AC163" s="414"/>
    </row>
    <row r="164" spans="1:29" x14ac:dyDescent="0.25">
      <c r="A164" s="370">
        <v>5661</v>
      </c>
      <c r="B164" s="354" t="s">
        <v>202</v>
      </c>
      <c r="C164" s="34">
        <v>621979.1</v>
      </c>
      <c r="D164" s="34">
        <v>39962.9</v>
      </c>
      <c r="E164" s="380"/>
      <c r="F164" s="355">
        <v>1710</v>
      </c>
      <c r="G164" s="425">
        <f>VLOOKUP(A164,'[1]Tableau (2)'!$A:$E,3,FALSE)</f>
        <v>657.5</v>
      </c>
      <c r="H164" s="425">
        <f>VLOOKUP(A164,'[1]Tableau (2)'!$A:$E,4,FALSE)</f>
        <v>231.3</v>
      </c>
      <c r="I164" s="425">
        <f>VLOOKUP(A164,'[2]Tableau (2)'!$A$4:$D$312,4,FALSE)</f>
        <v>478.4</v>
      </c>
      <c r="J164" s="380"/>
      <c r="K164" s="357">
        <v>4775.05</v>
      </c>
      <c r="L164" s="355">
        <v>202.5</v>
      </c>
      <c r="M164" s="357">
        <v>44429.599999999999</v>
      </c>
      <c r="N164" s="358">
        <f t="shared" si="4"/>
        <v>714426.35000000009</v>
      </c>
      <c r="O164" s="34">
        <v>13524.6</v>
      </c>
      <c r="P164" s="34"/>
      <c r="Q164" s="34">
        <v>12018.25</v>
      </c>
      <c r="R164" s="34">
        <v>1100</v>
      </c>
      <c r="S164" s="34">
        <v>3640.55</v>
      </c>
      <c r="T164" s="359">
        <f t="shared" si="5"/>
        <v>744709.75000000012</v>
      </c>
      <c r="U164" s="17">
        <v>79</v>
      </c>
      <c r="V164" s="32">
        <v>377</v>
      </c>
      <c r="W164" s="376">
        <v>-34.590000000000003</v>
      </c>
      <c r="X164" s="34"/>
      <c r="Y164" s="34">
        <v>0</v>
      </c>
      <c r="Z164" s="34">
        <v>1</v>
      </c>
      <c r="AB164" s="414"/>
      <c r="AC164" s="414"/>
    </row>
    <row r="165" spans="1:29" x14ac:dyDescent="0.25">
      <c r="A165" s="370">
        <v>5663</v>
      </c>
      <c r="B165" s="354" t="s">
        <v>203</v>
      </c>
      <c r="C165" s="34">
        <v>383352.3</v>
      </c>
      <c r="D165" s="34">
        <v>30974.42</v>
      </c>
      <c r="E165" s="380"/>
      <c r="F165" s="355">
        <v>1290</v>
      </c>
      <c r="G165" s="425">
        <f>VLOOKUP(A165,'[1]Tableau (2)'!$A:$E,3,FALSE)</f>
        <v>2304.3000000000002</v>
      </c>
      <c r="H165" s="425">
        <f>VLOOKUP(A165,'[1]Tableau (2)'!$A:$E,4,FALSE)</f>
        <v>190.1</v>
      </c>
      <c r="I165" s="425">
        <f>VLOOKUP(A165,'[2]Tableau (2)'!$A$4:$D$312,4,FALSE)</f>
        <v>699.05</v>
      </c>
      <c r="J165" s="380"/>
      <c r="K165" s="357">
        <v>4576.3</v>
      </c>
      <c r="L165" s="355">
        <v>456.15</v>
      </c>
      <c r="M165" s="357">
        <v>30302.3</v>
      </c>
      <c r="N165" s="358">
        <f t="shared" si="4"/>
        <v>454144.91999999993</v>
      </c>
      <c r="O165" s="34"/>
      <c r="P165" s="34">
        <v>19363.400000000001</v>
      </c>
      <c r="Q165" s="34">
        <v>9130</v>
      </c>
      <c r="R165" s="34"/>
      <c r="S165" s="34"/>
      <c r="T165" s="359">
        <f t="shared" si="5"/>
        <v>482638.31999999995</v>
      </c>
      <c r="U165" s="17">
        <v>80</v>
      </c>
      <c r="V165" s="32">
        <v>209</v>
      </c>
      <c r="W165" s="376">
        <v>-1735.59</v>
      </c>
      <c r="X165" s="34"/>
      <c r="Y165" s="34">
        <v>0</v>
      </c>
      <c r="Z165" s="34">
        <v>1</v>
      </c>
      <c r="AB165" s="414"/>
      <c r="AC165" s="414"/>
    </row>
    <row r="166" spans="1:29" x14ac:dyDescent="0.25">
      <c r="A166" s="370">
        <v>5665</v>
      </c>
      <c r="B166" s="354" t="s">
        <v>97</v>
      </c>
      <c r="C166" s="34">
        <v>299379.01</v>
      </c>
      <c r="D166" s="34">
        <v>46496.74</v>
      </c>
      <c r="E166" s="380"/>
      <c r="F166" s="355"/>
      <c r="G166" s="425">
        <f>VLOOKUP(A166,'[1]Tableau (2)'!$A:$E,3,FALSE)</f>
        <v>1367.87</v>
      </c>
      <c r="H166" s="425">
        <f>VLOOKUP(A166,'[1]Tableau (2)'!$A:$E,4,FALSE)</f>
        <v>8.6999999999999993</v>
      </c>
      <c r="I166" s="425">
        <f>VLOOKUP(A166,'[2]Tableau (2)'!$A$4:$D$312,4,FALSE)</f>
        <v>663.05</v>
      </c>
      <c r="J166" s="380"/>
      <c r="K166" s="357">
        <v>1084.27</v>
      </c>
      <c r="L166" s="355">
        <v>4.5</v>
      </c>
      <c r="M166" s="357">
        <v>23890.799999999999</v>
      </c>
      <c r="N166" s="358">
        <f t="shared" si="4"/>
        <v>372894.94</v>
      </c>
      <c r="O166" s="34"/>
      <c r="P166" s="34"/>
      <c r="Q166" s="34">
        <v>3091.35</v>
      </c>
      <c r="R166" s="34"/>
      <c r="S166" s="34"/>
      <c r="T166" s="359">
        <f t="shared" si="5"/>
        <v>375986.29</v>
      </c>
      <c r="U166" s="17">
        <v>73</v>
      </c>
      <c r="V166" s="32">
        <v>220</v>
      </c>
      <c r="W166" s="376">
        <v>-5811.92</v>
      </c>
      <c r="X166" s="34"/>
      <c r="Y166" s="34">
        <v>0</v>
      </c>
      <c r="Z166" s="34">
        <v>1</v>
      </c>
      <c r="AB166" s="414"/>
      <c r="AC166" s="414"/>
    </row>
    <row r="167" spans="1:29" x14ac:dyDescent="0.25">
      <c r="A167" s="370">
        <v>5669</v>
      </c>
      <c r="B167" s="354" t="s">
        <v>98</v>
      </c>
      <c r="C167" s="34">
        <v>509601.14</v>
      </c>
      <c r="D167" s="34">
        <v>116528.49</v>
      </c>
      <c r="E167" s="380"/>
      <c r="F167" s="355"/>
      <c r="G167" s="425">
        <f>VLOOKUP(A167,'[1]Tableau (2)'!$A:$E,3,FALSE)</f>
        <v>127.62</v>
      </c>
      <c r="H167" s="425">
        <f>VLOOKUP(A167,'[1]Tableau (2)'!$A:$E,4,FALSE)</f>
        <v>653.70000000000005</v>
      </c>
      <c r="I167" s="425">
        <f>VLOOKUP(A167,'[2]Tableau (2)'!$A$4:$D$312,4,FALSE)</f>
        <v>1831.95</v>
      </c>
      <c r="J167" s="380"/>
      <c r="K167" s="357">
        <v>11123.14</v>
      </c>
      <c r="L167" s="355">
        <v>356.7</v>
      </c>
      <c r="M167" s="357">
        <v>22423.4</v>
      </c>
      <c r="N167" s="358">
        <f t="shared" si="4"/>
        <v>662646.1399999999</v>
      </c>
      <c r="O167" s="34"/>
      <c r="P167" s="34">
        <v>19284.599999999999</v>
      </c>
      <c r="Q167" s="34">
        <v>15239.4</v>
      </c>
      <c r="R167" s="34"/>
      <c r="S167" s="34">
        <v>31148.2</v>
      </c>
      <c r="T167" s="359">
        <f t="shared" si="5"/>
        <v>728318.33999999985</v>
      </c>
      <c r="U167" s="17">
        <v>75</v>
      </c>
      <c r="V167" s="32">
        <v>318</v>
      </c>
      <c r="W167" s="376">
        <v>-7769.79</v>
      </c>
      <c r="X167" s="34"/>
      <c r="Y167" s="34">
        <v>-102.05</v>
      </c>
      <c r="Z167" s="34">
        <v>0.5</v>
      </c>
      <c r="AB167" s="414"/>
      <c r="AC167" s="414"/>
    </row>
    <row r="168" spans="1:29" x14ac:dyDescent="0.25">
      <c r="A168" s="370">
        <v>5671</v>
      </c>
      <c r="B168" s="354" t="s">
        <v>99</v>
      </c>
      <c r="C168" s="34">
        <v>398716.5</v>
      </c>
      <c r="D168" s="34">
        <v>55357.68</v>
      </c>
      <c r="E168" s="380"/>
      <c r="F168" s="355">
        <v>1685.8</v>
      </c>
      <c r="G168" s="425">
        <f>VLOOKUP(A168,'[1]Tableau (2)'!$A:$E,3,FALSE)</f>
        <v>5123.1499999999996</v>
      </c>
      <c r="H168" s="425">
        <f>VLOOKUP(A168,'[1]Tableau (2)'!$A:$E,4,FALSE)</f>
        <v>94.4</v>
      </c>
      <c r="I168" s="425">
        <f>VLOOKUP(A168,'[2]Tableau (2)'!$A$4:$D$312,4,FALSE)</f>
        <v>2753.5</v>
      </c>
      <c r="J168" s="380"/>
      <c r="K168" s="357">
        <v>6972.68</v>
      </c>
      <c r="L168" s="355">
        <v>223.5</v>
      </c>
      <c r="M168" s="357">
        <v>32638.400000000001</v>
      </c>
      <c r="N168" s="358">
        <f t="shared" si="4"/>
        <v>503565.61000000004</v>
      </c>
      <c r="O168" s="34"/>
      <c r="P168" s="34"/>
      <c r="Q168" s="34">
        <v>55</v>
      </c>
      <c r="R168" s="34">
        <v>3246.14</v>
      </c>
      <c r="S168" s="34"/>
      <c r="T168" s="359">
        <f t="shared" si="5"/>
        <v>506866.75000000006</v>
      </c>
      <c r="U168" s="17">
        <v>80</v>
      </c>
      <c r="V168" s="32">
        <v>259</v>
      </c>
      <c r="W168" s="376">
        <v>-117.47</v>
      </c>
      <c r="X168" s="34"/>
      <c r="Y168" s="34">
        <v>0</v>
      </c>
      <c r="Z168" s="34">
        <v>1</v>
      </c>
      <c r="AB168" s="414"/>
      <c r="AC168" s="414"/>
    </row>
    <row r="169" spans="1:29" x14ac:dyDescent="0.25">
      <c r="A169" s="370">
        <v>5673</v>
      </c>
      <c r="B169" s="354" t="s">
        <v>100</v>
      </c>
      <c r="C169" s="34">
        <v>561628.67000000004</v>
      </c>
      <c r="D169" s="34">
        <v>65416.35</v>
      </c>
      <c r="E169" s="380"/>
      <c r="F169" s="355">
        <v>1890</v>
      </c>
      <c r="G169" s="425">
        <f>VLOOKUP(A169,'[1]Tableau (2)'!$A:$E,3,FALSE)</f>
        <v>-1075.3</v>
      </c>
      <c r="H169" s="425">
        <f>VLOOKUP(A169,'[1]Tableau (2)'!$A:$E,4,FALSE)</f>
        <v>463.6</v>
      </c>
      <c r="I169" s="425">
        <f>VLOOKUP(A169,'[2]Tableau (2)'!$A$4:$D$312,4,FALSE)</f>
        <v>277.2</v>
      </c>
      <c r="J169" s="380"/>
      <c r="K169" s="357">
        <v>2208.61</v>
      </c>
      <c r="L169" s="355">
        <v>7.5</v>
      </c>
      <c r="M169" s="357">
        <v>26459.75</v>
      </c>
      <c r="N169" s="358">
        <f t="shared" si="4"/>
        <v>657276.37999999989</v>
      </c>
      <c r="O169" s="34">
        <v>17820.650000000001</v>
      </c>
      <c r="P169" s="34"/>
      <c r="Q169" s="34"/>
      <c r="R169" s="34">
        <v>5429.99</v>
      </c>
      <c r="S169" s="34"/>
      <c r="T169" s="359">
        <f t="shared" si="5"/>
        <v>680527.0199999999</v>
      </c>
      <c r="U169" s="17">
        <v>75</v>
      </c>
      <c r="V169" s="32">
        <v>379</v>
      </c>
      <c r="W169" s="376">
        <v>-11882.98</v>
      </c>
      <c r="X169" s="34"/>
      <c r="Y169" s="34">
        <v>-14.04</v>
      </c>
      <c r="Z169" s="34">
        <v>0.6</v>
      </c>
      <c r="AB169" s="414"/>
      <c r="AC169" s="414"/>
    </row>
    <row r="170" spans="1:29" x14ac:dyDescent="0.25">
      <c r="A170" s="370">
        <v>5674</v>
      </c>
      <c r="B170" s="354" t="s">
        <v>101</v>
      </c>
      <c r="C170" s="34">
        <v>252822.56</v>
      </c>
      <c r="D170" s="34"/>
      <c r="E170" s="380"/>
      <c r="F170" s="355"/>
      <c r="G170" s="425">
        <f>VLOOKUP(A170,'[1]Tableau (2)'!$A:$E,3,FALSE)</f>
        <v>225.64</v>
      </c>
      <c r="H170" s="425">
        <f>VLOOKUP(A170,'[1]Tableau (2)'!$A:$E,4,FALSE)</f>
        <v>121.3</v>
      </c>
      <c r="I170" s="425">
        <f>VLOOKUP(A170,'[2]Tableau (2)'!$A$4:$D$312,4,FALSE)</f>
        <v>174.8</v>
      </c>
      <c r="J170" s="380"/>
      <c r="K170" s="357">
        <v>3163.94</v>
      </c>
      <c r="L170" s="355"/>
      <c r="M170" s="357">
        <v>13731.2</v>
      </c>
      <c r="N170" s="358">
        <f t="shared" si="4"/>
        <v>270239.44</v>
      </c>
      <c r="O170" s="34"/>
      <c r="P170" s="34"/>
      <c r="Q170" s="34">
        <v>4985.75</v>
      </c>
      <c r="R170" s="34"/>
      <c r="S170" s="34"/>
      <c r="T170" s="359">
        <f t="shared" si="5"/>
        <v>275225.19</v>
      </c>
      <c r="U170" s="17">
        <v>75</v>
      </c>
      <c r="V170" s="32">
        <v>141</v>
      </c>
      <c r="W170" s="376">
        <v>-5006.3</v>
      </c>
      <c r="X170" s="34"/>
      <c r="Y170" s="34">
        <v>0</v>
      </c>
      <c r="Z170" s="34">
        <v>0.7</v>
      </c>
      <c r="AB170" s="414"/>
      <c r="AC170" s="414"/>
    </row>
    <row r="171" spans="1:29" x14ac:dyDescent="0.25">
      <c r="A171" s="370">
        <v>5675</v>
      </c>
      <c r="B171" s="354" t="s">
        <v>102</v>
      </c>
      <c r="C171" s="34">
        <v>4106388.28</v>
      </c>
      <c r="D171" s="34">
        <v>424440.79</v>
      </c>
      <c r="E171" s="380"/>
      <c r="F171" s="355"/>
      <c r="G171" s="425">
        <f>VLOOKUP(A171,'[1]Tableau (2)'!$A:$E,3,FALSE)</f>
        <v>195949.21000000002</v>
      </c>
      <c r="H171" s="425">
        <f>VLOOKUP(A171,'[1]Tableau (2)'!$A:$E,4,FALSE)</f>
        <v>26995</v>
      </c>
      <c r="I171" s="425">
        <f>VLOOKUP(A171,'[2]Tableau (2)'!$A$4:$D$312,4,FALSE)</f>
        <v>87253.25</v>
      </c>
      <c r="J171" s="380"/>
      <c r="K171" s="355">
        <v>251555.6</v>
      </c>
      <c r="L171" s="355">
        <v>39202.300000000003</v>
      </c>
      <c r="M171" s="355">
        <v>632200.4</v>
      </c>
      <c r="N171" s="358">
        <f t="shared" si="4"/>
        <v>5763984.8299999991</v>
      </c>
      <c r="O171" s="34">
        <v>31940.15</v>
      </c>
      <c r="P171" s="34">
        <v>89020.7</v>
      </c>
      <c r="Q171" s="34">
        <v>433755.55</v>
      </c>
      <c r="R171" s="34">
        <v>60217</v>
      </c>
      <c r="S171" s="34">
        <v>103487.3</v>
      </c>
      <c r="T171" s="359">
        <f t="shared" si="5"/>
        <v>6482405.5299999993</v>
      </c>
      <c r="U171" s="17">
        <v>66</v>
      </c>
      <c r="V171" s="32">
        <v>4157</v>
      </c>
      <c r="W171" s="376">
        <v>-203470.33</v>
      </c>
      <c r="X171" s="34"/>
      <c r="Y171" s="34">
        <v>-446.12</v>
      </c>
      <c r="Z171" s="34">
        <v>1.1000000000000001</v>
      </c>
      <c r="AB171" s="414"/>
      <c r="AC171" s="414"/>
    </row>
    <row r="172" spans="1:29" x14ac:dyDescent="0.25">
      <c r="A172" s="370">
        <v>5678</v>
      </c>
      <c r="B172" s="354" t="s">
        <v>103</v>
      </c>
      <c r="C172" s="34">
        <v>6454219.9500000002</v>
      </c>
      <c r="D172" s="34">
        <v>697305.59999999998</v>
      </c>
      <c r="E172" s="380"/>
      <c r="F172" s="355">
        <v>32093.62</v>
      </c>
      <c r="G172" s="425">
        <f>VLOOKUP(A172,'[1]Tableau (2)'!$A:$E,3,FALSE)</f>
        <v>377884.48</v>
      </c>
      <c r="H172" s="425">
        <f>VLOOKUP(A172,'[1]Tableau (2)'!$A:$E,4,FALSE)</f>
        <v>25788.75</v>
      </c>
      <c r="I172" s="425">
        <f>VLOOKUP(A172,'[2]Tableau (2)'!$A$4:$D$312,4,FALSE)</f>
        <v>132007.54999999999</v>
      </c>
      <c r="J172" s="380"/>
      <c r="K172" s="357">
        <v>504233.7</v>
      </c>
      <c r="L172" s="355">
        <v>32719.95</v>
      </c>
      <c r="M172" s="357">
        <v>747835.25</v>
      </c>
      <c r="N172" s="358">
        <f t="shared" si="4"/>
        <v>9004088.8500000015</v>
      </c>
      <c r="O172" s="34">
        <v>155146.65</v>
      </c>
      <c r="P172" s="34">
        <v>197619.3</v>
      </c>
      <c r="Q172" s="34">
        <v>509690.55</v>
      </c>
      <c r="R172" s="34">
        <v>34105.11</v>
      </c>
      <c r="S172" s="34">
        <v>621837.30000000005</v>
      </c>
      <c r="T172" s="359">
        <f t="shared" si="5"/>
        <v>10522487.760000004</v>
      </c>
      <c r="U172" s="17">
        <v>75</v>
      </c>
      <c r="V172" s="32">
        <v>6185</v>
      </c>
      <c r="W172" s="376">
        <v>-352806.21</v>
      </c>
      <c r="X172" s="34"/>
      <c r="Y172" s="34">
        <v>-207.4</v>
      </c>
      <c r="Z172" s="34">
        <v>1</v>
      </c>
      <c r="AB172" s="414"/>
      <c r="AC172" s="414"/>
    </row>
    <row r="173" spans="1:29" x14ac:dyDescent="0.25">
      <c r="A173" s="370">
        <v>5680</v>
      </c>
      <c r="B173" s="354" t="s">
        <v>104</v>
      </c>
      <c r="C173" s="34">
        <v>461865.31</v>
      </c>
      <c r="D173" s="34">
        <v>61758.93</v>
      </c>
      <c r="E173" s="380"/>
      <c r="F173" s="355"/>
      <c r="G173" s="425">
        <f>VLOOKUP(A173,'[1]Tableau (2)'!$A:$E,3,FALSE)</f>
        <v>3189.16</v>
      </c>
      <c r="H173" s="425">
        <f>VLOOKUP(A173,'[1]Tableau (2)'!$A:$E,4,FALSE)</f>
        <v>187.3</v>
      </c>
      <c r="I173" s="425">
        <f>VLOOKUP(A173,'[2]Tableau (2)'!$A$4:$D$312,4,FALSE)</f>
        <v>898.35</v>
      </c>
      <c r="J173" s="380"/>
      <c r="K173" s="357">
        <v>6964.23</v>
      </c>
      <c r="L173" s="355">
        <v>55</v>
      </c>
      <c r="M173" s="357">
        <v>64071.8</v>
      </c>
      <c r="N173" s="358">
        <f t="shared" si="4"/>
        <v>598990.08000000007</v>
      </c>
      <c r="O173" s="34"/>
      <c r="P173" s="34">
        <v>1697.3</v>
      </c>
      <c r="Q173" s="34">
        <v>11623.35</v>
      </c>
      <c r="R173" s="34"/>
      <c r="S173" s="34">
        <v>22755.1</v>
      </c>
      <c r="T173" s="359">
        <f t="shared" si="5"/>
        <v>635065.83000000007</v>
      </c>
      <c r="U173" s="17">
        <v>78</v>
      </c>
      <c r="V173" s="32">
        <v>304</v>
      </c>
      <c r="W173" s="376">
        <v>-82.23</v>
      </c>
      <c r="X173" s="34"/>
      <c r="Y173" s="34">
        <v>0</v>
      </c>
      <c r="Z173" s="34">
        <v>1.5</v>
      </c>
      <c r="AB173" s="414"/>
      <c r="AC173" s="414"/>
    </row>
    <row r="174" spans="1:29" x14ac:dyDescent="0.25">
      <c r="A174" s="370">
        <v>5683</v>
      </c>
      <c r="B174" s="354" t="s">
        <v>105</v>
      </c>
      <c r="C174" s="34">
        <v>244971.97</v>
      </c>
      <c r="D174" s="34">
        <v>25254.83</v>
      </c>
      <c r="E174" s="380"/>
      <c r="F174" s="355"/>
      <c r="G174" s="425">
        <f>VLOOKUP(A174,'[1]Tableau (2)'!$A:$E,3,FALSE)</f>
        <v>3407.24</v>
      </c>
      <c r="H174" s="425">
        <f>VLOOKUP(A174,'[1]Tableau (2)'!$A:$E,4,FALSE)</f>
        <v>21.8</v>
      </c>
      <c r="I174" s="425">
        <f>VLOOKUP(A174,'[2]Tableau (2)'!$A$4:$D$312,4,FALSE)</f>
        <v>2609.5</v>
      </c>
      <c r="J174" s="380"/>
      <c r="K174" s="357">
        <v>5189.08</v>
      </c>
      <c r="L174" s="355">
        <v>65</v>
      </c>
      <c r="M174" s="360">
        <v>22586</v>
      </c>
      <c r="N174" s="358">
        <f t="shared" si="4"/>
        <v>304105.42</v>
      </c>
      <c r="O174" s="34"/>
      <c r="P174" s="34">
        <v>6298.6</v>
      </c>
      <c r="Q174" s="34">
        <v>18607.400000000001</v>
      </c>
      <c r="R174" s="34"/>
      <c r="S174" s="34"/>
      <c r="T174" s="359">
        <f t="shared" si="5"/>
        <v>329011.42</v>
      </c>
      <c r="U174" s="17">
        <v>74</v>
      </c>
      <c r="V174" s="32">
        <v>160</v>
      </c>
      <c r="W174" s="376">
        <v>-17268.87</v>
      </c>
      <c r="X174" s="34"/>
      <c r="Y174" s="34">
        <v>0</v>
      </c>
      <c r="Z174" s="34">
        <v>1</v>
      </c>
      <c r="AB174" s="414"/>
      <c r="AC174" s="414"/>
    </row>
    <row r="175" spans="1:29" x14ac:dyDescent="0.25">
      <c r="A175" s="370">
        <v>5684</v>
      </c>
      <c r="B175" s="354" t="s">
        <v>106</v>
      </c>
      <c r="C175" s="34">
        <v>130473.29</v>
      </c>
      <c r="D175" s="34">
        <v>37052.26</v>
      </c>
      <c r="E175" s="380"/>
      <c r="F175" s="355"/>
      <c r="G175" s="425">
        <f>VLOOKUP(A175,'[1]Tableau (2)'!$A:$E,3,FALSE)</f>
        <v>108.7</v>
      </c>
      <c r="H175" s="425">
        <f>VLOOKUP(A175,'[1]Tableau (2)'!$A:$E,4,FALSE)</f>
        <v>7.2</v>
      </c>
      <c r="I175" s="425">
        <f>VLOOKUP(A175,'[2]Tableau (2)'!$A$4:$D$312,4,FALSE)</f>
        <v>57.55</v>
      </c>
      <c r="J175" s="380"/>
      <c r="K175" s="357"/>
      <c r="L175" s="355"/>
      <c r="M175" s="357">
        <v>6724</v>
      </c>
      <c r="N175" s="358">
        <f t="shared" si="4"/>
        <v>174423</v>
      </c>
      <c r="O175" s="34"/>
      <c r="P175" s="34"/>
      <c r="Q175" s="34"/>
      <c r="R175" s="34"/>
      <c r="S175" s="34"/>
      <c r="T175" s="359">
        <f t="shared" si="5"/>
        <v>174423</v>
      </c>
      <c r="U175" s="17">
        <v>60</v>
      </c>
      <c r="V175" s="32">
        <v>63</v>
      </c>
      <c r="W175" s="376">
        <v>-11.26</v>
      </c>
      <c r="X175" s="34"/>
      <c r="Y175" s="34">
        <v>-6.05</v>
      </c>
      <c r="Z175" s="34">
        <v>0.8</v>
      </c>
      <c r="AB175" s="414"/>
      <c r="AC175" s="414"/>
    </row>
    <row r="176" spans="1:29" x14ac:dyDescent="0.25">
      <c r="A176" s="370">
        <v>5688</v>
      </c>
      <c r="B176" s="354" t="s">
        <v>107</v>
      </c>
      <c r="C176" s="34">
        <v>369336.27</v>
      </c>
      <c r="D176" s="34">
        <v>40821.9</v>
      </c>
      <c r="E176" s="380"/>
      <c r="F176" s="355"/>
      <c r="G176" s="425">
        <f>VLOOKUP(A176,'[1]Tableau (2)'!$A:$E,3,FALSE)</f>
        <v>16571.87</v>
      </c>
      <c r="H176" s="425">
        <f>VLOOKUP(A176,'[1]Tableau (2)'!$A:$E,4,FALSE)</f>
        <v>253.3</v>
      </c>
      <c r="I176" s="425">
        <f>VLOOKUP(A176,'[2]Tableau (2)'!$A$4:$D$312,4,FALSE)</f>
        <v>3959.6</v>
      </c>
      <c r="J176" s="380"/>
      <c r="K176" s="357">
        <v>5953.31</v>
      </c>
      <c r="L176" s="355">
        <v>-788</v>
      </c>
      <c r="M176" s="357">
        <v>23517.9</v>
      </c>
      <c r="N176" s="358">
        <f t="shared" si="4"/>
        <v>459626.15</v>
      </c>
      <c r="O176" s="34"/>
      <c r="P176" s="34"/>
      <c r="Q176" s="34">
        <v>21021.8</v>
      </c>
      <c r="R176" s="34"/>
      <c r="S176" s="34">
        <v>9861</v>
      </c>
      <c r="T176" s="359">
        <f t="shared" si="5"/>
        <v>490508.95</v>
      </c>
      <c r="U176" s="17">
        <v>75.599999999999994</v>
      </c>
      <c r="V176" s="32">
        <v>150</v>
      </c>
      <c r="W176" s="376">
        <v>-1.67</v>
      </c>
      <c r="X176" s="34"/>
      <c r="Y176" s="34">
        <v>0</v>
      </c>
      <c r="Z176" s="34">
        <v>1</v>
      </c>
      <c r="AB176" s="414"/>
      <c r="AC176" s="414"/>
    </row>
    <row r="177" spans="1:29" x14ac:dyDescent="0.25">
      <c r="A177" s="370">
        <v>5690</v>
      </c>
      <c r="B177" s="354" t="s">
        <v>108</v>
      </c>
      <c r="C177" s="34">
        <v>188994.88</v>
      </c>
      <c r="D177" s="34">
        <v>39873.46</v>
      </c>
      <c r="E177" s="380"/>
      <c r="F177" s="355">
        <v>900</v>
      </c>
      <c r="G177" s="425">
        <f>VLOOKUP(A177,'[1]Tableau (2)'!$A:$E,3,FALSE)</f>
        <v>322.38</v>
      </c>
      <c r="H177" s="425">
        <f>VLOOKUP(A177,'[1]Tableau (2)'!$A:$E,4,FALSE)</f>
        <v>807.7</v>
      </c>
      <c r="I177" s="425">
        <f>VLOOKUP(A177,'[2]Tableau (2)'!$A$4:$D$312,4,FALSE)</f>
        <v>186.65</v>
      </c>
      <c r="J177" s="380"/>
      <c r="K177" s="357">
        <v>60.29</v>
      </c>
      <c r="L177" s="355">
        <v>184.1</v>
      </c>
      <c r="M177" s="357">
        <v>23648.75</v>
      </c>
      <c r="N177" s="358">
        <f t="shared" si="4"/>
        <v>254978.21000000002</v>
      </c>
      <c r="O177" s="34"/>
      <c r="P177" s="34">
        <v>288.89999999999998</v>
      </c>
      <c r="Q177" s="34">
        <v>8698</v>
      </c>
      <c r="R177" s="34">
        <v>483.44</v>
      </c>
      <c r="S177" s="34">
        <v>14684.7</v>
      </c>
      <c r="T177" s="359">
        <f t="shared" si="5"/>
        <v>279133.25</v>
      </c>
      <c r="U177" s="17">
        <v>70</v>
      </c>
      <c r="V177" s="32">
        <v>142</v>
      </c>
      <c r="W177" s="376">
        <v>-535.49</v>
      </c>
      <c r="X177" s="34"/>
      <c r="Y177" s="34">
        <v>0</v>
      </c>
      <c r="Z177" s="34">
        <v>1.2</v>
      </c>
      <c r="AB177" s="414"/>
      <c r="AC177" s="414"/>
    </row>
    <row r="178" spans="1:29" x14ac:dyDescent="0.25">
      <c r="A178" s="370">
        <v>5692</v>
      </c>
      <c r="B178" s="354" t="s">
        <v>109</v>
      </c>
      <c r="C178" s="34">
        <v>1177161.8899999999</v>
      </c>
      <c r="D178" s="34">
        <v>96646.12</v>
      </c>
      <c r="E178" s="380"/>
      <c r="F178" s="355"/>
      <c r="G178" s="425">
        <f>VLOOKUP(A178,'[1]Tableau (2)'!$A:$E,3,FALSE)</f>
        <v>6841.51</v>
      </c>
      <c r="H178" s="425">
        <f>VLOOKUP(A178,'[1]Tableau (2)'!$A:$E,4,FALSE)</f>
        <v>251.7</v>
      </c>
      <c r="I178" s="425">
        <f>VLOOKUP(A178,'[2]Tableau (2)'!$A$4:$D$312,4,FALSE)</f>
        <v>2028.1</v>
      </c>
      <c r="J178" s="380"/>
      <c r="K178" s="357">
        <v>21327.52</v>
      </c>
      <c r="L178" s="355">
        <v>427.65</v>
      </c>
      <c r="M178" s="357">
        <v>85867</v>
      </c>
      <c r="N178" s="358">
        <f t="shared" si="4"/>
        <v>1390551.4899999998</v>
      </c>
      <c r="O178" s="34">
        <v>2838.25</v>
      </c>
      <c r="P178" s="34">
        <v>13919.4</v>
      </c>
      <c r="Q178" s="34">
        <v>39343.699999999997</v>
      </c>
      <c r="R178" s="34">
        <v>11704.82</v>
      </c>
      <c r="S178" s="34">
        <v>32543.55</v>
      </c>
      <c r="T178" s="359">
        <f t="shared" si="5"/>
        <v>1490901.2099999997</v>
      </c>
      <c r="U178" s="17">
        <v>79</v>
      </c>
      <c r="V178" s="32">
        <v>583</v>
      </c>
      <c r="W178" s="376">
        <v>-38256.26</v>
      </c>
      <c r="X178" s="34"/>
      <c r="Y178" s="34">
        <v>-305.61</v>
      </c>
      <c r="Z178" s="34">
        <v>1</v>
      </c>
      <c r="AB178" s="414"/>
      <c r="AC178" s="414"/>
    </row>
    <row r="179" spans="1:29" x14ac:dyDescent="0.25">
      <c r="A179" s="370">
        <v>5693</v>
      </c>
      <c r="B179" s="354" t="s">
        <v>443</v>
      </c>
      <c r="C179" s="34">
        <v>4125927.41</v>
      </c>
      <c r="D179" s="34">
        <v>482075.23</v>
      </c>
      <c r="E179" s="380"/>
      <c r="F179" s="355"/>
      <c r="G179" s="425">
        <f>VLOOKUP(A179,'[1]Tableau (2)'!$A:$E,3,FALSE)</f>
        <v>74292.460000000006</v>
      </c>
      <c r="H179" s="425">
        <f>VLOOKUP(A179,'[1]Tableau (2)'!$A:$E,4,FALSE)</f>
        <v>3927.1000000000004</v>
      </c>
      <c r="I179" s="425">
        <f>VLOOKUP(A179,'[2]Tableau (2)'!$A$4:$D$312,4,FALSE)</f>
        <v>24935.75</v>
      </c>
      <c r="J179" s="380"/>
      <c r="K179" s="357">
        <v>54016.31</v>
      </c>
      <c r="L179" s="355">
        <v>4542.8</v>
      </c>
      <c r="M179" s="357">
        <v>339121.4</v>
      </c>
      <c r="N179" s="358">
        <f t="shared" si="4"/>
        <v>5108838.46</v>
      </c>
      <c r="O179" s="34">
        <v>57935.15</v>
      </c>
      <c r="P179" s="34">
        <v>8265.7000000000007</v>
      </c>
      <c r="Q179" s="34">
        <v>228598.39999999999</v>
      </c>
      <c r="R179" s="34">
        <v>16548.990000000002</v>
      </c>
      <c r="S179" s="34">
        <v>185304.3</v>
      </c>
      <c r="T179" s="359">
        <f t="shared" si="5"/>
        <v>5605491.0000000009</v>
      </c>
      <c r="U179" s="17">
        <v>72</v>
      </c>
      <c r="V179" s="32">
        <v>2606</v>
      </c>
      <c r="W179" s="376">
        <v>-73552.210000000006</v>
      </c>
      <c r="X179" s="34"/>
      <c r="Y179" s="34">
        <v>-48.91</v>
      </c>
      <c r="Z179" s="34">
        <v>1</v>
      </c>
      <c r="AB179" s="414"/>
      <c r="AC179" s="414"/>
    </row>
    <row r="180" spans="1:29" x14ac:dyDescent="0.25">
      <c r="A180" s="370">
        <v>5701</v>
      </c>
      <c r="B180" s="354" t="s">
        <v>110</v>
      </c>
      <c r="C180" s="34">
        <v>683644.42</v>
      </c>
      <c r="D180" s="34">
        <v>106335.96</v>
      </c>
      <c r="E180" s="380"/>
      <c r="F180" s="355"/>
      <c r="G180" s="425">
        <f>VLOOKUP(A180,'[1]Tableau (2)'!$A:$E,3,FALSE)</f>
        <v>14170.96</v>
      </c>
      <c r="H180" s="425">
        <f>VLOOKUP(A180,'[1]Tableau (2)'!$A:$E,4,FALSE)</f>
        <v>59.4</v>
      </c>
      <c r="I180" s="425">
        <f>VLOOKUP(A180,'[2]Tableau (2)'!$A$4:$D$312,4,FALSE)</f>
        <v>1941.5</v>
      </c>
      <c r="J180" s="380">
        <v>162607.29999999999</v>
      </c>
      <c r="K180" s="357">
        <v>-19691.87</v>
      </c>
      <c r="L180" s="355">
        <v>315</v>
      </c>
      <c r="M180" s="357">
        <v>62275.4</v>
      </c>
      <c r="N180" s="358">
        <f t="shared" si="4"/>
        <v>1011658.0700000001</v>
      </c>
      <c r="O180" s="34"/>
      <c r="P180" s="34"/>
      <c r="Q180" s="34">
        <v>7582.65</v>
      </c>
      <c r="R180" s="34">
        <v>5062.01</v>
      </c>
      <c r="S180" s="34">
        <v>24782</v>
      </c>
      <c r="T180" s="359">
        <f t="shared" si="5"/>
        <v>1049084.73</v>
      </c>
      <c r="U180" s="17">
        <v>70</v>
      </c>
      <c r="V180" s="32">
        <v>224</v>
      </c>
      <c r="W180" s="376">
        <v>-2579.6</v>
      </c>
      <c r="X180" s="34"/>
      <c r="Y180" s="34">
        <v>-126.35</v>
      </c>
      <c r="Z180" s="34">
        <v>1</v>
      </c>
      <c r="AB180" s="414"/>
      <c r="AC180" s="414"/>
    </row>
    <row r="181" spans="1:29" x14ac:dyDescent="0.25">
      <c r="A181" s="370">
        <v>5702</v>
      </c>
      <c r="B181" s="354" t="s">
        <v>442</v>
      </c>
      <c r="C181" s="34">
        <v>7455572.4199999999</v>
      </c>
      <c r="D181" s="34">
        <v>1276344.8899999999</v>
      </c>
      <c r="E181" s="380"/>
      <c r="F181" s="355"/>
      <c r="G181" s="425">
        <f>VLOOKUP(A181,'[1]Tableau (2)'!$A:$E,3,FALSE)</f>
        <v>55254.92</v>
      </c>
      <c r="H181" s="425">
        <f>VLOOKUP(A181,'[1]Tableau (2)'!$A:$E,4,FALSE)</f>
        <v>16183.25</v>
      </c>
      <c r="I181" s="425">
        <f>VLOOKUP(A181,'[2]Tableau (2)'!$A$4:$D$312,4,FALSE)</f>
        <v>20339.900000000001</v>
      </c>
      <c r="J181" s="380">
        <v>343031.4</v>
      </c>
      <c r="K181" s="357">
        <v>210282.67</v>
      </c>
      <c r="L181" s="355">
        <v>15823.5</v>
      </c>
      <c r="M181" s="357">
        <v>1063228.3500000001</v>
      </c>
      <c r="N181" s="358">
        <f t="shared" si="4"/>
        <v>10456061.300000001</v>
      </c>
      <c r="O181" s="34">
        <v>59677.1</v>
      </c>
      <c r="P181" s="34">
        <v>17699.900000000001</v>
      </c>
      <c r="Q181" s="34">
        <v>739142.5</v>
      </c>
      <c r="R181" s="34">
        <v>12040.32</v>
      </c>
      <c r="S181" s="34">
        <v>379058.65</v>
      </c>
      <c r="T181" s="359">
        <f t="shared" si="5"/>
        <v>11663679.770000001</v>
      </c>
      <c r="U181" s="17">
        <v>64</v>
      </c>
      <c r="V181" s="32">
        <v>2653</v>
      </c>
      <c r="W181" s="376">
        <v>-153813.23000000001</v>
      </c>
      <c r="X181" s="34"/>
      <c r="Y181" s="34">
        <v>-4384.04</v>
      </c>
      <c r="Z181" s="34">
        <v>1.5</v>
      </c>
      <c r="AB181" s="414"/>
      <c r="AC181" s="414"/>
    </row>
    <row r="182" spans="1:29" x14ac:dyDescent="0.25">
      <c r="A182" s="370">
        <v>5703</v>
      </c>
      <c r="B182" s="354" t="s">
        <v>111</v>
      </c>
      <c r="C182" s="34">
        <v>3476212.4</v>
      </c>
      <c r="D182" s="34">
        <v>359846.48</v>
      </c>
      <c r="E182" s="380"/>
      <c r="F182" s="355"/>
      <c r="G182" s="425">
        <f>VLOOKUP(A182,'[1]Tableau (2)'!$A:$E,3,FALSE)</f>
        <v>5965.7</v>
      </c>
      <c r="H182" s="425">
        <f>VLOOKUP(A182,'[1]Tableau (2)'!$A:$E,4,FALSE)</f>
        <v>847.5</v>
      </c>
      <c r="I182" s="425">
        <f>VLOOKUP(A182,'[2]Tableau (2)'!$A$4:$D$312,4,FALSE)</f>
        <v>6156.8</v>
      </c>
      <c r="J182" s="380">
        <v>31009.9</v>
      </c>
      <c r="K182" s="357">
        <v>69004.45</v>
      </c>
      <c r="L182" s="355">
        <v>725.55</v>
      </c>
      <c r="M182" s="357">
        <v>406079.35</v>
      </c>
      <c r="N182" s="358">
        <f t="shared" si="4"/>
        <v>4355848.13</v>
      </c>
      <c r="O182" s="34">
        <v>30853.25</v>
      </c>
      <c r="P182" s="34">
        <v>83558.899999999994</v>
      </c>
      <c r="Q182" s="34">
        <v>208730.7</v>
      </c>
      <c r="R182" s="34">
        <v>9434.24</v>
      </c>
      <c r="S182" s="34">
        <v>115535.85</v>
      </c>
      <c r="T182" s="359">
        <f t="shared" si="5"/>
        <v>4803961.07</v>
      </c>
      <c r="U182" s="17">
        <v>74</v>
      </c>
      <c r="V182" s="32">
        <v>1356</v>
      </c>
      <c r="W182" s="376">
        <v>-59283.93</v>
      </c>
      <c r="X182" s="34"/>
      <c r="Y182" s="34">
        <v>-111.72</v>
      </c>
      <c r="Z182" s="34">
        <v>1.4</v>
      </c>
      <c r="AB182" s="414"/>
      <c r="AC182" s="414"/>
    </row>
    <row r="183" spans="1:29" x14ac:dyDescent="0.25">
      <c r="A183" s="370">
        <v>5704</v>
      </c>
      <c r="B183" s="354" t="s">
        <v>221</v>
      </c>
      <c r="C183" s="34">
        <v>5684641.9400000004</v>
      </c>
      <c r="D183" s="34">
        <v>1862191.77</v>
      </c>
      <c r="E183" s="380"/>
      <c r="F183" s="355"/>
      <c r="G183" s="425">
        <f>VLOOKUP(A183,'[1]Tableau (2)'!$A:$E,3,FALSE)</f>
        <v>78619.89</v>
      </c>
      <c r="H183" s="425">
        <f>VLOOKUP(A183,'[1]Tableau (2)'!$A:$E,4,FALSE)</f>
        <v>7186.35</v>
      </c>
      <c r="I183" s="425">
        <f>VLOOKUP(A183,'[2]Tableau (2)'!$A$4:$D$312,4,FALSE)</f>
        <v>18947.400000000001</v>
      </c>
      <c r="J183" s="380">
        <v>347197.4</v>
      </c>
      <c r="K183" s="357">
        <v>144270.57999999999</v>
      </c>
      <c r="L183" s="355">
        <v>11027.1</v>
      </c>
      <c r="M183" s="357">
        <v>681011.4</v>
      </c>
      <c r="N183" s="358">
        <f t="shared" si="4"/>
        <v>8835093.8300000001</v>
      </c>
      <c r="O183" s="34">
        <v>52344.800000000003</v>
      </c>
      <c r="P183" s="34">
        <v>48913.599999999999</v>
      </c>
      <c r="Q183" s="34">
        <v>574413.19999999995</v>
      </c>
      <c r="R183" s="34">
        <v>5370.89</v>
      </c>
      <c r="S183" s="34">
        <v>256668</v>
      </c>
      <c r="T183" s="359">
        <f t="shared" si="5"/>
        <v>9772804.3200000003</v>
      </c>
      <c r="U183" s="17">
        <v>67</v>
      </c>
      <c r="V183" s="32">
        <v>1910</v>
      </c>
      <c r="W183" s="376">
        <v>-65401.7</v>
      </c>
      <c r="X183" s="34"/>
      <c r="Y183" s="34">
        <v>-26880.61</v>
      </c>
      <c r="Z183" s="34">
        <v>1.5</v>
      </c>
      <c r="AB183" s="414"/>
      <c r="AC183" s="414"/>
    </row>
    <row r="184" spans="1:29" x14ac:dyDescent="0.25">
      <c r="A184" s="370">
        <v>5705</v>
      </c>
      <c r="B184" s="354" t="s">
        <v>222</v>
      </c>
      <c r="C184" s="34">
        <v>3151141.83</v>
      </c>
      <c r="D184" s="34">
        <v>442014.47</v>
      </c>
      <c r="E184" s="380"/>
      <c r="F184" s="355"/>
      <c r="G184" s="425">
        <f>VLOOKUP(A184,'[1]Tableau (2)'!$A:$E,3,FALSE)</f>
        <v>7787.54</v>
      </c>
      <c r="H184" s="425">
        <f>VLOOKUP(A184,'[1]Tableau (2)'!$A:$E,4,FALSE)</f>
        <v>1530.05</v>
      </c>
      <c r="I184" s="425">
        <f>VLOOKUP(A184,'[2]Tableau (2)'!$A$4:$D$312,4,FALSE)</f>
        <v>4610.2</v>
      </c>
      <c r="J184" s="380">
        <v>24013.45</v>
      </c>
      <c r="K184" s="357">
        <v>-9048.5499999999993</v>
      </c>
      <c r="L184" s="355">
        <v>9030.75</v>
      </c>
      <c r="M184" s="357">
        <v>208583.65</v>
      </c>
      <c r="N184" s="358">
        <f t="shared" si="4"/>
        <v>3839663.39</v>
      </c>
      <c r="O184" s="34">
        <v>31710.05</v>
      </c>
      <c r="P184" s="34"/>
      <c r="Q184" s="34">
        <v>128713.35</v>
      </c>
      <c r="R184" s="34">
        <v>249.18</v>
      </c>
      <c r="S184" s="34">
        <v>55009.45</v>
      </c>
      <c r="T184" s="359">
        <f t="shared" si="5"/>
        <v>4055345.4200000004</v>
      </c>
      <c r="U184" s="17">
        <v>70</v>
      </c>
      <c r="V184" s="32">
        <v>893</v>
      </c>
      <c r="W184" s="376">
        <v>9810.83</v>
      </c>
      <c r="X184" s="34"/>
      <c r="Y184" s="34">
        <v>-2106.69</v>
      </c>
      <c r="Z184" s="34">
        <v>1</v>
      </c>
      <c r="AB184" s="414"/>
      <c r="AC184" s="414"/>
    </row>
    <row r="185" spans="1:29" x14ac:dyDescent="0.25">
      <c r="A185" s="370">
        <v>5706</v>
      </c>
      <c r="B185" s="354" t="s">
        <v>223</v>
      </c>
      <c r="C185" s="34">
        <v>3176419.17</v>
      </c>
      <c r="D185" s="34">
        <v>599116.14</v>
      </c>
      <c r="E185" s="380"/>
      <c r="F185" s="355"/>
      <c r="G185" s="425">
        <f>VLOOKUP(A185,'[1]Tableau (2)'!$A:$E,3,FALSE)</f>
        <v>2011.94</v>
      </c>
      <c r="H185" s="425">
        <f>VLOOKUP(A185,'[1]Tableau (2)'!$A:$E,4,FALSE)</f>
        <v>723.1</v>
      </c>
      <c r="I185" s="425">
        <f>VLOOKUP(A185,'[2]Tableau (2)'!$A$4:$D$312,4,FALSE)</f>
        <v>3139.65</v>
      </c>
      <c r="J185" s="380">
        <v>-7735.75</v>
      </c>
      <c r="K185" s="357">
        <v>149570.38</v>
      </c>
      <c r="L185" s="355">
        <v>2095</v>
      </c>
      <c r="M185" s="357">
        <v>371393.8</v>
      </c>
      <c r="N185" s="358">
        <f t="shared" si="4"/>
        <v>4296733.43</v>
      </c>
      <c r="O185" s="34">
        <v>7454.75</v>
      </c>
      <c r="P185" s="34"/>
      <c r="Q185" s="34">
        <v>175420.95</v>
      </c>
      <c r="R185" s="34">
        <v>2183.56</v>
      </c>
      <c r="S185" s="34">
        <v>180488.55</v>
      </c>
      <c r="T185" s="359">
        <f t="shared" si="5"/>
        <v>4662281.2399999993</v>
      </c>
      <c r="U185" s="17">
        <v>58</v>
      </c>
      <c r="V185" s="32">
        <v>1126</v>
      </c>
      <c r="W185" s="376">
        <v>-4371</v>
      </c>
      <c r="X185" s="34"/>
      <c r="Y185" s="34">
        <v>-3038.36</v>
      </c>
      <c r="Z185" s="34">
        <v>1.5</v>
      </c>
      <c r="AB185" s="414"/>
      <c r="AC185" s="414"/>
    </row>
    <row r="186" spans="1:29" x14ac:dyDescent="0.25">
      <c r="A186" s="370">
        <v>5707</v>
      </c>
      <c r="B186" s="354" t="s">
        <v>224</v>
      </c>
      <c r="C186" s="34">
        <v>3462842.69</v>
      </c>
      <c r="D186" s="34">
        <v>642000.09</v>
      </c>
      <c r="E186" s="380"/>
      <c r="F186" s="355"/>
      <c r="G186" s="425">
        <f>VLOOKUP(A186,'[1]Tableau (2)'!$A:$E,3,FALSE)</f>
        <v>117332.78</v>
      </c>
      <c r="H186" s="425">
        <f>VLOOKUP(A186,'[1]Tableau (2)'!$A:$E,4,FALSE)</f>
        <v>20680.5</v>
      </c>
      <c r="I186" s="425">
        <f>VLOOKUP(A186,'[2]Tableau (2)'!$A$4:$D$312,4,FALSE)</f>
        <v>73707.5</v>
      </c>
      <c r="J186" s="380">
        <v>65487.75</v>
      </c>
      <c r="K186" s="357">
        <v>80914.27</v>
      </c>
      <c r="L186" s="355">
        <v>53277.9</v>
      </c>
      <c r="M186" s="357">
        <v>684765.25</v>
      </c>
      <c r="N186" s="358">
        <f t="shared" si="4"/>
        <v>5201008.7299999995</v>
      </c>
      <c r="O186" s="34">
        <v>502784.35</v>
      </c>
      <c r="P186" s="34"/>
      <c r="Q186" s="34">
        <v>153278.79999999999</v>
      </c>
      <c r="R186" s="34">
        <v>239.11</v>
      </c>
      <c r="S186" s="34">
        <v>152294.35</v>
      </c>
      <c r="T186" s="359">
        <f t="shared" si="5"/>
        <v>6009605.3399999989</v>
      </c>
      <c r="U186" s="17">
        <v>59</v>
      </c>
      <c r="V186" s="32">
        <v>1290</v>
      </c>
      <c r="W186" s="376">
        <v>-11406.83</v>
      </c>
      <c r="X186" s="34"/>
      <c r="Y186" s="34">
        <v>-412.19</v>
      </c>
      <c r="Z186" s="34">
        <v>1.5</v>
      </c>
      <c r="AB186" s="414"/>
      <c r="AC186" s="414"/>
    </row>
    <row r="187" spans="1:29" x14ac:dyDescent="0.25">
      <c r="A187" s="370">
        <v>5708</v>
      </c>
      <c r="B187" s="354" t="s">
        <v>225</v>
      </c>
      <c r="C187" s="34">
        <v>2695479.37</v>
      </c>
      <c r="D187" s="34">
        <v>348858.61</v>
      </c>
      <c r="E187" s="380"/>
      <c r="F187" s="355"/>
      <c r="G187" s="425">
        <f>VLOOKUP(A187,'[1]Tableau (2)'!$A:$E,3,FALSE)</f>
        <v>-5138.12</v>
      </c>
      <c r="H187" s="425">
        <f>VLOOKUP(A187,'[1]Tableau (2)'!$A:$E,4,FALSE)</f>
        <v>11490.7</v>
      </c>
      <c r="I187" s="425">
        <f>VLOOKUP(A187,'[2]Tableau (2)'!$A$4:$D$312,4,FALSE)</f>
        <v>2235.3000000000002</v>
      </c>
      <c r="J187" s="380">
        <v>41192.199999999997</v>
      </c>
      <c r="K187" s="357">
        <v>45859.03</v>
      </c>
      <c r="L187" s="355">
        <v>14784.15</v>
      </c>
      <c r="M187" s="357">
        <v>375489.75</v>
      </c>
      <c r="N187" s="358">
        <f t="shared" si="4"/>
        <v>3530250.9899999998</v>
      </c>
      <c r="O187" s="34">
        <v>945.8</v>
      </c>
      <c r="P187" s="34"/>
      <c r="Q187" s="34">
        <v>144980.04999999999</v>
      </c>
      <c r="R187" s="34"/>
      <c r="S187" s="34">
        <v>-49615.6</v>
      </c>
      <c r="T187" s="359">
        <f t="shared" si="5"/>
        <v>3626561.2399999993</v>
      </c>
      <c r="U187" s="17">
        <v>59</v>
      </c>
      <c r="V187" s="32">
        <v>942</v>
      </c>
      <c r="W187" s="376">
        <v>-9021.5400000000009</v>
      </c>
      <c r="X187" s="34"/>
      <c r="Y187" s="34">
        <v>-295.5</v>
      </c>
      <c r="Z187" s="34">
        <v>1.5</v>
      </c>
      <c r="AB187" s="414"/>
      <c r="AC187" s="414"/>
    </row>
    <row r="188" spans="1:29" x14ac:dyDescent="0.25">
      <c r="A188" s="370">
        <v>5709</v>
      </c>
      <c r="B188" s="354" t="s">
        <v>226</v>
      </c>
      <c r="C188" s="34">
        <v>3340131.49</v>
      </c>
      <c r="D188" s="34">
        <v>11814.7299999999</v>
      </c>
      <c r="E188" s="380"/>
      <c r="F188" s="355"/>
      <c r="G188" s="425">
        <f>VLOOKUP(A188,'[1]Tableau (2)'!$A:$E,3,FALSE)</f>
        <v>-78089.490000000005</v>
      </c>
      <c r="H188" s="425">
        <f>VLOOKUP(A188,'[1]Tableau (2)'!$A:$E,4,FALSE)</f>
        <v>12293.25</v>
      </c>
      <c r="I188" s="425">
        <f>VLOOKUP(A188,'[2]Tableau (2)'!$A$4:$D$312,4,FALSE)</f>
        <v>160195.65</v>
      </c>
      <c r="J188" s="380">
        <v>504917</v>
      </c>
      <c r="K188" s="357">
        <v>93140.81</v>
      </c>
      <c r="L188" s="355">
        <v>3043.2</v>
      </c>
      <c r="M188" s="357">
        <v>325013.3</v>
      </c>
      <c r="N188" s="358">
        <f t="shared" si="4"/>
        <v>4372459.9400000004</v>
      </c>
      <c r="O188" s="34">
        <v>31415.15</v>
      </c>
      <c r="P188" s="34">
        <v>1543109.9</v>
      </c>
      <c r="Q188" s="34">
        <v>101516.6</v>
      </c>
      <c r="R188" s="34">
        <v>12474.04</v>
      </c>
      <c r="S188" s="34">
        <v>18655.900000000001</v>
      </c>
      <c r="T188" s="359">
        <f t="shared" si="5"/>
        <v>6079631.5300000003</v>
      </c>
      <c r="U188" s="17">
        <v>57</v>
      </c>
      <c r="V188" s="32">
        <v>1219</v>
      </c>
      <c r="W188" s="376">
        <v>-15005.14</v>
      </c>
      <c r="X188" s="34"/>
      <c r="Y188" s="34">
        <v>-2178.7399999999998</v>
      </c>
      <c r="Z188" s="34">
        <v>1</v>
      </c>
      <c r="AB188" s="414"/>
      <c r="AC188" s="414"/>
    </row>
    <row r="189" spans="1:29" x14ac:dyDescent="0.25">
      <c r="A189" s="370">
        <v>5710</v>
      </c>
      <c r="B189" s="354" t="s">
        <v>227</v>
      </c>
      <c r="C189" s="34">
        <v>1464071.33</v>
      </c>
      <c r="D189" s="34">
        <v>210657.42</v>
      </c>
      <c r="E189" s="380"/>
      <c r="F189" s="355"/>
      <c r="G189" s="425">
        <f>VLOOKUP(A189,'[1]Tableau (2)'!$A:$E,3,FALSE)</f>
        <v>1457651.58</v>
      </c>
      <c r="H189" s="425">
        <f>VLOOKUP(A189,'[1]Tableau (2)'!$A:$E,4,FALSE)</f>
        <v>1267619.5</v>
      </c>
      <c r="I189" s="425">
        <f>VLOOKUP(A189,'[2]Tableau (2)'!$A$4:$D$312,4,FALSE)</f>
        <v>324747.95</v>
      </c>
      <c r="J189" s="380">
        <v>67980.399999999994</v>
      </c>
      <c r="K189" s="357">
        <v>-148199.64000000001</v>
      </c>
      <c r="L189" s="355">
        <v>884.65</v>
      </c>
      <c r="M189" s="357">
        <v>124534.1</v>
      </c>
      <c r="N189" s="358">
        <f t="shared" si="4"/>
        <v>4769947.290000001</v>
      </c>
      <c r="O189" s="34">
        <v>68325.600000000006</v>
      </c>
      <c r="P189" s="34"/>
      <c r="Q189" s="34">
        <v>94473.5</v>
      </c>
      <c r="R189" s="34">
        <v>-2000.25</v>
      </c>
      <c r="S189" s="34">
        <v>38670.65</v>
      </c>
      <c r="T189" s="359">
        <f t="shared" si="5"/>
        <v>4969416.790000001</v>
      </c>
      <c r="U189" s="17">
        <v>51</v>
      </c>
      <c r="V189" s="32">
        <v>484</v>
      </c>
      <c r="W189" s="376">
        <v>-6733.17</v>
      </c>
      <c r="X189" s="34"/>
      <c r="Y189" s="34">
        <v>-5194.26</v>
      </c>
      <c r="Z189" s="34">
        <v>1</v>
      </c>
      <c r="AB189" s="414"/>
      <c r="AC189" s="414"/>
    </row>
    <row r="190" spans="1:29" x14ac:dyDescent="0.25">
      <c r="A190" s="370">
        <v>5711</v>
      </c>
      <c r="B190" s="354" t="s">
        <v>228</v>
      </c>
      <c r="C190" s="34">
        <v>11143966.619999999</v>
      </c>
      <c r="D190" s="34">
        <v>1935833.09</v>
      </c>
      <c r="E190" s="380"/>
      <c r="F190" s="355"/>
      <c r="G190" s="425">
        <f>VLOOKUP(A190,'[1]Tableau (2)'!$A:$E,3,FALSE)</f>
        <v>36644.31</v>
      </c>
      <c r="H190" s="425">
        <f>VLOOKUP(A190,'[1]Tableau (2)'!$A:$E,4,FALSE)</f>
        <v>10248.15</v>
      </c>
      <c r="I190" s="425">
        <f>VLOOKUP(A190,'[2]Tableau (2)'!$A$4:$D$312,4,FALSE)</f>
        <v>13805.7</v>
      </c>
      <c r="J190" s="380">
        <v>268640.59999999998</v>
      </c>
      <c r="K190" s="357">
        <v>225781.68</v>
      </c>
      <c r="L190" s="355">
        <v>13899.65</v>
      </c>
      <c r="M190" s="357">
        <v>1074201.25</v>
      </c>
      <c r="N190" s="358">
        <f t="shared" si="4"/>
        <v>14723021.049999999</v>
      </c>
      <c r="O190" s="34">
        <v>39037</v>
      </c>
      <c r="P190" s="34">
        <v>2511.4499999999998</v>
      </c>
      <c r="Q190" s="34">
        <v>533602</v>
      </c>
      <c r="R190" s="34">
        <v>3510.53</v>
      </c>
      <c r="S190" s="34">
        <v>523976.85</v>
      </c>
      <c r="T190" s="359">
        <f t="shared" si="5"/>
        <v>15825658.879999997</v>
      </c>
      <c r="U190" s="17">
        <v>57</v>
      </c>
      <c r="V190" s="32">
        <v>2858</v>
      </c>
      <c r="W190" s="376">
        <v>-26805.72</v>
      </c>
      <c r="X190" s="34"/>
      <c r="Y190" s="34">
        <v>-46502.91</v>
      </c>
      <c r="Z190" s="34">
        <v>1.3</v>
      </c>
      <c r="AB190" s="414"/>
      <c r="AC190" s="414"/>
    </row>
    <row r="191" spans="1:29" x14ac:dyDescent="0.25">
      <c r="A191" s="370">
        <v>5712</v>
      </c>
      <c r="B191" s="354" t="s">
        <v>229</v>
      </c>
      <c r="C191" s="34">
        <v>11100441.58</v>
      </c>
      <c r="D191" s="34">
        <v>3157317.36</v>
      </c>
      <c r="E191" s="380"/>
      <c r="F191" s="355"/>
      <c r="G191" s="425">
        <f>VLOOKUP(A191,'[1]Tableau (2)'!$A:$E,3,FALSE)</f>
        <v>68061.66</v>
      </c>
      <c r="H191" s="425">
        <f>VLOOKUP(A191,'[1]Tableau (2)'!$A:$E,4,FALSE)</f>
        <v>42837.3</v>
      </c>
      <c r="I191" s="425">
        <f>VLOOKUP(A191,'[2]Tableau (2)'!$A$4:$D$312,4,FALSE)</f>
        <v>24563.95</v>
      </c>
      <c r="J191" s="380">
        <v>1358856.25</v>
      </c>
      <c r="K191" s="357">
        <v>483021.53</v>
      </c>
      <c r="L191" s="355">
        <v>21010.25</v>
      </c>
      <c r="M191" s="357">
        <v>1542222.05</v>
      </c>
      <c r="N191" s="358">
        <f t="shared" si="4"/>
        <v>17798331.93</v>
      </c>
      <c r="O191" s="34">
        <v>155045.04999999999</v>
      </c>
      <c r="P191" s="34">
        <v>536217.35</v>
      </c>
      <c r="Q191" s="34">
        <v>1028000.05</v>
      </c>
      <c r="R191" s="34">
        <v>12552.36</v>
      </c>
      <c r="S191" s="34">
        <v>595884.80000000005</v>
      </c>
      <c r="T191" s="359">
        <f t="shared" si="5"/>
        <v>20126031.540000003</v>
      </c>
      <c r="U191" s="17">
        <v>53</v>
      </c>
      <c r="V191" s="32">
        <v>3123</v>
      </c>
      <c r="W191" s="376">
        <v>-61123.09</v>
      </c>
      <c r="X191" s="34"/>
      <c r="Y191" s="34">
        <v>-7578.95</v>
      </c>
      <c r="Z191" s="34">
        <v>1.5</v>
      </c>
      <c r="AB191" s="414"/>
      <c r="AC191" s="414"/>
    </row>
    <row r="192" spans="1:29" x14ac:dyDescent="0.25">
      <c r="A192" s="370">
        <v>5713</v>
      </c>
      <c r="B192" s="354" t="s">
        <v>230</v>
      </c>
      <c r="C192" s="34">
        <v>7302689.4199999999</v>
      </c>
      <c r="D192" s="34">
        <v>3989213.83</v>
      </c>
      <c r="E192" s="380"/>
      <c r="F192" s="355"/>
      <c r="G192" s="425">
        <f>VLOOKUP(A192,'[1]Tableau (2)'!$A:$E,3,FALSE)</f>
        <v>24887.919999999998</v>
      </c>
      <c r="H192" s="425">
        <f>VLOOKUP(A192,'[1]Tableau (2)'!$A:$E,4,FALSE)</f>
        <v>9659.3499999999985</v>
      </c>
      <c r="I192" s="425">
        <f>VLOOKUP(A192,'[2]Tableau (2)'!$A$4:$D$312,4,FALSE)</f>
        <v>11032.5</v>
      </c>
      <c r="J192" s="380">
        <v>648030.66</v>
      </c>
      <c r="K192" s="357">
        <v>4347.24</v>
      </c>
      <c r="L192" s="355">
        <v>9069</v>
      </c>
      <c r="M192" s="357">
        <v>756395.15</v>
      </c>
      <c r="N192" s="358">
        <f t="shared" si="4"/>
        <v>12755325.07</v>
      </c>
      <c r="O192" s="34">
        <v>26286.5</v>
      </c>
      <c r="P192" s="34">
        <v>1624.2</v>
      </c>
      <c r="Q192" s="34">
        <v>471274.55</v>
      </c>
      <c r="R192" s="34">
        <v>1354.9</v>
      </c>
      <c r="S192" s="34">
        <v>505588.75</v>
      </c>
      <c r="T192" s="359">
        <f t="shared" si="5"/>
        <v>13761453.970000001</v>
      </c>
      <c r="U192" s="17">
        <v>53</v>
      </c>
      <c r="V192" s="32">
        <v>2177</v>
      </c>
      <c r="W192" s="376">
        <v>-42736.82</v>
      </c>
      <c r="X192" s="34"/>
      <c r="Y192" s="34">
        <v>-47874.84</v>
      </c>
      <c r="Z192" s="34">
        <v>1</v>
      </c>
      <c r="AB192" s="414"/>
      <c r="AC192" s="414"/>
    </row>
    <row r="193" spans="1:29" x14ac:dyDescent="0.25">
      <c r="A193" s="370">
        <v>5714</v>
      </c>
      <c r="B193" s="354" t="s">
        <v>231</v>
      </c>
      <c r="C193" s="34">
        <v>4053057.67</v>
      </c>
      <c r="D193" s="34">
        <v>613214.57999999996</v>
      </c>
      <c r="E193" s="380"/>
      <c r="F193" s="355"/>
      <c r="G193" s="425">
        <f>VLOOKUP(A193,'[1]Tableau (2)'!$A:$E,3,FALSE)</f>
        <v>73131.41</v>
      </c>
      <c r="H193" s="425">
        <f>VLOOKUP(A193,'[1]Tableau (2)'!$A:$E,4,FALSE)</f>
        <v>928.8</v>
      </c>
      <c r="I193" s="425">
        <f>VLOOKUP(A193,'[2]Tableau (2)'!$A$4:$D$312,4,FALSE)</f>
        <v>27178.6</v>
      </c>
      <c r="J193" s="380">
        <v>109269.99</v>
      </c>
      <c r="K193" s="357">
        <v>62704.79</v>
      </c>
      <c r="L193" s="355">
        <v>5548</v>
      </c>
      <c r="M193" s="357">
        <v>267844.3</v>
      </c>
      <c r="N193" s="358">
        <f t="shared" si="4"/>
        <v>5212878.1399999997</v>
      </c>
      <c r="O193" s="34">
        <v>73600.649999999994</v>
      </c>
      <c r="P193" s="34">
        <v>287460.84999999998</v>
      </c>
      <c r="Q193" s="34">
        <v>97715.6</v>
      </c>
      <c r="R193" s="34">
        <v>4417.63</v>
      </c>
      <c r="S193" s="34">
        <v>59593.45</v>
      </c>
      <c r="T193" s="359">
        <f t="shared" si="5"/>
        <v>5735666.3199999994</v>
      </c>
      <c r="U193" s="17">
        <v>64</v>
      </c>
      <c r="V193" s="32">
        <v>1161</v>
      </c>
      <c r="W193" s="376">
        <v>-7513.31</v>
      </c>
      <c r="X193" s="34"/>
      <c r="Y193" s="34">
        <v>-1506.98</v>
      </c>
      <c r="Z193" s="34">
        <v>1</v>
      </c>
      <c r="AB193" s="414"/>
      <c r="AC193" s="414"/>
    </row>
    <row r="194" spans="1:29" x14ac:dyDescent="0.25">
      <c r="A194" s="370">
        <v>5715</v>
      </c>
      <c r="B194" s="354" t="s">
        <v>232</v>
      </c>
      <c r="C194" s="34">
        <v>3119437.25</v>
      </c>
      <c r="D194" s="34">
        <v>434159.06</v>
      </c>
      <c r="E194" s="380"/>
      <c r="F194" s="355"/>
      <c r="G194" s="425">
        <f>VLOOKUP(A194,'[1]Tableau (2)'!$A:$E,3,FALSE)</f>
        <v>18566.849999999999</v>
      </c>
      <c r="H194" s="425">
        <f>VLOOKUP(A194,'[1]Tableau (2)'!$A:$E,4,FALSE)</f>
        <v>5575.7999999999975</v>
      </c>
      <c r="I194" s="425">
        <f>VLOOKUP(A194,'[2]Tableau (2)'!$A$4:$D$312,4,FALSE)</f>
        <v>8800.75</v>
      </c>
      <c r="J194" s="380">
        <v>32824.75</v>
      </c>
      <c r="K194" s="357">
        <v>81903.16</v>
      </c>
      <c r="L194" s="355">
        <v>4225</v>
      </c>
      <c r="M194" s="357">
        <v>251456.85</v>
      </c>
      <c r="N194" s="358">
        <f t="shared" si="4"/>
        <v>3956949.47</v>
      </c>
      <c r="O194" s="34">
        <v>38202.800000000003</v>
      </c>
      <c r="P194" s="34"/>
      <c r="Q194" s="34">
        <v>81294.399999999994</v>
      </c>
      <c r="R194" s="34">
        <v>539.71</v>
      </c>
      <c r="S194" s="34">
        <v>43048.9</v>
      </c>
      <c r="T194" s="359">
        <f t="shared" si="5"/>
        <v>4120035.28</v>
      </c>
      <c r="U194" s="17">
        <v>66</v>
      </c>
      <c r="V194" s="32">
        <v>1078</v>
      </c>
      <c r="W194" s="376">
        <v>-45487.27</v>
      </c>
      <c r="X194" s="34"/>
      <c r="Y194" s="34">
        <v>-3425.79</v>
      </c>
      <c r="Z194" s="34">
        <v>1</v>
      </c>
      <c r="AB194" s="414"/>
      <c r="AC194" s="414"/>
    </row>
    <row r="195" spans="1:29" x14ac:dyDescent="0.25">
      <c r="A195" s="370">
        <v>5716</v>
      </c>
      <c r="B195" s="354" t="s">
        <v>233</v>
      </c>
      <c r="C195" s="34">
        <v>3788512.36</v>
      </c>
      <c r="D195" s="34">
        <v>461377.7</v>
      </c>
      <c r="E195" s="380"/>
      <c r="F195" s="355"/>
      <c r="G195" s="425">
        <f>VLOOKUP(A195,'[1]Tableau (2)'!$A:$E,3,FALSE)</f>
        <v>2009235.4</v>
      </c>
      <c r="H195" s="425">
        <f>VLOOKUP(A195,'[1]Tableau (2)'!$A:$E,4,FALSE)</f>
        <v>318369.0499999997</v>
      </c>
      <c r="I195" s="425">
        <f>VLOOKUP(A195,'[2]Tableau (2)'!$A$4:$D$312,4,FALSE)</f>
        <v>314323.5</v>
      </c>
      <c r="J195" s="380">
        <v>24162</v>
      </c>
      <c r="K195" s="357">
        <v>75068.539999999994</v>
      </c>
      <c r="L195" s="355">
        <v>10978.5</v>
      </c>
      <c r="M195" s="357">
        <v>597356.30000000005</v>
      </c>
      <c r="N195" s="358">
        <f t="shared" si="4"/>
        <v>7599383.3499999987</v>
      </c>
      <c r="O195" s="34">
        <v>704793.75</v>
      </c>
      <c r="P195" s="34">
        <v>159.19999999999999</v>
      </c>
      <c r="Q195" s="34">
        <v>332567.15000000002</v>
      </c>
      <c r="R195" s="34">
        <v>2319.41</v>
      </c>
      <c r="S195" s="34">
        <v>207672.3</v>
      </c>
      <c r="T195" s="359">
        <f t="shared" si="5"/>
        <v>8846895.1600000001</v>
      </c>
      <c r="U195" s="17">
        <v>61</v>
      </c>
      <c r="V195" s="32">
        <v>1603</v>
      </c>
      <c r="W195" s="376">
        <v>-28247.25</v>
      </c>
      <c r="X195" s="34"/>
      <c r="Y195" s="34">
        <v>-188.49</v>
      </c>
      <c r="Z195" s="34">
        <v>1</v>
      </c>
      <c r="AB195" s="414"/>
      <c r="AC195" s="414"/>
    </row>
    <row r="196" spans="1:29" x14ac:dyDescent="0.25">
      <c r="A196" s="370">
        <v>5717</v>
      </c>
      <c r="B196" s="354" t="s">
        <v>234</v>
      </c>
      <c r="C196" s="34">
        <v>13186332.99</v>
      </c>
      <c r="D196" s="34">
        <v>3428456.48</v>
      </c>
      <c r="E196" s="380"/>
      <c r="F196" s="355"/>
      <c r="G196" s="425">
        <f>VLOOKUP(A196,'[1]Tableau (2)'!$A:$E,3,FALSE)</f>
        <v>70509.240000000005</v>
      </c>
      <c r="H196" s="425">
        <f>VLOOKUP(A196,'[1]Tableau (2)'!$A:$E,4,FALSE)</f>
        <v>14169.850000000008</v>
      </c>
      <c r="I196" s="425">
        <f>VLOOKUP(A196,'[2]Tableau (2)'!$A$4:$D$312,4,FALSE)</f>
        <v>28346.9</v>
      </c>
      <c r="J196" s="380">
        <v>802873.74</v>
      </c>
      <c r="K196" s="357">
        <v>629280.14</v>
      </c>
      <c r="L196" s="355">
        <v>44021.5</v>
      </c>
      <c r="M196" s="357">
        <v>1204093.55</v>
      </c>
      <c r="N196" s="358">
        <f t="shared" si="4"/>
        <v>19408084.390000001</v>
      </c>
      <c r="O196" s="34">
        <v>248363.8</v>
      </c>
      <c r="P196" s="34">
        <v>464933.3</v>
      </c>
      <c r="Q196" s="34">
        <v>762892.15</v>
      </c>
      <c r="R196" s="34">
        <v>62352.84</v>
      </c>
      <c r="S196" s="34">
        <v>882542.25</v>
      </c>
      <c r="T196" s="359">
        <f t="shared" si="5"/>
        <v>21829168.73</v>
      </c>
      <c r="U196" s="17">
        <v>57</v>
      </c>
      <c r="V196" s="32">
        <v>3788</v>
      </c>
      <c r="W196" s="376">
        <v>-117758.51</v>
      </c>
      <c r="X196" s="34">
        <v>-1185.75</v>
      </c>
      <c r="Y196" s="34">
        <v>-8952.4699999999993</v>
      </c>
      <c r="Z196" s="34">
        <v>1</v>
      </c>
      <c r="AB196" s="414"/>
      <c r="AC196" s="414"/>
    </row>
    <row r="197" spans="1:29" x14ac:dyDescent="0.25">
      <c r="A197" s="370">
        <v>5718</v>
      </c>
      <c r="B197" s="354" t="s">
        <v>235</v>
      </c>
      <c r="C197" s="34">
        <v>7385452.3499999996</v>
      </c>
      <c r="D197" s="34">
        <v>1199322.29</v>
      </c>
      <c r="E197" s="380"/>
      <c r="F197" s="355"/>
      <c r="G197" s="425">
        <f>VLOOKUP(A197,'[1]Tableau (2)'!$A:$E,3,FALSE)</f>
        <v>234698.09</v>
      </c>
      <c r="H197" s="425">
        <f>VLOOKUP(A197,'[1]Tableau (2)'!$A:$E,4,FALSE)</f>
        <v>70716.100000000006</v>
      </c>
      <c r="I197" s="425">
        <f>VLOOKUP(A197,'[2]Tableau (2)'!$A$4:$D$312,4,FALSE)</f>
        <v>67521.149999999994</v>
      </c>
      <c r="J197" s="380">
        <v>107936.74</v>
      </c>
      <c r="K197" s="357">
        <v>64834.33</v>
      </c>
      <c r="L197" s="355">
        <v>25177.3</v>
      </c>
      <c r="M197" s="357">
        <v>587735.80000000005</v>
      </c>
      <c r="N197" s="358">
        <f t="shared" si="4"/>
        <v>9743394.1500000022</v>
      </c>
      <c r="O197" s="34">
        <v>303990.40000000002</v>
      </c>
      <c r="P197" s="34">
        <v>463.5</v>
      </c>
      <c r="Q197" s="34">
        <v>456794.3</v>
      </c>
      <c r="R197" s="34">
        <v>630.24</v>
      </c>
      <c r="S197" s="34">
        <v>381370.7</v>
      </c>
      <c r="T197" s="359">
        <f t="shared" si="5"/>
        <v>10886643.290000003</v>
      </c>
      <c r="U197" s="17">
        <v>55</v>
      </c>
      <c r="V197" s="32">
        <v>1945</v>
      </c>
      <c r="W197" s="376">
        <v>-22801.49</v>
      </c>
      <c r="X197" s="34"/>
      <c r="Y197" s="34">
        <v>-4238.03</v>
      </c>
      <c r="Z197" s="34">
        <v>1</v>
      </c>
      <c r="AB197" s="414"/>
      <c r="AC197" s="414"/>
    </row>
    <row r="198" spans="1:29" x14ac:dyDescent="0.25">
      <c r="A198" s="370">
        <v>5719</v>
      </c>
      <c r="B198" s="354" t="s">
        <v>236</v>
      </c>
      <c r="C198" s="34">
        <v>4342985.18</v>
      </c>
      <c r="D198" s="34">
        <v>2259861.1</v>
      </c>
      <c r="E198" s="380"/>
      <c r="F198" s="355"/>
      <c r="G198" s="425">
        <f>VLOOKUP(A198,'[1]Tableau (2)'!$A:$E,3,FALSE)</f>
        <v>40428.980000000003</v>
      </c>
      <c r="H198" s="425">
        <f>VLOOKUP(A198,'[1]Tableau (2)'!$A:$E,4,FALSE)</f>
        <v>1389.4999999999998</v>
      </c>
      <c r="I198" s="425">
        <f>VLOOKUP(A198,'[2]Tableau (2)'!$A$4:$D$312,4,FALSE)</f>
        <v>10961.5</v>
      </c>
      <c r="J198" s="380">
        <v>371761.22</v>
      </c>
      <c r="K198" s="357">
        <v>71022.289999999994</v>
      </c>
      <c r="L198" s="355">
        <v>3649.35</v>
      </c>
      <c r="M198" s="357">
        <v>217745.05</v>
      </c>
      <c r="N198" s="358">
        <f t="shared" si="4"/>
        <v>7319804.169999999</v>
      </c>
      <c r="O198" s="34">
        <v>83648.25</v>
      </c>
      <c r="P198" s="34">
        <v>76027.199999999997</v>
      </c>
      <c r="Q198" s="34">
        <v>247370</v>
      </c>
      <c r="R198" s="34">
        <v>2452.5500000000002</v>
      </c>
      <c r="S198" s="34">
        <v>397289.9</v>
      </c>
      <c r="T198" s="359">
        <f t="shared" si="5"/>
        <v>8126592.0699999994</v>
      </c>
      <c r="U198" s="17">
        <v>57</v>
      </c>
      <c r="V198" s="32">
        <v>1212</v>
      </c>
      <c r="W198" s="376">
        <v>-8515.81</v>
      </c>
      <c r="X198" s="34"/>
      <c r="Y198" s="34">
        <v>-1858.15</v>
      </c>
      <c r="Z198" s="34">
        <v>0.6</v>
      </c>
      <c r="AB198" s="414"/>
      <c r="AC198" s="414"/>
    </row>
    <row r="199" spans="1:29" x14ac:dyDescent="0.25">
      <c r="A199" s="370">
        <v>5720</v>
      </c>
      <c r="B199" s="354" t="s">
        <v>237</v>
      </c>
      <c r="C199" s="34">
        <v>3234298.15</v>
      </c>
      <c r="D199" s="34">
        <v>568553.72</v>
      </c>
      <c r="E199" s="380"/>
      <c r="F199" s="355"/>
      <c r="G199" s="425">
        <f>VLOOKUP(A199,'[1]Tableau (2)'!$A:$E,3,FALSE)</f>
        <v>15990.94</v>
      </c>
      <c r="H199" s="425">
        <f>VLOOKUP(A199,'[1]Tableau (2)'!$A:$E,4,FALSE)</f>
        <v>6365.65</v>
      </c>
      <c r="I199" s="425">
        <f>VLOOKUP(A199,'[2]Tableau (2)'!$A$4:$D$312,4,FALSE)</f>
        <v>18131.5</v>
      </c>
      <c r="J199" s="380">
        <v>315860.08</v>
      </c>
      <c r="K199" s="357">
        <v>7532.78</v>
      </c>
      <c r="L199" s="355"/>
      <c r="M199" s="357">
        <v>254943.2</v>
      </c>
      <c r="N199" s="358">
        <f t="shared" ref="N199:N262" si="6">SUM(C199:M199)</f>
        <v>4421676.0199999996</v>
      </c>
      <c r="O199" s="34">
        <v>8532.35</v>
      </c>
      <c r="P199" s="34"/>
      <c r="Q199" s="34">
        <v>100346.2</v>
      </c>
      <c r="R199" s="34">
        <v>-177.75</v>
      </c>
      <c r="S199" s="34">
        <v>50776.35</v>
      </c>
      <c r="T199" s="359">
        <f t="shared" ref="T199:T262" si="7">SUM(N199:S199)</f>
        <v>4581153.169999999</v>
      </c>
      <c r="U199" s="17">
        <v>61</v>
      </c>
      <c r="V199" s="32">
        <v>995</v>
      </c>
      <c r="W199" s="376">
        <v>-16091.93</v>
      </c>
      <c r="X199" s="34"/>
      <c r="Y199" s="34">
        <v>-2511.79</v>
      </c>
      <c r="Z199" s="34">
        <v>0.9</v>
      </c>
      <c r="AB199" s="414"/>
      <c r="AC199" s="414"/>
    </row>
    <row r="200" spans="1:29" x14ac:dyDescent="0.25">
      <c r="A200" s="370">
        <v>5721</v>
      </c>
      <c r="B200" s="354" t="s">
        <v>238</v>
      </c>
      <c r="C200" s="34">
        <v>23877657.219999999</v>
      </c>
      <c r="D200" s="34">
        <v>6695907.0199999996</v>
      </c>
      <c r="E200" s="380"/>
      <c r="F200" s="355"/>
      <c r="G200" s="425">
        <f>VLOOKUP(A200,'[1]Tableau (2)'!$A:$E,3,FALSE)</f>
        <v>1049245.96</v>
      </c>
      <c r="H200" s="425">
        <f>VLOOKUP(A200,'[1]Tableau (2)'!$A:$E,4,FALSE)</f>
        <v>533031.20000000054</v>
      </c>
      <c r="I200" s="425">
        <f>VLOOKUP(A200,'[2]Tableau (2)'!$A$4:$D$312,4,FALSE)</f>
        <v>442762.45</v>
      </c>
      <c r="J200" s="380">
        <v>1039882.68</v>
      </c>
      <c r="K200" s="357">
        <v>1169763.92</v>
      </c>
      <c r="L200" s="355">
        <v>348268.25</v>
      </c>
      <c r="M200" s="357">
        <v>2606785</v>
      </c>
      <c r="N200" s="358">
        <f t="shared" si="6"/>
        <v>37763303.700000003</v>
      </c>
      <c r="O200" s="34">
        <v>1569790.75</v>
      </c>
      <c r="P200" s="34">
        <v>2612812.9</v>
      </c>
      <c r="Q200" s="34">
        <v>2093957.65</v>
      </c>
      <c r="R200" s="34">
        <v>125418.89</v>
      </c>
      <c r="S200" s="34">
        <v>2165122.5499999998</v>
      </c>
      <c r="T200" s="359">
        <f t="shared" si="7"/>
        <v>46330406.439999998</v>
      </c>
      <c r="U200" s="17">
        <v>62.5</v>
      </c>
      <c r="V200" s="32">
        <v>13081</v>
      </c>
      <c r="W200" s="376">
        <v>-414955.23</v>
      </c>
      <c r="X200" s="34"/>
      <c r="Y200" s="34">
        <v>-22670.33</v>
      </c>
      <c r="Z200" s="34">
        <v>1</v>
      </c>
      <c r="AB200" s="414"/>
      <c r="AC200" s="414"/>
    </row>
    <row r="201" spans="1:29" x14ac:dyDescent="0.25">
      <c r="A201" s="370">
        <v>5722</v>
      </c>
      <c r="B201" s="354" t="s">
        <v>239</v>
      </c>
      <c r="C201" s="34">
        <v>1283476.8</v>
      </c>
      <c r="D201" s="34">
        <v>162818.82</v>
      </c>
      <c r="E201" s="380"/>
      <c r="F201" s="355"/>
      <c r="G201" s="425">
        <f>VLOOKUP(A201,'[1]Tableau (2)'!$A:$E,3,FALSE)</f>
        <v>6095.36</v>
      </c>
      <c r="H201" s="425">
        <f>VLOOKUP(A201,'[1]Tableau (2)'!$A:$E,4,FALSE)</f>
        <v>6160</v>
      </c>
      <c r="I201" s="425">
        <f>VLOOKUP(A201,'[2]Tableau (2)'!$A$4:$D$312,4,FALSE)</f>
        <v>2848.75</v>
      </c>
      <c r="J201" s="380"/>
      <c r="K201" s="357">
        <v>20122.37</v>
      </c>
      <c r="L201" s="355">
        <v>5659</v>
      </c>
      <c r="M201" s="357">
        <v>81582.100000000006</v>
      </c>
      <c r="N201" s="358">
        <f t="shared" si="6"/>
        <v>1568763.2000000004</v>
      </c>
      <c r="O201" s="34">
        <v>20573.2</v>
      </c>
      <c r="P201" s="34"/>
      <c r="Q201" s="34">
        <v>27830</v>
      </c>
      <c r="R201" s="34"/>
      <c r="S201" s="34">
        <v>10392</v>
      </c>
      <c r="T201" s="359">
        <f t="shared" si="7"/>
        <v>1627558.4000000004</v>
      </c>
      <c r="U201" s="17">
        <v>62</v>
      </c>
      <c r="V201" s="32">
        <v>382</v>
      </c>
      <c r="W201" s="376">
        <v>-991.35</v>
      </c>
      <c r="X201" s="34"/>
      <c r="Y201" s="34">
        <v>-273.72000000000003</v>
      </c>
      <c r="Z201" s="34">
        <v>1</v>
      </c>
      <c r="AB201" s="414"/>
      <c r="AC201" s="414"/>
    </row>
    <row r="202" spans="1:29" x14ac:dyDescent="0.25">
      <c r="A202" s="370">
        <v>5723</v>
      </c>
      <c r="B202" s="354" t="s">
        <v>240</v>
      </c>
      <c r="C202" s="34">
        <v>14440895.74</v>
      </c>
      <c r="D202" s="34">
        <v>4463500.91</v>
      </c>
      <c r="E202" s="380"/>
      <c r="F202" s="362"/>
      <c r="G202" s="425">
        <f>VLOOKUP(A202,'[1]Tableau (2)'!$A:$E,3,FALSE)</f>
        <v>146033.82999999999</v>
      </c>
      <c r="H202" s="425">
        <f>VLOOKUP(A202,'[1]Tableau (2)'!$A:$E,4,FALSE)</f>
        <v>15335.550000000001</v>
      </c>
      <c r="I202" s="425">
        <f>VLOOKUP(A202,'[2]Tableau (2)'!$A$4:$D$312,4,FALSE)</f>
        <v>34336.15</v>
      </c>
      <c r="J202" s="381">
        <v>1502752.41</v>
      </c>
      <c r="K202" s="360">
        <v>328953.32</v>
      </c>
      <c r="L202" s="362">
        <v>39998</v>
      </c>
      <c r="M202" s="360">
        <v>735562.2</v>
      </c>
      <c r="N202" s="358">
        <f t="shared" si="6"/>
        <v>21707368.109999996</v>
      </c>
      <c r="O202" s="34">
        <v>123882.8</v>
      </c>
      <c r="P202" s="34">
        <v>499105.8</v>
      </c>
      <c r="Q202" s="34">
        <v>872196.4</v>
      </c>
      <c r="R202" s="34">
        <v>3907.73</v>
      </c>
      <c r="S202" s="34">
        <v>554106.44999999995</v>
      </c>
      <c r="T202" s="359">
        <f t="shared" si="7"/>
        <v>23760567.289999995</v>
      </c>
      <c r="U202" s="17">
        <v>49</v>
      </c>
      <c r="V202" s="32">
        <v>2037</v>
      </c>
      <c r="W202" s="376">
        <v>-29866.6</v>
      </c>
      <c r="X202" s="34"/>
      <c r="Y202" s="34">
        <v>-5889.53</v>
      </c>
      <c r="Z202" s="34">
        <v>1</v>
      </c>
      <c r="AB202" s="414"/>
      <c r="AC202" s="414"/>
    </row>
    <row r="203" spans="1:29" x14ac:dyDescent="0.25">
      <c r="A203" s="370">
        <v>5724</v>
      </c>
      <c r="B203" s="354" t="s">
        <v>69</v>
      </c>
      <c r="C203" s="34">
        <v>50855546.030000001</v>
      </c>
      <c r="D203" s="34">
        <v>8537343.9199999999</v>
      </c>
      <c r="E203" s="380"/>
      <c r="F203" s="355"/>
      <c r="G203" s="425">
        <f>VLOOKUP(A203,'[1]Tableau (2)'!$A:$E,3,FALSE)</f>
        <v>5331800.28</v>
      </c>
      <c r="H203" s="425">
        <f>VLOOKUP(A203,'[1]Tableau (2)'!$A:$E,4,FALSE)</f>
        <v>1872727.9000000216</v>
      </c>
      <c r="I203" s="425">
        <f>VLOOKUP(A203,'[2]Tableau (2)'!$A$4:$D$312,4,FALSE)</f>
        <v>2152592.9500000002</v>
      </c>
      <c r="J203" s="380">
        <v>1770636.78</v>
      </c>
      <c r="K203" s="357">
        <v>3923331.6</v>
      </c>
      <c r="L203" s="355">
        <v>603048.55000000005</v>
      </c>
      <c r="M203" s="357">
        <v>6117670.0999999996</v>
      </c>
      <c r="N203" s="358">
        <f t="shared" si="6"/>
        <v>81164698.110000014</v>
      </c>
      <c r="O203" s="34">
        <v>4187587.15</v>
      </c>
      <c r="P203" s="34">
        <v>2910148.45</v>
      </c>
      <c r="Q203" s="34">
        <v>4204838.8</v>
      </c>
      <c r="R203" s="34">
        <v>126353.46</v>
      </c>
      <c r="S203" s="34">
        <v>1971059</v>
      </c>
      <c r="T203" s="359">
        <f t="shared" si="7"/>
        <v>94564684.970000014</v>
      </c>
      <c r="U203" s="17">
        <v>61</v>
      </c>
      <c r="V203" s="32">
        <v>20551</v>
      </c>
      <c r="W203" s="376">
        <v>-748945.2</v>
      </c>
      <c r="X203" s="34"/>
      <c r="Y203" s="34">
        <v>-83701.289999999994</v>
      </c>
      <c r="Z203" s="34">
        <v>1.3</v>
      </c>
      <c r="AB203" s="414"/>
      <c r="AC203" s="414"/>
    </row>
    <row r="204" spans="1:29" x14ac:dyDescent="0.25">
      <c r="A204" s="370">
        <v>5725</v>
      </c>
      <c r="B204" s="354" t="s">
        <v>70</v>
      </c>
      <c r="C204" s="34">
        <v>11578139.73</v>
      </c>
      <c r="D204" s="34">
        <v>2766805.86</v>
      </c>
      <c r="E204" s="380"/>
      <c r="F204" s="355"/>
      <c r="G204" s="425">
        <f>VLOOKUP(A204,'[1]Tableau (2)'!$A:$E,3,FALSE)</f>
        <v>524609.81000000006</v>
      </c>
      <c r="H204" s="425">
        <f>VLOOKUP(A204,'[1]Tableau (2)'!$A:$E,4,FALSE)</f>
        <v>16183.950000000004</v>
      </c>
      <c r="I204" s="425">
        <f>VLOOKUP(A204,'[2]Tableau (2)'!$A$4:$D$312,4,FALSE)</f>
        <v>102268.65</v>
      </c>
      <c r="J204" s="380">
        <v>417377.63</v>
      </c>
      <c r="K204" s="357">
        <v>265556.78000000003</v>
      </c>
      <c r="L204" s="355">
        <v>49813.7</v>
      </c>
      <c r="M204" s="357">
        <v>1524810.1</v>
      </c>
      <c r="N204" s="358">
        <f t="shared" si="6"/>
        <v>17245566.210000001</v>
      </c>
      <c r="O204" s="34">
        <v>1104679.95</v>
      </c>
      <c r="P204" s="34">
        <v>21482.9</v>
      </c>
      <c r="Q204" s="34">
        <v>489965.5</v>
      </c>
      <c r="R204" s="34">
        <v>27434.31</v>
      </c>
      <c r="S204" s="34">
        <v>484066.2</v>
      </c>
      <c r="T204" s="359">
        <f t="shared" si="7"/>
        <v>19373195.069999997</v>
      </c>
      <c r="U204" s="17">
        <v>56</v>
      </c>
      <c r="V204" s="32">
        <v>4069</v>
      </c>
      <c r="W204" s="376">
        <v>-88494.48</v>
      </c>
      <c r="X204" s="34"/>
      <c r="Y204" s="34">
        <v>-74474.34</v>
      </c>
      <c r="Z204" s="34">
        <v>1.4</v>
      </c>
      <c r="AB204" s="414"/>
      <c r="AC204" s="414"/>
    </row>
    <row r="205" spans="1:29" x14ac:dyDescent="0.25">
      <c r="A205" s="370">
        <v>5726</v>
      </c>
      <c r="B205" s="354" t="s">
        <v>319</v>
      </c>
      <c r="C205" s="34">
        <v>2920947.91</v>
      </c>
      <c r="D205" s="34">
        <v>499553.69</v>
      </c>
      <c r="E205" s="380"/>
      <c r="F205" s="355"/>
      <c r="G205" s="425">
        <f>VLOOKUP(A205,'[1]Tableau (2)'!$A:$E,3,FALSE)</f>
        <v>8346.91</v>
      </c>
      <c r="H205" s="425">
        <f>VLOOKUP(A205,'[1]Tableau (2)'!$A:$E,4,FALSE)</f>
        <v>1794.3999999999996</v>
      </c>
      <c r="I205" s="425">
        <f>VLOOKUP(A205,'[2]Tableau (2)'!$A$4:$D$312,4,FALSE)</f>
        <v>6176.35</v>
      </c>
      <c r="J205" s="380">
        <v>9017.15</v>
      </c>
      <c r="K205" s="357">
        <v>22266.97</v>
      </c>
      <c r="L205" s="355">
        <v>3665.15</v>
      </c>
      <c r="M205" s="357">
        <v>242421.15</v>
      </c>
      <c r="N205" s="358">
        <f t="shared" si="6"/>
        <v>3714189.68</v>
      </c>
      <c r="O205" s="34">
        <v>18897.900000000001</v>
      </c>
      <c r="P205" s="34"/>
      <c r="Q205" s="34">
        <v>195118.4</v>
      </c>
      <c r="R205" s="34">
        <v>2268.75</v>
      </c>
      <c r="S205" s="34">
        <v>138854.45000000001</v>
      </c>
      <c r="T205" s="359">
        <f t="shared" si="7"/>
        <v>4069329.18</v>
      </c>
      <c r="U205" s="17">
        <v>65</v>
      </c>
      <c r="V205" s="32">
        <v>1164</v>
      </c>
      <c r="W205" s="376">
        <v>-19316.310000000001</v>
      </c>
      <c r="X205" s="34"/>
      <c r="Y205" s="34">
        <v>-3725.51</v>
      </c>
      <c r="Z205" s="34">
        <v>1</v>
      </c>
      <c r="AB205" s="414"/>
      <c r="AC205" s="414"/>
    </row>
    <row r="206" spans="1:29" x14ac:dyDescent="0.25">
      <c r="A206" s="370">
        <v>5727</v>
      </c>
      <c r="B206" s="354" t="s">
        <v>320</v>
      </c>
      <c r="C206" s="34">
        <v>5164511.99</v>
      </c>
      <c r="D206" s="34">
        <v>824692.61</v>
      </c>
      <c r="E206" s="380"/>
      <c r="F206" s="355"/>
      <c r="G206" s="425">
        <f>VLOOKUP(A206,'[1]Tableau (2)'!$A:$E,3,FALSE)</f>
        <v>31420.46</v>
      </c>
      <c r="H206" s="425">
        <f>VLOOKUP(A206,'[1]Tableau (2)'!$A:$E,4,FALSE)</f>
        <v>31780.30000000001</v>
      </c>
      <c r="I206" s="425">
        <f>VLOOKUP(A206,'[2]Tableau (2)'!$A$4:$D$312,4,FALSE)</f>
        <v>14052</v>
      </c>
      <c r="J206" s="380">
        <v>98546.93</v>
      </c>
      <c r="K206" s="357">
        <v>263616.21000000002</v>
      </c>
      <c r="L206" s="355">
        <v>10099.9</v>
      </c>
      <c r="M206" s="357">
        <v>704739.35</v>
      </c>
      <c r="N206" s="358">
        <f t="shared" si="6"/>
        <v>7143459.75</v>
      </c>
      <c r="O206" s="34">
        <v>88630.95</v>
      </c>
      <c r="P206" s="34">
        <v>57308.1</v>
      </c>
      <c r="Q206" s="34">
        <v>383865.3</v>
      </c>
      <c r="R206" s="34">
        <v>18287.330000000002</v>
      </c>
      <c r="S206" s="34">
        <v>187050.65</v>
      </c>
      <c r="T206" s="359">
        <f t="shared" si="7"/>
        <v>7878602.0800000001</v>
      </c>
      <c r="U206" s="17">
        <v>66</v>
      </c>
      <c r="V206" s="32">
        <v>2559</v>
      </c>
      <c r="W206" s="376">
        <v>-302059.76</v>
      </c>
      <c r="X206" s="34"/>
      <c r="Y206" s="34">
        <v>-521.99</v>
      </c>
      <c r="Z206" s="34">
        <v>1.5</v>
      </c>
      <c r="AB206" s="414"/>
      <c r="AC206" s="414"/>
    </row>
    <row r="207" spans="1:29" x14ac:dyDescent="0.25">
      <c r="A207" s="370">
        <v>5728</v>
      </c>
      <c r="B207" s="354" t="s">
        <v>321</v>
      </c>
      <c r="C207" s="34">
        <v>1418239.42</v>
      </c>
      <c r="D207" s="34">
        <v>174980.27</v>
      </c>
      <c r="E207" s="380"/>
      <c r="F207" s="355"/>
      <c r="G207" s="425">
        <f>VLOOKUP(A207,'[1]Tableau (2)'!$A:$E,3,FALSE)</f>
        <v>163597.29999999999</v>
      </c>
      <c r="H207" s="425">
        <f>VLOOKUP(A207,'[1]Tableau (2)'!$A:$E,4,FALSE)</f>
        <v>11092.599999999999</v>
      </c>
      <c r="I207" s="425">
        <f>VLOOKUP(A207,'[2]Tableau (2)'!$A$4:$D$312,4,FALSE)</f>
        <v>42687.15</v>
      </c>
      <c r="J207" s="380">
        <v>17437.900000000001</v>
      </c>
      <c r="K207" s="357">
        <v>60157.24</v>
      </c>
      <c r="L207" s="355">
        <v>51544</v>
      </c>
      <c r="M207" s="357">
        <v>201872.3</v>
      </c>
      <c r="N207" s="358">
        <f t="shared" si="6"/>
        <v>2141608.1799999997</v>
      </c>
      <c r="O207" s="34">
        <v>221113.4</v>
      </c>
      <c r="P207" s="34"/>
      <c r="Q207" s="34">
        <v>106573.5</v>
      </c>
      <c r="R207" s="34"/>
      <c r="S207" s="34">
        <v>51015.35</v>
      </c>
      <c r="T207" s="359">
        <f t="shared" si="7"/>
        <v>2520310.4299999997</v>
      </c>
      <c r="U207" s="17">
        <v>58</v>
      </c>
      <c r="V207" s="32">
        <v>567</v>
      </c>
      <c r="W207" s="376">
        <v>-21579.22</v>
      </c>
      <c r="X207" s="34"/>
      <c r="Y207" s="34">
        <v>-96.71</v>
      </c>
      <c r="Z207" s="34">
        <v>1</v>
      </c>
      <c r="AB207" s="414"/>
      <c r="AC207" s="414"/>
    </row>
    <row r="208" spans="1:29" x14ac:dyDescent="0.25">
      <c r="A208" s="370">
        <v>5729</v>
      </c>
      <c r="B208" s="354" t="s">
        <v>322</v>
      </c>
      <c r="C208" s="34">
        <v>7250689.3600000003</v>
      </c>
      <c r="D208" s="34">
        <v>2033791.13</v>
      </c>
      <c r="E208" s="380"/>
      <c r="F208" s="355"/>
      <c r="G208" s="425">
        <f>VLOOKUP(A208,'[1]Tableau (2)'!$A:$E,3,FALSE)</f>
        <v>211112.79</v>
      </c>
      <c r="H208" s="425">
        <f>VLOOKUP(A208,'[1]Tableau (2)'!$A:$E,4,FALSE)</f>
        <v>4863.0499999999993</v>
      </c>
      <c r="I208" s="425">
        <f>VLOOKUP(A208,'[2]Tableau (2)'!$A$4:$D$312,4,FALSE)</f>
        <v>67929.100000000006</v>
      </c>
      <c r="J208" s="380">
        <v>165919.35</v>
      </c>
      <c r="K208" s="357">
        <v>292796.92</v>
      </c>
      <c r="L208" s="355">
        <v>6012.15</v>
      </c>
      <c r="M208" s="357">
        <v>786976.6</v>
      </c>
      <c r="N208" s="358">
        <f t="shared" si="6"/>
        <v>10820090.449999999</v>
      </c>
      <c r="O208" s="34">
        <v>19280.349999999999</v>
      </c>
      <c r="P208" s="34">
        <v>151994.04999999999</v>
      </c>
      <c r="Q208" s="34">
        <v>500966.75</v>
      </c>
      <c r="R208" s="34">
        <v>1103.98</v>
      </c>
      <c r="S208" s="34">
        <v>461958.25</v>
      </c>
      <c r="T208" s="359">
        <f t="shared" si="7"/>
        <v>11955393.83</v>
      </c>
      <c r="U208" s="17">
        <v>61</v>
      </c>
      <c r="V208" s="32">
        <v>1585</v>
      </c>
      <c r="W208" s="376">
        <v>-16379.63</v>
      </c>
      <c r="X208" s="34"/>
      <c r="Y208" s="34">
        <v>-271.60000000000002</v>
      </c>
      <c r="Z208" s="34">
        <v>1.5</v>
      </c>
      <c r="AB208" s="414"/>
      <c r="AC208" s="414"/>
    </row>
    <row r="209" spans="1:29" x14ac:dyDescent="0.25">
      <c r="A209" s="370">
        <v>5730</v>
      </c>
      <c r="B209" s="354" t="s">
        <v>323</v>
      </c>
      <c r="C209" s="34">
        <v>4624121.3499999996</v>
      </c>
      <c r="D209" s="34">
        <v>687587.34</v>
      </c>
      <c r="E209" s="380"/>
      <c r="F209" s="355"/>
      <c r="G209" s="425">
        <f>VLOOKUP(A209,'[1]Tableau (2)'!$A:$E,3,FALSE)</f>
        <v>102062.47</v>
      </c>
      <c r="H209" s="425">
        <f>VLOOKUP(A209,'[1]Tableau (2)'!$A:$E,4,FALSE)</f>
        <v>1732.4500000000007</v>
      </c>
      <c r="I209" s="425">
        <f>VLOOKUP(A209,'[2]Tableau (2)'!$A$4:$D$312,4,FALSE)</f>
        <v>8030.6</v>
      </c>
      <c r="J209" s="380">
        <v>69350.25</v>
      </c>
      <c r="K209" s="357">
        <v>40030.83</v>
      </c>
      <c r="L209" s="355">
        <v>1374.7</v>
      </c>
      <c r="M209" s="357">
        <v>359113.25</v>
      </c>
      <c r="N209" s="358">
        <f t="shared" si="6"/>
        <v>5893403.2399999993</v>
      </c>
      <c r="O209" s="34">
        <v>5872.4</v>
      </c>
      <c r="P209" s="34"/>
      <c r="Q209" s="34">
        <v>286550</v>
      </c>
      <c r="R209" s="34">
        <v>13916.13</v>
      </c>
      <c r="S209" s="34">
        <v>246173.85</v>
      </c>
      <c r="T209" s="359">
        <f t="shared" si="7"/>
        <v>6445915.6199999992</v>
      </c>
      <c r="U209" s="17">
        <v>57</v>
      </c>
      <c r="V209" s="32">
        <v>1405</v>
      </c>
      <c r="W209" s="376">
        <v>-39404.93</v>
      </c>
      <c r="X209" s="34"/>
      <c r="Y209" s="34">
        <v>-26242.25</v>
      </c>
      <c r="Z209" s="34">
        <v>0.9</v>
      </c>
      <c r="AB209" s="414"/>
      <c r="AC209" s="414"/>
    </row>
    <row r="210" spans="1:29" x14ac:dyDescent="0.25">
      <c r="A210" s="370">
        <v>5731</v>
      </c>
      <c r="B210" s="354" t="s">
        <v>324</v>
      </c>
      <c r="C210" s="34">
        <v>3106485.06</v>
      </c>
      <c r="D210" s="34">
        <v>402021.56</v>
      </c>
      <c r="E210" s="380"/>
      <c r="F210" s="355"/>
      <c r="G210" s="425">
        <f>VLOOKUP(A210,'[1]Tableau (2)'!$A:$E,3,FALSE)</f>
        <v>6959.66</v>
      </c>
      <c r="H210" s="425">
        <f>VLOOKUP(A210,'[1]Tableau (2)'!$A:$E,4,FALSE)</f>
        <v>772.10000000000014</v>
      </c>
      <c r="I210" s="425">
        <f>VLOOKUP(A210,'[2]Tableau (2)'!$A$4:$D$312,4,FALSE)</f>
        <v>3167.65</v>
      </c>
      <c r="J210" s="380"/>
      <c r="K210" s="357">
        <v>52414.06</v>
      </c>
      <c r="L210" s="355">
        <v>4641</v>
      </c>
      <c r="M210" s="357">
        <v>362607.15</v>
      </c>
      <c r="N210" s="358">
        <f t="shared" si="6"/>
        <v>3939068.24</v>
      </c>
      <c r="O210" s="34">
        <v>20640.25</v>
      </c>
      <c r="P210" s="34">
        <v>26387.5</v>
      </c>
      <c r="Q210" s="34">
        <v>186716.25</v>
      </c>
      <c r="R210" s="34">
        <v>31102.560000000001</v>
      </c>
      <c r="S210" s="34">
        <v>139796.54999999999</v>
      </c>
      <c r="T210" s="359">
        <f t="shared" si="7"/>
        <v>4343711.3499999996</v>
      </c>
      <c r="U210" s="17">
        <v>75</v>
      </c>
      <c r="V210" s="32">
        <v>1283</v>
      </c>
      <c r="W210" s="376">
        <v>-36907.160000000003</v>
      </c>
      <c r="X210" s="34"/>
      <c r="Y210" s="34">
        <v>-192.49</v>
      </c>
      <c r="Z210" s="34">
        <v>1.5</v>
      </c>
      <c r="AB210" s="414"/>
      <c r="AC210" s="414"/>
    </row>
    <row r="211" spans="1:29" x14ac:dyDescent="0.25">
      <c r="A211" s="370">
        <v>5732</v>
      </c>
      <c r="B211" s="354" t="s">
        <v>325</v>
      </c>
      <c r="C211" s="34">
        <v>3109336.86</v>
      </c>
      <c r="D211" s="34">
        <v>373344.69</v>
      </c>
      <c r="E211" s="380"/>
      <c r="F211" s="355"/>
      <c r="G211" s="425">
        <f>VLOOKUP(A211,'[1]Tableau (2)'!$A:$E,3,FALSE)</f>
        <v>210123.44</v>
      </c>
      <c r="H211" s="425">
        <f>VLOOKUP(A211,'[1]Tableau (2)'!$A:$E,4,FALSE)</f>
        <v>2231.4999999999991</v>
      </c>
      <c r="I211" s="425">
        <f>VLOOKUP(A211,'[2]Tableau (2)'!$A$4:$D$312,4,FALSE)</f>
        <v>92536.25</v>
      </c>
      <c r="J211" s="380">
        <v>13034.05</v>
      </c>
      <c r="K211" s="357">
        <v>34674.65</v>
      </c>
      <c r="L211" s="355">
        <v>13445.9</v>
      </c>
      <c r="M211" s="357">
        <v>309901.09999999998</v>
      </c>
      <c r="N211" s="358">
        <f t="shared" si="6"/>
        <v>4158628.4399999995</v>
      </c>
      <c r="O211" s="34">
        <v>75839.3</v>
      </c>
      <c r="P211" s="34">
        <v>2151.6</v>
      </c>
      <c r="Q211" s="34">
        <v>208800.35</v>
      </c>
      <c r="R211" s="34">
        <v>28056.73</v>
      </c>
      <c r="S211" s="34">
        <v>345665.4</v>
      </c>
      <c r="T211" s="359">
        <f t="shared" si="7"/>
        <v>4819141.8199999994</v>
      </c>
      <c r="U211" s="17">
        <v>68</v>
      </c>
      <c r="V211" s="32">
        <v>1026</v>
      </c>
      <c r="W211" s="376">
        <v>-35321.03</v>
      </c>
      <c r="X211" s="34"/>
      <c r="Y211" s="34">
        <v>-816.11</v>
      </c>
      <c r="Z211" s="34">
        <v>1</v>
      </c>
      <c r="AB211" s="414"/>
      <c r="AC211" s="414"/>
    </row>
    <row r="212" spans="1:29" x14ac:dyDescent="0.25">
      <c r="A212" s="370">
        <v>5741</v>
      </c>
      <c r="B212" s="354" t="s">
        <v>326</v>
      </c>
      <c r="C212" s="34">
        <v>443935.67</v>
      </c>
      <c r="D212" s="34">
        <v>54549.06</v>
      </c>
      <c r="E212" s="380"/>
      <c r="F212" s="355">
        <v>1330</v>
      </c>
      <c r="G212" s="425">
        <f>VLOOKUP(A212,'[1]Tableau (2)'!$A:$E,3,FALSE)</f>
        <v>3512.23</v>
      </c>
      <c r="H212" s="425">
        <f>VLOOKUP(A212,'[1]Tableau (2)'!$A:$E,4,FALSE)</f>
        <v>385</v>
      </c>
      <c r="I212" s="425">
        <f>VLOOKUP(A212,'[2]Tableau (2)'!$A$4:$D$312,4,FALSE)</f>
        <v>1471.7</v>
      </c>
      <c r="J212" s="380"/>
      <c r="K212" s="357">
        <v>1801.23</v>
      </c>
      <c r="L212" s="355"/>
      <c r="M212" s="357">
        <v>42366.400000000001</v>
      </c>
      <c r="N212" s="358">
        <f t="shared" si="6"/>
        <v>549351.28999999992</v>
      </c>
      <c r="O212" s="34">
        <v>7043.5</v>
      </c>
      <c r="P212" s="34">
        <v>1380.6</v>
      </c>
      <c r="Q212" s="34">
        <v>34066.949999999997</v>
      </c>
      <c r="R212" s="34">
        <v>2057.86</v>
      </c>
      <c r="S212" s="34">
        <v>24002.65</v>
      </c>
      <c r="T212" s="359">
        <f t="shared" si="7"/>
        <v>617902.84999999986</v>
      </c>
      <c r="U212" s="17">
        <v>81</v>
      </c>
      <c r="V212" s="32">
        <v>237</v>
      </c>
      <c r="W212" s="376">
        <v>-8041.82</v>
      </c>
      <c r="X212" s="34"/>
      <c r="Y212" s="34">
        <v>-122.62</v>
      </c>
      <c r="Z212" s="34">
        <v>1.2</v>
      </c>
      <c r="AB212" s="414"/>
      <c r="AC212" s="414"/>
    </row>
    <row r="213" spans="1:29" x14ac:dyDescent="0.25">
      <c r="A213" s="370">
        <v>5742</v>
      </c>
      <c r="B213" s="354" t="s">
        <v>327</v>
      </c>
      <c r="C213" s="34">
        <v>589332.30000000005</v>
      </c>
      <c r="D213" s="34">
        <v>52962.54</v>
      </c>
      <c r="E213" s="380"/>
      <c r="F213" s="355"/>
      <c r="G213" s="425">
        <f>VLOOKUP(A213,'[1]Tableau (2)'!$A:$E,3,FALSE)</f>
        <v>7458.88</v>
      </c>
      <c r="H213" s="425">
        <f>VLOOKUP(A213,'[1]Tableau (2)'!$A:$E,4,FALSE)</f>
        <v>360.7</v>
      </c>
      <c r="I213" s="425">
        <f>VLOOKUP(A213,'[2]Tableau (2)'!$A$4:$D$312,4,FALSE)</f>
        <v>1920.45</v>
      </c>
      <c r="J213" s="380"/>
      <c r="K213" s="357">
        <v>14377.09</v>
      </c>
      <c r="L213" s="355">
        <v>853.3</v>
      </c>
      <c r="M213" s="357">
        <v>23286.85</v>
      </c>
      <c r="N213" s="358">
        <f t="shared" si="6"/>
        <v>690552.11</v>
      </c>
      <c r="O213" s="34">
        <v>1671.4</v>
      </c>
      <c r="P213" s="34">
        <v>241.8</v>
      </c>
      <c r="Q213" s="34">
        <v>38383.699999999997</v>
      </c>
      <c r="R213" s="34"/>
      <c r="S213" s="34">
        <v>33930.550000000003</v>
      </c>
      <c r="T213" s="359">
        <f t="shared" si="7"/>
        <v>764779.56</v>
      </c>
      <c r="U213" s="17">
        <v>76</v>
      </c>
      <c r="V213" s="32">
        <v>314</v>
      </c>
      <c r="W213" s="376">
        <v>-2913.53</v>
      </c>
      <c r="X213" s="34"/>
      <c r="Y213" s="34">
        <v>0</v>
      </c>
      <c r="Z213" s="34">
        <v>0.5</v>
      </c>
      <c r="AB213" s="414"/>
      <c r="AC213" s="414"/>
    </row>
    <row r="214" spans="1:29" x14ac:dyDescent="0.25">
      <c r="A214" s="370">
        <v>5743</v>
      </c>
      <c r="B214" s="354" t="s">
        <v>265</v>
      </c>
      <c r="C214" s="34">
        <v>1054146.79</v>
      </c>
      <c r="D214" s="34">
        <v>125078.39999999999</v>
      </c>
      <c r="E214" s="380"/>
      <c r="F214" s="355"/>
      <c r="G214" s="425">
        <f>VLOOKUP(A214,'[1]Tableau (2)'!$A:$E,3,FALSE)</f>
        <v>6913.52</v>
      </c>
      <c r="H214" s="425">
        <f>VLOOKUP(A214,'[1]Tableau (2)'!$A:$E,4,FALSE)</f>
        <v>729.6</v>
      </c>
      <c r="I214" s="425">
        <f>VLOOKUP(A214,'[2]Tableau (2)'!$A$4:$D$312,4,FALSE)</f>
        <v>2469.5</v>
      </c>
      <c r="J214" s="380"/>
      <c r="K214" s="357">
        <v>23132.49</v>
      </c>
      <c r="L214" s="355"/>
      <c r="M214" s="357">
        <v>62543.1</v>
      </c>
      <c r="N214" s="358">
        <f t="shared" si="6"/>
        <v>1275013.4000000001</v>
      </c>
      <c r="O214" s="34">
        <v>27265.05</v>
      </c>
      <c r="P214" s="34">
        <v>27463.7</v>
      </c>
      <c r="Q214" s="34">
        <v>47171.6</v>
      </c>
      <c r="R214" s="34">
        <v>1639.32</v>
      </c>
      <c r="S214" s="34">
        <v>77711.899999999994</v>
      </c>
      <c r="T214" s="359">
        <f t="shared" si="7"/>
        <v>1456264.9700000002</v>
      </c>
      <c r="U214" s="17">
        <v>73</v>
      </c>
      <c r="V214" s="32">
        <v>642</v>
      </c>
      <c r="W214" s="376">
        <v>-7926.21</v>
      </c>
      <c r="X214" s="34"/>
      <c r="Y214" s="34">
        <v>0</v>
      </c>
      <c r="Z214" s="34">
        <v>0.8</v>
      </c>
      <c r="AB214" s="414"/>
      <c r="AC214" s="414"/>
    </row>
    <row r="215" spans="1:29" x14ac:dyDescent="0.25">
      <c r="A215" s="370">
        <v>5744</v>
      </c>
      <c r="B215" s="354" t="s">
        <v>266</v>
      </c>
      <c r="C215" s="34">
        <v>1300297.8</v>
      </c>
      <c r="D215" s="34">
        <v>202814.41</v>
      </c>
      <c r="E215" s="380"/>
      <c r="F215" s="355">
        <v>6340</v>
      </c>
      <c r="G215" s="425">
        <f>VLOOKUP(A215,'[1]Tableau (2)'!$A:$E,3,FALSE)</f>
        <v>1038230.1</v>
      </c>
      <c r="H215" s="425">
        <f>VLOOKUP(A215,'[1]Tableau (2)'!$A:$E,4,FALSE)</f>
        <v>42885.900000000009</v>
      </c>
      <c r="I215" s="425">
        <f>VLOOKUP(A215,'[2]Tableau (2)'!$A$4:$D$312,4,FALSE)</f>
        <v>488303.35</v>
      </c>
      <c r="J215" s="380"/>
      <c r="K215" s="357">
        <v>88985.29</v>
      </c>
      <c r="L215" s="355"/>
      <c r="M215" s="357">
        <v>159935.9</v>
      </c>
      <c r="N215" s="358">
        <f t="shared" si="6"/>
        <v>3327792.75</v>
      </c>
      <c r="O215" s="34">
        <v>1188651.25</v>
      </c>
      <c r="P215" s="34">
        <v>16975.8</v>
      </c>
      <c r="Q215" s="34">
        <v>84900.1</v>
      </c>
      <c r="R215" s="34">
        <v>11786.24</v>
      </c>
      <c r="S215" s="34">
        <v>103476.65</v>
      </c>
      <c r="T215" s="359">
        <f t="shared" si="7"/>
        <v>4733582.79</v>
      </c>
      <c r="U215" s="17">
        <v>66</v>
      </c>
      <c r="V215" s="32">
        <v>1095</v>
      </c>
      <c r="W215" s="376">
        <v>-52921.77</v>
      </c>
      <c r="X215" s="34"/>
      <c r="Y215" s="34">
        <v>-422.29</v>
      </c>
      <c r="Z215" s="34">
        <v>1</v>
      </c>
      <c r="AB215" s="414"/>
      <c r="AC215" s="414"/>
    </row>
    <row r="216" spans="1:29" x14ac:dyDescent="0.25">
      <c r="A216" s="370">
        <v>5745</v>
      </c>
      <c r="B216" s="354" t="s">
        <v>267</v>
      </c>
      <c r="C216" s="34">
        <v>1625304.55</v>
      </c>
      <c r="D216" s="34">
        <v>187496.02</v>
      </c>
      <c r="E216" s="380"/>
      <c r="F216" s="355"/>
      <c r="G216" s="425">
        <f>VLOOKUP(A216,'[1]Tableau (2)'!$A:$E,3,FALSE)</f>
        <v>35588.33</v>
      </c>
      <c r="H216" s="425">
        <f>VLOOKUP(A216,'[1]Tableau (2)'!$A:$E,4,FALSE)</f>
        <v>1340.6999999999998</v>
      </c>
      <c r="I216" s="425">
        <f>VLOOKUP(A216,'[2]Tableau (2)'!$A$4:$D$312,4,FALSE)</f>
        <v>15127.35</v>
      </c>
      <c r="J216" s="380"/>
      <c r="K216" s="357">
        <v>16087.85</v>
      </c>
      <c r="L216" s="355"/>
      <c r="M216" s="357">
        <v>124175.8</v>
      </c>
      <c r="N216" s="358">
        <f t="shared" si="6"/>
        <v>2005120.6000000003</v>
      </c>
      <c r="O216" s="34">
        <v>192572.15</v>
      </c>
      <c r="P216" s="34">
        <v>2640</v>
      </c>
      <c r="Q216" s="34">
        <v>52778</v>
      </c>
      <c r="R216" s="34">
        <v>3445.88</v>
      </c>
      <c r="S216" s="34">
        <v>16332.9</v>
      </c>
      <c r="T216" s="359">
        <f t="shared" si="7"/>
        <v>2272889.5300000003</v>
      </c>
      <c r="U216" s="17">
        <v>78</v>
      </c>
      <c r="V216" s="32">
        <v>1053</v>
      </c>
      <c r="W216" s="376">
        <v>-29233.97</v>
      </c>
      <c r="X216" s="34"/>
      <c r="Y216" s="34">
        <v>-22.01</v>
      </c>
      <c r="Z216" s="34">
        <v>1</v>
      </c>
      <c r="AB216" s="414"/>
      <c r="AC216" s="414"/>
    </row>
    <row r="217" spans="1:29" x14ac:dyDescent="0.25">
      <c r="A217" s="370">
        <v>5746</v>
      </c>
      <c r="B217" s="354" t="s">
        <v>268</v>
      </c>
      <c r="C217" s="34">
        <v>1488047.8</v>
      </c>
      <c r="D217" s="34">
        <v>147080.31</v>
      </c>
      <c r="E217" s="380"/>
      <c r="F217" s="355"/>
      <c r="G217" s="425">
        <f>VLOOKUP(A217,'[1]Tableau (2)'!$A:$E,3,FALSE)</f>
        <v>44634.89</v>
      </c>
      <c r="H217" s="425">
        <f>VLOOKUP(A217,'[1]Tableau (2)'!$A:$E,4,FALSE)</f>
        <v>1443.6999999999998</v>
      </c>
      <c r="I217" s="425">
        <f>VLOOKUP(A217,'[2]Tableau (2)'!$A$4:$D$312,4,FALSE)</f>
        <v>11227.45</v>
      </c>
      <c r="J217" s="380"/>
      <c r="K217" s="357">
        <v>33648.699999999997</v>
      </c>
      <c r="L217" s="355"/>
      <c r="M217" s="357">
        <v>199237.8</v>
      </c>
      <c r="N217" s="358">
        <f t="shared" si="6"/>
        <v>1925320.65</v>
      </c>
      <c r="O217" s="34">
        <v>20320.150000000001</v>
      </c>
      <c r="P217" s="34">
        <v>2022.9</v>
      </c>
      <c r="Q217" s="34">
        <v>85696.35</v>
      </c>
      <c r="R217" s="34"/>
      <c r="S217" s="34">
        <v>64410.1</v>
      </c>
      <c r="T217" s="359">
        <f t="shared" si="7"/>
        <v>2097770.15</v>
      </c>
      <c r="U217" s="17">
        <v>73</v>
      </c>
      <c r="V217" s="32">
        <v>928</v>
      </c>
      <c r="W217" s="376">
        <v>-29981.54</v>
      </c>
      <c r="X217" s="34"/>
      <c r="Y217" s="34">
        <v>-48.15</v>
      </c>
      <c r="Z217" s="34">
        <v>1.2</v>
      </c>
      <c r="AB217" s="414"/>
      <c r="AC217" s="414"/>
    </row>
    <row r="218" spans="1:29" x14ac:dyDescent="0.25">
      <c r="A218" s="370">
        <v>5747</v>
      </c>
      <c r="B218" s="354" t="s">
        <v>269</v>
      </c>
      <c r="C218" s="34">
        <v>298152.3</v>
      </c>
      <c r="D218" s="34">
        <v>38581.239999999903</v>
      </c>
      <c r="E218" s="380"/>
      <c r="F218" s="355"/>
      <c r="G218" s="425">
        <f>VLOOKUP(A218,'[1]Tableau (2)'!$A:$E,3,FALSE)</f>
        <v>2600.33</v>
      </c>
      <c r="H218" s="425">
        <f>VLOOKUP(A218,'[1]Tableau (2)'!$A:$E,4,FALSE)</f>
        <v>702.60000000000014</v>
      </c>
      <c r="I218" s="425">
        <f>VLOOKUP(A218,'[2]Tableau (2)'!$A$4:$D$312,4,FALSE)</f>
        <v>2424.5</v>
      </c>
      <c r="J218" s="380"/>
      <c r="K218" s="357">
        <v>4735.13</v>
      </c>
      <c r="L218" s="355"/>
      <c r="M218" s="357">
        <v>27078.2</v>
      </c>
      <c r="N218" s="358">
        <f t="shared" si="6"/>
        <v>374274.29999999993</v>
      </c>
      <c r="O218" s="34"/>
      <c r="P218" s="34"/>
      <c r="Q218" s="34">
        <v>1011.2</v>
      </c>
      <c r="R218" s="34"/>
      <c r="S218" s="34"/>
      <c r="T218" s="359">
        <f t="shared" si="7"/>
        <v>375285.49999999994</v>
      </c>
      <c r="U218" s="17">
        <v>69</v>
      </c>
      <c r="V218" s="32">
        <v>191</v>
      </c>
      <c r="W218" s="376">
        <v>-1520.07</v>
      </c>
      <c r="X218" s="34"/>
      <c r="Y218" s="34">
        <v>-0.99</v>
      </c>
      <c r="Z218" s="34">
        <v>1</v>
      </c>
      <c r="AB218" s="414"/>
      <c r="AC218" s="414"/>
    </row>
    <row r="219" spans="1:29" x14ac:dyDescent="0.25">
      <c r="A219" s="370">
        <v>5748</v>
      </c>
      <c r="B219" s="354" t="s">
        <v>270</v>
      </c>
      <c r="C219" s="34">
        <v>459366.88</v>
      </c>
      <c r="D219" s="34">
        <v>42431.16</v>
      </c>
      <c r="E219" s="380"/>
      <c r="F219" s="355">
        <v>2170</v>
      </c>
      <c r="G219" s="425">
        <f>VLOOKUP(A219,'[1]Tableau (2)'!$A:$E,3,FALSE)</f>
        <v>2163.9899999999998</v>
      </c>
      <c r="H219" s="425">
        <f>VLOOKUP(A219,'[1]Tableau (2)'!$A:$E,4,FALSE)</f>
        <v>42.699999999999996</v>
      </c>
      <c r="I219" s="425">
        <f>VLOOKUP(A219,'[2]Tableau (2)'!$A$4:$D$312,4,FALSE)</f>
        <v>701.6</v>
      </c>
      <c r="J219" s="380"/>
      <c r="K219" s="357">
        <v>6129.57</v>
      </c>
      <c r="L219" s="355"/>
      <c r="M219" s="357">
        <v>21227</v>
      </c>
      <c r="N219" s="358">
        <f t="shared" si="6"/>
        <v>534232.9</v>
      </c>
      <c r="O219" s="34">
        <v>6433.6</v>
      </c>
      <c r="P219" s="34">
        <v>194005.8</v>
      </c>
      <c r="Q219" s="34">
        <v>13265.75</v>
      </c>
      <c r="R219" s="34">
        <v>8832.99</v>
      </c>
      <c r="S219" s="34">
        <v>6703.1</v>
      </c>
      <c r="T219" s="359">
        <f t="shared" si="7"/>
        <v>763474.14</v>
      </c>
      <c r="U219" s="17">
        <v>72</v>
      </c>
      <c r="V219" s="32">
        <v>262</v>
      </c>
      <c r="W219" s="376">
        <v>-5621.77</v>
      </c>
      <c r="X219" s="34"/>
      <c r="Y219" s="34">
        <v>0</v>
      </c>
      <c r="Z219" s="34">
        <v>0.6</v>
      </c>
      <c r="AB219" s="414"/>
      <c r="AC219" s="414"/>
    </row>
    <row r="220" spans="1:29" x14ac:dyDescent="0.25">
      <c r="A220" s="370">
        <v>5749</v>
      </c>
      <c r="B220" s="354" t="s">
        <v>271</v>
      </c>
      <c r="C220" s="34">
        <v>7820310.54</v>
      </c>
      <c r="D220" s="34">
        <v>639483.01</v>
      </c>
      <c r="E220" s="380"/>
      <c r="F220" s="355"/>
      <c r="G220" s="425">
        <f>VLOOKUP(A220,'[1]Tableau (2)'!$A:$E,3,FALSE)</f>
        <v>210352.01727272727</v>
      </c>
      <c r="H220" s="425">
        <f>VLOOKUP(A220,'[1]Tableau (2)'!$A:$E,4,FALSE)</f>
        <v>63283.999999999927</v>
      </c>
      <c r="I220" s="425">
        <f>VLOOKUP(A220,'[2]Tableau (2)'!$A$4:$D$312,4,FALSE)</f>
        <v>82844.899999999994</v>
      </c>
      <c r="J220" s="380"/>
      <c r="K220" s="355">
        <v>239142.54</v>
      </c>
      <c r="L220" s="355">
        <v>48604.4</v>
      </c>
      <c r="M220" s="355">
        <v>736460.05</v>
      </c>
      <c r="N220" s="358">
        <f t="shared" si="6"/>
        <v>9840481.4572727289</v>
      </c>
      <c r="O220" s="34">
        <v>588022.9</v>
      </c>
      <c r="P220" s="34">
        <v>75299.600000000006</v>
      </c>
      <c r="Q220" s="34">
        <v>270997.8</v>
      </c>
      <c r="R220" s="34">
        <v>92601.24</v>
      </c>
      <c r="S220" s="34">
        <v>170064.8</v>
      </c>
      <c r="T220" s="359">
        <f t="shared" si="7"/>
        <v>11037467.797272731</v>
      </c>
      <c r="U220" s="17">
        <v>72</v>
      </c>
      <c r="V220" s="32">
        <v>4908</v>
      </c>
      <c r="W220" s="376">
        <v>-231348.09</v>
      </c>
      <c r="X220" s="34"/>
      <c r="Y220" s="34">
        <v>-409.2</v>
      </c>
      <c r="Z220" s="34">
        <v>1</v>
      </c>
      <c r="AB220" s="414"/>
      <c r="AC220" s="414"/>
    </row>
    <row r="221" spans="1:29" x14ac:dyDescent="0.25">
      <c r="A221" s="370">
        <v>5750</v>
      </c>
      <c r="B221" s="354" t="s">
        <v>272</v>
      </c>
      <c r="C221" s="34">
        <v>342412.63</v>
      </c>
      <c r="D221" s="34">
        <v>41449.1</v>
      </c>
      <c r="E221" s="380"/>
      <c r="F221" s="355">
        <v>1020</v>
      </c>
      <c r="G221" s="425">
        <f>VLOOKUP(A221,'[1]Tableau (2)'!$A:$E,3,FALSE)</f>
        <v>2676.37</v>
      </c>
      <c r="H221" s="425">
        <f>VLOOKUP(A221,'[1]Tableau (2)'!$A:$E,4,FALSE)</f>
        <v>166.7</v>
      </c>
      <c r="I221" s="425">
        <f>VLOOKUP(A221,'[2]Tableau (2)'!$A$4:$D$312,4,FALSE)</f>
        <v>584.04999999999995</v>
      </c>
      <c r="J221" s="380"/>
      <c r="K221" s="357">
        <v>8539.44</v>
      </c>
      <c r="L221" s="355">
        <v>-1746.35</v>
      </c>
      <c r="M221" s="357">
        <v>12756.1</v>
      </c>
      <c r="N221" s="358">
        <f t="shared" si="6"/>
        <v>407858.04</v>
      </c>
      <c r="O221" s="34">
        <v>6513.5</v>
      </c>
      <c r="P221" s="34">
        <v>14676</v>
      </c>
      <c r="Q221" s="34">
        <v>3421</v>
      </c>
      <c r="R221" s="34"/>
      <c r="S221" s="34">
        <v>-1263.55</v>
      </c>
      <c r="T221" s="359">
        <f t="shared" si="7"/>
        <v>431204.99</v>
      </c>
      <c r="U221" s="17">
        <v>80</v>
      </c>
      <c r="V221" s="32">
        <v>181</v>
      </c>
      <c r="W221" s="376">
        <v>-14695.31</v>
      </c>
      <c r="X221" s="34"/>
      <c r="Y221" s="34">
        <v>0</v>
      </c>
      <c r="Z221" s="34">
        <v>0.6</v>
      </c>
      <c r="AB221" s="414"/>
      <c r="AC221" s="414"/>
    </row>
    <row r="222" spans="1:29" x14ac:dyDescent="0.25">
      <c r="A222" s="370">
        <v>5752</v>
      </c>
      <c r="B222" s="354" t="s">
        <v>332</v>
      </c>
      <c r="C222" s="34">
        <v>605075.06999999995</v>
      </c>
      <c r="D222" s="34">
        <v>168875.51</v>
      </c>
      <c r="E222" s="380"/>
      <c r="F222" s="355"/>
      <c r="G222" s="425">
        <f>VLOOKUP(A222,'[1]Tableau (2)'!$A:$E,3,FALSE)</f>
        <v>4424.42</v>
      </c>
      <c r="H222" s="425">
        <f>VLOOKUP(A222,'[1]Tableau (2)'!$A:$E,4,FALSE)</f>
        <v>844.5</v>
      </c>
      <c r="I222" s="425">
        <f>VLOOKUP(A222,'[2]Tableau (2)'!$A$4:$D$312,4,FALSE)</f>
        <v>1367.95</v>
      </c>
      <c r="J222" s="380"/>
      <c r="K222" s="357">
        <v>5187.34</v>
      </c>
      <c r="L222" s="355">
        <v>741.3</v>
      </c>
      <c r="M222" s="357">
        <v>32833.85</v>
      </c>
      <c r="N222" s="358">
        <f t="shared" si="6"/>
        <v>819349.94</v>
      </c>
      <c r="O222" s="34">
        <v>22087.200000000001</v>
      </c>
      <c r="P222" s="34">
        <v>78</v>
      </c>
      <c r="Q222" s="34">
        <v>12005.6</v>
      </c>
      <c r="R222" s="34">
        <v>178.93</v>
      </c>
      <c r="S222" s="34">
        <v>19877.150000000001</v>
      </c>
      <c r="T222" s="359">
        <f t="shared" si="7"/>
        <v>873576.82</v>
      </c>
      <c r="U222" s="17">
        <v>74</v>
      </c>
      <c r="V222" s="32">
        <v>379</v>
      </c>
      <c r="W222" s="376">
        <v>-5442.03</v>
      </c>
      <c r="X222" s="34"/>
      <c r="Y222" s="34">
        <v>-3732.15</v>
      </c>
      <c r="Z222" s="34">
        <v>0.7</v>
      </c>
      <c r="AB222" s="414"/>
      <c r="AC222" s="414"/>
    </row>
    <row r="223" spans="1:29" x14ac:dyDescent="0.25">
      <c r="A223" s="370">
        <v>5754</v>
      </c>
      <c r="B223" s="354" t="s">
        <v>333</v>
      </c>
      <c r="C223" s="34">
        <v>530954.32999999996</v>
      </c>
      <c r="D223" s="34">
        <v>55337.63</v>
      </c>
      <c r="E223" s="380"/>
      <c r="F223" s="355"/>
      <c r="G223" s="425">
        <f>VLOOKUP(A223,'[1]Tableau (2)'!$A:$E,3,FALSE)</f>
        <v>598.5719058160596</v>
      </c>
      <c r="H223" s="425">
        <f>VLOOKUP(A223,'[1]Tableau (2)'!$A:$E,4,FALSE)</f>
        <v>990.30000000000007</v>
      </c>
      <c r="I223" s="425">
        <f>VLOOKUP(A223,'[2]Tableau (2)'!$A$4:$D$312,4,FALSE)</f>
        <v>351.4</v>
      </c>
      <c r="J223" s="380"/>
      <c r="K223" s="357">
        <v>17249.060000000001</v>
      </c>
      <c r="L223" s="355">
        <v>944</v>
      </c>
      <c r="M223" s="357">
        <v>35869</v>
      </c>
      <c r="N223" s="358">
        <f t="shared" si="6"/>
        <v>642294.29190581618</v>
      </c>
      <c r="O223" s="34">
        <v>294.89999999999998</v>
      </c>
      <c r="P223" s="34"/>
      <c r="Q223" s="34">
        <v>5800.2</v>
      </c>
      <c r="R223" s="34">
        <v>5926.89</v>
      </c>
      <c r="S223" s="34">
        <v>3130.55</v>
      </c>
      <c r="T223" s="359">
        <f t="shared" si="7"/>
        <v>657446.83190581622</v>
      </c>
      <c r="U223" s="17">
        <v>79</v>
      </c>
      <c r="V223" s="32">
        <v>309</v>
      </c>
      <c r="W223" s="376">
        <v>-5263.61</v>
      </c>
      <c r="X223" s="34"/>
      <c r="Y223" s="34">
        <v>-16.989999999999998</v>
      </c>
      <c r="Z223" s="34">
        <v>1</v>
      </c>
      <c r="AB223" s="414"/>
      <c r="AC223" s="414"/>
    </row>
    <row r="224" spans="1:29" x14ac:dyDescent="0.25">
      <c r="A224" s="370">
        <v>5755</v>
      </c>
      <c r="B224" s="354" t="s">
        <v>334</v>
      </c>
      <c r="C224" s="34">
        <v>636292.76</v>
      </c>
      <c r="D224" s="34">
        <v>52737.89</v>
      </c>
      <c r="E224" s="380"/>
      <c r="F224" s="355"/>
      <c r="G224" s="425">
        <f>VLOOKUP(A224,'[1]Tableau (2)'!$A:$E,3,FALSE)</f>
        <v>9126.5083515609476</v>
      </c>
      <c r="H224" s="425">
        <f>VLOOKUP(A224,'[1]Tableau (2)'!$A:$E,4,FALSE)</f>
        <v>374.89999999999992</v>
      </c>
      <c r="I224" s="425">
        <f>VLOOKUP(A224,'[2]Tableau (2)'!$A$4:$D$312,4,FALSE)</f>
        <v>3355.25</v>
      </c>
      <c r="J224" s="380"/>
      <c r="K224" s="357">
        <v>19604.66</v>
      </c>
      <c r="L224" s="355">
        <v>3152.6</v>
      </c>
      <c r="M224" s="357">
        <v>39366.35</v>
      </c>
      <c r="N224" s="358">
        <f t="shared" si="6"/>
        <v>764010.91835156095</v>
      </c>
      <c r="O224" s="34">
        <v>17491.8</v>
      </c>
      <c r="P224" s="34"/>
      <c r="Q224" s="34">
        <v>17655.150000000001</v>
      </c>
      <c r="R224" s="34">
        <v>18120.939999999999</v>
      </c>
      <c r="S224" s="34">
        <v>18617.650000000001</v>
      </c>
      <c r="T224" s="359">
        <f t="shared" si="7"/>
        <v>835896.45835156098</v>
      </c>
      <c r="U224" s="17">
        <v>80</v>
      </c>
      <c r="V224" s="32">
        <v>417</v>
      </c>
      <c r="W224" s="376">
        <v>-53367.34</v>
      </c>
      <c r="X224" s="34"/>
      <c r="Y224" s="34">
        <v>-8.76</v>
      </c>
      <c r="Z224" s="34">
        <v>0.7</v>
      </c>
      <c r="AB224" s="414"/>
      <c r="AC224" s="414"/>
    </row>
    <row r="225" spans="1:29" x14ac:dyDescent="0.25">
      <c r="A225" s="370">
        <v>5756</v>
      </c>
      <c r="B225" s="354" t="s">
        <v>335</v>
      </c>
      <c r="C225" s="34">
        <v>1041931.16</v>
      </c>
      <c r="D225" s="34">
        <v>163273.4</v>
      </c>
      <c r="E225" s="380"/>
      <c r="F225" s="355"/>
      <c r="G225" s="425">
        <f>VLOOKUP(A225,'[1]Tableau (2)'!$A:$E,3,FALSE)</f>
        <v>28910.216069465812</v>
      </c>
      <c r="H225" s="425">
        <f>VLOOKUP(A225,'[1]Tableau (2)'!$A:$E,4,FALSE)</f>
        <v>1979.6</v>
      </c>
      <c r="I225" s="425">
        <f>VLOOKUP(A225,'[2]Tableau (2)'!$A$4:$D$312,4,FALSE)</f>
        <v>13241.8</v>
      </c>
      <c r="J225" s="380"/>
      <c r="K225" s="357">
        <v>12464.53</v>
      </c>
      <c r="L225" s="355">
        <v>61.5</v>
      </c>
      <c r="M225" s="357">
        <v>81036.7</v>
      </c>
      <c r="N225" s="358">
        <f t="shared" si="6"/>
        <v>1342898.9060694659</v>
      </c>
      <c r="O225" s="34">
        <v>26068.7</v>
      </c>
      <c r="P225" s="34"/>
      <c r="Q225" s="34">
        <v>16866.099999999999</v>
      </c>
      <c r="R225" s="34"/>
      <c r="S225" s="34">
        <v>15466.1</v>
      </c>
      <c r="T225" s="359">
        <f t="shared" si="7"/>
        <v>1401299.8060694661</v>
      </c>
      <c r="U225" s="17">
        <v>72</v>
      </c>
      <c r="V225" s="32">
        <v>482</v>
      </c>
      <c r="W225" s="376">
        <v>-15207.37</v>
      </c>
      <c r="X225" s="34"/>
      <c r="Y225" s="34">
        <v>-254.03</v>
      </c>
      <c r="Z225" s="34">
        <v>1</v>
      </c>
      <c r="AB225" s="414"/>
      <c r="AC225" s="414"/>
    </row>
    <row r="226" spans="1:29" x14ac:dyDescent="0.25">
      <c r="A226" s="370">
        <v>5757</v>
      </c>
      <c r="B226" s="354" t="s">
        <v>336</v>
      </c>
      <c r="C226" s="34">
        <v>11200166.09</v>
      </c>
      <c r="D226" s="34">
        <v>967024.19000000099</v>
      </c>
      <c r="E226" s="380"/>
      <c r="F226" s="355"/>
      <c r="G226" s="425">
        <f>VLOOKUP(A226,'[1]Tableau (2)'!$A:$E,3,FALSE)</f>
        <v>1004061.446359743</v>
      </c>
      <c r="H226" s="425">
        <f>VLOOKUP(A226,'[1]Tableau (2)'!$A:$E,4,FALSE)</f>
        <v>38334.500000000022</v>
      </c>
      <c r="I226" s="425">
        <f>VLOOKUP(A226,'[2]Tableau (2)'!$A$4:$D$312,4,FALSE)</f>
        <v>373687.95</v>
      </c>
      <c r="J226" s="380"/>
      <c r="K226" s="357">
        <v>474951.93</v>
      </c>
      <c r="L226" s="355">
        <v>71774.399999999994</v>
      </c>
      <c r="M226" s="357">
        <v>1211935.6000000001</v>
      </c>
      <c r="N226" s="358">
        <f t="shared" si="6"/>
        <v>15341936.106359743</v>
      </c>
      <c r="O226" s="34">
        <v>2511647.6</v>
      </c>
      <c r="P226" s="34">
        <v>13397.3</v>
      </c>
      <c r="Q226" s="34">
        <v>494441.85</v>
      </c>
      <c r="R226" s="34">
        <v>79099.490000000005</v>
      </c>
      <c r="S226" s="34">
        <v>442812.05</v>
      </c>
      <c r="T226" s="359">
        <f t="shared" si="7"/>
        <v>18883334.396359745</v>
      </c>
      <c r="U226" s="17">
        <v>77</v>
      </c>
      <c r="V226" s="32">
        <v>6985</v>
      </c>
      <c r="W226" s="376">
        <v>-356228.78</v>
      </c>
      <c r="X226" s="34"/>
      <c r="Y226" s="34">
        <v>-22809.19</v>
      </c>
      <c r="Z226" s="34">
        <v>1</v>
      </c>
      <c r="AB226" s="414"/>
      <c r="AC226" s="414"/>
    </row>
    <row r="227" spans="1:29" x14ac:dyDescent="0.25">
      <c r="A227" s="370">
        <v>5758</v>
      </c>
      <c r="B227" s="354" t="s">
        <v>217</v>
      </c>
      <c r="C227" s="34">
        <v>223302.45</v>
      </c>
      <c r="D227" s="34">
        <v>20798.36</v>
      </c>
      <c r="E227" s="380"/>
      <c r="F227" s="355">
        <v>940</v>
      </c>
      <c r="G227" s="425">
        <f>VLOOKUP(A227,'[1]Tableau (2)'!$A:$E,3,FALSE)</f>
        <v>1695.030529953917</v>
      </c>
      <c r="H227" s="425">
        <f>VLOOKUP(A227,'[1]Tableau (2)'!$A:$E,4,FALSE)</f>
        <v>981.69999999999982</v>
      </c>
      <c r="I227" s="425">
        <f>VLOOKUP(A227,'[2]Tableau (2)'!$A$4:$D$312,4,FALSE)</f>
        <v>446.75</v>
      </c>
      <c r="J227" s="380"/>
      <c r="K227" s="357">
        <v>846.63</v>
      </c>
      <c r="L227" s="355"/>
      <c r="M227" s="357">
        <v>20189.55</v>
      </c>
      <c r="N227" s="358">
        <f t="shared" si="6"/>
        <v>269200.47052995395</v>
      </c>
      <c r="O227" s="34"/>
      <c r="P227" s="34">
        <v>23869.7</v>
      </c>
      <c r="Q227" s="34">
        <v>20757</v>
      </c>
      <c r="R227" s="34"/>
      <c r="S227" s="34">
        <v>8141.1</v>
      </c>
      <c r="T227" s="359">
        <f t="shared" si="7"/>
        <v>321968.27052995394</v>
      </c>
      <c r="U227" s="17">
        <v>83</v>
      </c>
      <c r="V227" s="32">
        <v>160</v>
      </c>
      <c r="W227" s="376">
        <v>-4425.82</v>
      </c>
      <c r="X227" s="34"/>
      <c r="Y227" s="34">
        <v>0</v>
      </c>
      <c r="Z227" s="34">
        <v>0.9</v>
      </c>
      <c r="AB227" s="414"/>
      <c r="AC227" s="414"/>
    </row>
    <row r="228" spans="1:29" x14ac:dyDescent="0.25">
      <c r="A228" s="370">
        <v>5759</v>
      </c>
      <c r="B228" s="354" t="s">
        <v>218</v>
      </c>
      <c r="C228" s="34">
        <v>321885.46999999997</v>
      </c>
      <c r="D228" s="34">
        <v>43740.82</v>
      </c>
      <c r="E228" s="380"/>
      <c r="F228" s="355"/>
      <c r="G228" s="425">
        <f>VLOOKUP(A228,'[1]Tableau (2)'!$A:$E,3,FALSE)</f>
        <v>499.49278836706617</v>
      </c>
      <c r="H228" s="425">
        <f>VLOOKUP(A228,'[1]Tableau (2)'!$A:$E,4,FALSE)</f>
        <v>116.4</v>
      </c>
      <c r="I228" s="425">
        <f>VLOOKUP(A228,'[2]Tableau (2)'!$A$4:$D$312,4,FALSE)</f>
        <v>327.25</v>
      </c>
      <c r="J228" s="380"/>
      <c r="K228" s="357">
        <v>2377.8200000000002</v>
      </c>
      <c r="L228" s="355">
        <v>242.95</v>
      </c>
      <c r="M228" s="357">
        <v>25806.7</v>
      </c>
      <c r="N228" s="358">
        <f t="shared" si="6"/>
        <v>394996.90278836712</v>
      </c>
      <c r="O228" s="34">
        <v>1371.65</v>
      </c>
      <c r="P228" s="34"/>
      <c r="Q228" s="34">
        <v>15840</v>
      </c>
      <c r="R228" s="34"/>
      <c r="S228" s="34">
        <v>22357.9</v>
      </c>
      <c r="T228" s="359">
        <f t="shared" si="7"/>
        <v>434566.45278836717</v>
      </c>
      <c r="U228" s="17">
        <v>81</v>
      </c>
      <c r="V228" s="32">
        <v>210</v>
      </c>
      <c r="W228" s="376">
        <v>-11828.77</v>
      </c>
      <c r="X228" s="34"/>
      <c r="Y228" s="34">
        <v>-30.22</v>
      </c>
      <c r="Z228" s="34">
        <v>1</v>
      </c>
      <c r="AB228" s="414"/>
      <c r="AC228" s="414"/>
    </row>
    <row r="229" spans="1:29" x14ac:dyDescent="0.25">
      <c r="A229" s="370">
        <v>5760</v>
      </c>
      <c r="B229" s="354" t="s">
        <v>219</v>
      </c>
      <c r="C229" s="34">
        <v>719833.4</v>
      </c>
      <c r="D229" s="34">
        <v>63020.09</v>
      </c>
      <c r="E229" s="380"/>
      <c r="F229" s="355">
        <v>2310</v>
      </c>
      <c r="G229" s="425">
        <f>VLOOKUP(A229,'[1]Tableau (2)'!$A:$E,3,FALSE)</f>
        <v>4788.4493279022399</v>
      </c>
      <c r="H229" s="425">
        <f>VLOOKUP(A229,'[1]Tableau (2)'!$A:$E,4,FALSE)</f>
        <v>1575.8000000000002</v>
      </c>
      <c r="I229" s="425">
        <f>VLOOKUP(A229,'[2]Tableau (2)'!$A$4:$D$312,4,FALSE)</f>
        <v>1736.95</v>
      </c>
      <c r="J229" s="380"/>
      <c r="K229" s="357">
        <v>172.7</v>
      </c>
      <c r="L229" s="355"/>
      <c r="M229" s="357">
        <v>96190.65</v>
      </c>
      <c r="N229" s="358">
        <f t="shared" si="6"/>
        <v>889628.03932790225</v>
      </c>
      <c r="O229" s="34">
        <v>13876.8</v>
      </c>
      <c r="P229" s="34"/>
      <c r="Q229" s="34">
        <v>15840</v>
      </c>
      <c r="R229" s="34">
        <v>577.46</v>
      </c>
      <c r="S229" s="34">
        <v>22330.2</v>
      </c>
      <c r="T229" s="359">
        <f t="shared" si="7"/>
        <v>942252.49932790222</v>
      </c>
      <c r="U229" s="17">
        <v>78</v>
      </c>
      <c r="V229" s="32">
        <v>485</v>
      </c>
      <c r="W229" s="376">
        <v>-44141.71</v>
      </c>
      <c r="X229" s="34"/>
      <c r="Y229" s="34">
        <v>-637.04</v>
      </c>
      <c r="Z229" s="34">
        <v>1.5</v>
      </c>
      <c r="AB229" s="414"/>
      <c r="AC229" s="414"/>
    </row>
    <row r="230" spans="1:29" x14ac:dyDescent="0.25">
      <c r="A230" s="370">
        <v>5761</v>
      </c>
      <c r="B230" s="354" t="s">
        <v>135</v>
      </c>
      <c r="C230" s="34">
        <v>847725.31</v>
      </c>
      <c r="D230" s="34">
        <v>105781.02</v>
      </c>
      <c r="E230" s="380"/>
      <c r="F230" s="355"/>
      <c r="G230" s="425">
        <f>VLOOKUP(A230,'[1]Tableau (2)'!$A:$E,3,FALSE)</f>
        <v>6856.4940501043839</v>
      </c>
      <c r="H230" s="425">
        <f>VLOOKUP(A230,'[1]Tableau (2)'!$A:$E,4,FALSE)</f>
        <v>616.5</v>
      </c>
      <c r="I230" s="425">
        <f>VLOOKUP(A230,'[2]Tableau (2)'!$A$4:$D$312,4,FALSE)</f>
        <v>2525.4499999999998</v>
      </c>
      <c r="J230" s="380"/>
      <c r="K230" s="357">
        <v>6284.36</v>
      </c>
      <c r="L230" s="355">
        <v>3477.55</v>
      </c>
      <c r="M230" s="357">
        <v>83424.45</v>
      </c>
      <c r="N230" s="358">
        <f t="shared" si="6"/>
        <v>1056691.1340501045</v>
      </c>
      <c r="O230" s="34">
        <v>49055</v>
      </c>
      <c r="P230" s="34">
        <v>15866.2</v>
      </c>
      <c r="Q230" s="34">
        <v>50973.75</v>
      </c>
      <c r="R230" s="34">
        <v>1745.7</v>
      </c>
      <c r="S230" s="34">
        <v>20098.8</v>
      </c>
      <c r="T230" s="359">
        <f t="shared" si="7"/>
        <v>1194430.5840501045</v>
      </c>
      <c r="U230" s="17">
        <v>81</v>
      </c>
      <c r="V230" s="32">
        <v>551</v>
      </c>
      <c r="W230" s="376">
        <v>-11989.97</v>
      </c>
      <c r="X230" s="34"/>
      <c r="Y230" s="34">
        <v>-0.01</v>
      </c>
      <c r="Z230" s="34">
        <v>1.1000000000000001</v>
      </c>
      <c r="AB230" s="414"/>
      <c r="AC230" s="414"/>
    </row>
    <row r="231" spans="1:29" x14ac:dyDescent="0.25">
      <c r="A231" s="370">
        <v>5762</v>
      </c>
      <c r="B231" s="354" t="s">
        <v>136</v>
      </c>
      <c r="C231" s="34">
        <v>265214.59000000003</v>
      </c>
      <c r="D231" s="34">
        <v>24928.63</v>
      </c>
      <c r="E231" s="380"/>
      <c r="F231" s="355"/>
      <c r="G231" s="425">
        <f>VLOOKUP(A231,'[1]Tableau (2)'!$A:$E,3,FALSE)</f>
        <v>5998.3582484725048</v>
      </c>
      <c r="H231" s="425">
        <f>VLOOKUP(A231,'[1]Tableau (2)'!$A:$E,4,FALSE)</f>
        <v>152.59999999999997</v>
      </c>
      <c r="I231" s="425">
        <f>VLOOKUP(A231,'[2]Tableau (2)'!$A$4:$D$312,4,FALSE)</f>
        <v>2879.6</v>
      </c>
      <c r="J231" s="380"/>
      <c r="K231" s="357">
        <v>-3687.24</v>
      </c>
      <c r="L231" s="355"/>
      <c r="M231" s="357">
        <v>18643.2</v>
      </c>
      <c r="N231" s="358">
        <f t="shared" si="6"/>
        <v>314129.73824847251</v>
      </c>
      <c r="O231" s="34">
        <v>9127.7000000000007</v>
      </c>
      <c r="P231" s="34">
        <v>922.5</v>
      </c>
      <c r="Q231" s="34"/>
      <c r="R231" s="34"/>
      <c r="S231" s="34"/>
      <c r="T231" s="359">
        <f t="shared" si="7"/>
        <v>324179.93824847252</v>
      </c>
      <c r="U231" s="17">
        <v>78</v>
      </c>
      <c r="V231" s="32">
        <v>137</v>
      </c>
      <c r="W231" s="376">
        <v>-3249.89</v>
      </c>
      <c r="X231" s="34"/>
      <c r="Y231" s="34">
        <v>0</v>
      </c>
      <c r="Z231" s="34">
        <v>1</v>
      </c>
      <c r="AB231" s="414"/>
      <c r="AC231" s="414"/>
    </row>
    <row r="232" spans="1:29" x14ac:dyDescent="0.25">
      <c r="A232" s="370">
        <v>5763</v>
      </c>
      <c r="B232" s="354" t="s">
        <v>137</v>
      </c>
      <c r="C232" s="34">
        <v>1057527.82</v>
      </c>
      <c r="D232" s="34">
        <v>142778.92000000001</v>
      </c>
      <c r="E232" s="380"/>
      <c r="F232" s="355">
        <v>3420</v>
      </c>
      <c r="G232" s="425">
        <f>VLOOKUP(A232,'[1]Tableau (2)'!$A:$E,3,FALSE)</f>
        <v>-1313.5558545454544</v>
      </c>
      <c r="H232" s="425">
        <f>VLOOKUP(A232,'[1]Tableau (2)'!$A:$E,4,FALSE)</f>
        <v>570</v>
      </c>
      <c r="I232" s="425">
        <f>VLOOKUP(A232,'[2]Tableau (2)'!$A$4:$D$312,4,FALSE)</f>
        <v>2241.4499999999998</v>
      </c>
      <c r="J232" s="380"/>
      <c r="K232" s="357">
        <v>20690.38</v>
      </c>
      <c r="L232" s="355">
        <v>3484.35</v>
      </c>
      <c r="M232" s="357">
        <v>82484.2</v>
      </c>
      <c r="N232" s="358">
        <f t="shared" si="6"/>
        <v>1311883.5641454544</v>
      </c>
      <c r="O232" s="34">
        <v>64422.35</v>
      </c>
      <c r="P232" s="34"/>
      <c r="Q232" s="34">
        <v>20077.75</v>
      </c>
      <c r="R232" s="34">
        <v>1462.6</v>
      </c>
      <c r="S232" s="34">
        <v>18042.099999999999</v>
      </c>
      <c r="T232" s="359">
        <f t="shared" si="7"/>
        <v>1415888.3641454547</v>
      </c>
      <c r="U232" s="17">
        <v>65</v>
      </c>
      <c r="V232" s="32">
        <v>631</v>
      </c>
      <c r="W232" s="376">
        <v>-5783.68</v>
      </c>
      <c r="X232" s="34"/>
      <c r="Y232" s="34">
        <v>-99.31</v>
      </c>
      <c r="Z232" s="34">
        <v>1</v>
      </c>
      <c r="AB232" s="414"/>
      <c r="AC232" s="414"/>
    </row>
    <row r="233" spans="1:29" x14ac:dyDescent="0.25">
      <c r="A233" s="370">
        <v>5764</v>
      </c>
      <c r="B233" s="354" t="s">
        <v>337</v>
      </c>
      <c r="C233" s="34">
        <v>4671044.29</v>
      </c>
      <c r="D233" s="34">
        <v>379655.13</v>
      </c>
      <c r="E233" s="380"/>
      <c r="F233" s="355"/>
      <c r="G233" s="425">
        <f>VLOOKUP(A233,'[1]Tableau (2)'!$A:$E,3,FALSE)</f>
        <v>226506.73301927192</v>
      </c>
      <c r="H233" s="425">
        <f>VLOOKUP(A233,'[1]Tableau (2)'!$A:$E,4,FALSE)</f>
        <v>51753.749999999985</v>
      </c>
      <c r="I233" s="425">
        <f>VLOOKUP(A233,'[2]Tableau (2)'!$A$4:$D$312,4,FALSE)</f>
        <v>94309.4</v>
      </c>
      <c r="J233" s="380"/>
      <c r="K233" s="357">
        <v>253550.03</v>
      </c>
      <c r="L233" s="355">
        <v>16142.75</v>
      </c>
      <c r="M233" s="357">
        <v>412807.6</v>
      </c>
      <c r="N233" s="358">
        <f t="shared" si="6"/>
        <v>6105769.6830192721</v>
      </c>
      <c r="O233" s="34">
        <v>2031379.6</v>
      </c>
      <c r="P233" s="34">
        <v>22688.799999999999</v>
      </c>
      <c r="Q233" s="34">
        <v>230419.3</v>
      </c>
      <c r="R233" s="34">
        <v>29098.83</v>
      </c>
      <c r="S233" s="34">
        <v>90429</v>
      </c>
      <c r="T233" s="359">
        <f t="shared" si="7"/>
        <v>8509785.2130192723</v>
      </c>
      <c r="U233" s="17">
        <v>73</v>
      </c>
      <c r="V233" s="32">
        <v>3851</v>
      </c>
      <c r="W233" s="376">
        <v>-204440.24</v>
      </c>
      <c r="X233" s="34"/>
      <c r="Y233" s="34">
        <v>-312.85000000000002</v>
      </c>
      <c r="Z233" s="34">
        <v>1</v>
      </c>
      <c r="AB233" s="414"/>
      <c r="AC233" s="414"/>
    </row>
    <row r="234" spans="1:29" x14ac:dyDescent="0.25">
      <c r="A234" s="370">
        <v>5765</v>
      </c>
      <c r="B234" s="354" t="s">
        <v>338</v>
      </c>
      <c r="C234" s="34">
        <v>631028.18000000005</v>
      </c>
      <c r="D234" s="34">
        <v>82212.62</v>
      </c>
      <c r="E234" s="380"/>
      <c r="F234" s="355"/>
      <c r="G234" s="425">
        <f>VLOOKUP(A234,'[1]Tableau (2)'!$A:$E,3,FALSE)</f>
        <v>3134.8114560817448</v>
      </c>
      <c r="H234" s="425">
        <f>VLOOKUP(A234,'[1]Tableau (2)'!$A:$E,4,FALSE)</f>
        <v>880.4000000000002</v>
      </c>
      <c r="I234" s="425">
        <f>VLOOKUP(A234,'[2]Tableau (2)'!$A$4:$D$312,4,FALSE)</f>
        <v>1891.7</v>
      </c>
      <c r="J234" s="380"/>
      <c r="K234" s="357">
        <v>13489.22</v>
      </c>
      <c r="L234" s="355"/>
      <c r="M234" s="357">
        <v>28566.799999999999</v>
      </c>
      <c r="N234" s="358">
        <f t="shared" si="6"/>
        <v>761203.73145608173</v>
      </c>
      <c r="O234" s="34">
        <v>40966.35</v>
      </c>
      <c r="P234" s="34">
        <v>848.7</v>
      </c>
      <c r="Q234" s="34">
        <v>14927.35</v>
      </c>
      <c r="R234" s="34">
        <v>2219.75</v>
      </c>
      <c r="S234" s="34">
        <v>7700</v>
      </c>
      <c r="T234" s="359">
        <f t="shared" si="7"/>
        <v>827865.88145608164</v>
      </c>
      <c r="U234" s="17">
        <v>81</v>
      </c>
      <c r="V234" s="32">
        <v>482</v>
      </c>
      <c r="W234" s="376">
        <v>-16805.04</v>
      </c>
      <c r="X234" s="34"/>
      <c r="Y234" s="34">
        <v>-0.05</v>
      </c>
      <c r="Z234" s="34">
        <v>0.5</v>
      </c>
      <c r="AB234" s="414"/>
      <c r="AC234" s="414"/>
    </row>
    <row r="235" spans="1:29" x14ac:dyDescent="0.25">
      <c r="A235" s="370">
        <v>5766</v>
      </c>
      <c r="B235" s="354" t="s">
        <v>339</v>
      </c>
      <c r="C235" s="34">
        <v>757023.26</v>
      </c>
      <c r="D235" s="34">
        <v>140934.99</v>
      </c>
      <c r="E235" s="380"/>
      <c r="F235" s="355"/>
      <c r="G235" s="425">
        <f>VLOOKUP(A235,'[1]Tableau (2)'!$A:$E,3,FALSE)</f>
        <v>12741.219216494846</v>
      </c>
      <c r="H235" s="425">
        <f>VLOOKUP(A235,'[1]Tableau (2)'!$A:$E,4,FALSE)</f>
        <v>383.6</v>
      </c>
      <c r="I235" s="425">
        <f>VLOOKUP(A235,'[2]Tableau (2)'!$A$4:$D$312,4,FALSE)</f>
        <v>3086.75</v>
      </c>
      <c r="J235" s="380"/>
      <c r="K235" s="357">
        <v>19724.080000000002</v>
      </c>
      <c r="L235" s="355">
        <v>3610.65</v>
      </c>
      <c r="M235" s="357">
        <v>49738.85</v>
      </c>
      <c r="N235" s="358">
        <f t="shared" si="6"/>
        <v>987243.39921649476</v>
      </c>
      <c r="O235" s="34">
        <v>19131.75</v>
      </c>
      <c r="P235" s="34"/>
      <c r="Q235" s="34">
        <v>23797.4</v>
      </c>
      <c r="R235" s="34">
        <v>5264.03</v>
      </c>
      <c r="S235" s="34">
        <v>56136.95</v>
      </c>
      <c r="T235" s="359">
        <f t="shared" si="7"/>
        <v>1091573.5292164949</v>
      </c>
      <c r="U235" s="17">
        <v>77</v>
      </c>
      <c r="V235" s="32">
        <v>574</v>
      </c>
      <c r="W235" s="376">
        <v>-20970.79</v>
      </c>
      <c r="X235" s="34"/>
      <c r="Y235" s="34">
        <v>-30.57</v>
      </c>
      <c r="Z235" s="34">
        <v>0.7</v>
      </c>
      <c r="AB235" s="414"/>
      <c r="AC235" s="414"/>
    </row>
    <row r="236" spans="1:29" x14ac:dyDescent="0.25">
      <c r="A236" s="370">
        <v>5785</v>
      </c>
      <c r="B236" s="354" t="s">
        <v>279</v>
      </c>
      <c r="C236" s="34">
        <v>889206.62</v>
      </c>
      <c r="D236" s="34">
        <v>223215.27</v>
      </c>
      <c r="E236" s="380"/>
      <c r="F236" s="355"/>
      <c r="G236" s="425">
        <f>VLOOKUP(A236,'[1]Tableau (2)'!$A:$E,3,FALSE)</f>
        <v>-9390.4416701030932</v>
      </c>
      <c r="H236" s="425">
        <f>VLOOKUP(A236,'[1]Tableau (2)'!$A:$E,4,FALSE)</f>
        <v>747.9</v>
      </c>
      <c r="I236" s="425">
        <f>VLOOKUP(A236,'[2]Tableau (2)'!$A$4:$D$312,4,FALSE)</f>
        <v>4307.2</v>
      </c>
      <c r="J236" s="380"/>
      <c r="K236" s="357">
        <v>16310.88</v>
      </c>
      <c r="L236" s="355">
        <v>845.6</v>
      </c>
      <c r="M236" s="357">
        <v>66389</v>
      </c>
      <c r="N236" s="358">
        <f t="shared" si="6"/>
        <v>1191632.0283298967</v>
      </c>
      <c r="O236" s="34"/>
      <c r="P236" s="34">
        <v>645.4</v>
      </c>
      <c r="Q236" s="34">
        <v>47043.7</v>
      </c>
      <c r="R236" s="34"/>
      <c r="S236" s="34">
        <v>23683.35</v>
      </c>
      <c r="T236" s="359">
        <f t="shared" si="7"/>
        <v>1263004.4783298967</v>
      </c>
      <c r="U236" s="17">
        <v>77</v>
      </c>
      <c r="V236" s="32">
        <v>460</v>
      </c>
      <c r="W236" s="376">
        <v>-129.91</v>
      </c>
      <c r="X236" s="34"/>
      <c r="Y236" s="34">
        <v>-296.14</v>
      </c>
      <c r="Z236" s="34">
        <v>1</v>
      </c>
      <c r="AB236" s="414"/>
      <c r="AC236" s="414"/>
    </row>
    <row r="237" spans="1:29" x14ac:dyDescent="0.25">
      <c r="A237" s="370">
        <v>5788</v>
      </c>
      <c r="B237" s="354" t="s">
        <v>280</v>
      </c>
      <c r="C237" s="34">
        <v>677926.93</v>
      </c>
      <c r="D237" s="34">
        <v>98431.55</v>
      </c>
      <c r="E237" s="380"/>
      <c r="F237" s="355"/>
      <c r="G237" s="425">
        <f>VLOOKUP(A237,'[1]Tableau (2)'!$A:$E,3,FALSE)</f>
        <v>3033.6682567597268</v>
      </c>
      <c r="H237" s="425">
        <f>VLOOKUP(A237,'[1]Tableau (2)'!$A:$E,4,FALSE)</f>
        <v>40.9</v>
      </c>
      <c r="I237" s="425">
        <f>VLOOKUP(A237,'[2]Tableau (2)'!$A$4:$D$312,4,FALSE)</f>
        <v>1979.75</v>
      </c>
      <c r="J237" s="380"/>
      <c r="K237" s="357">
        <v>21628.84</v>
      </c>
      <c r="L237" s="355">
        <v>949.5</v>
      </c>
      <c r="M237" s="357">
        <v>70013.649999999994</v>
      </c>
      <c r="N237" s="358">
        <f t="shared" si="6"/>
        <v>874004.78825675987</v>
      </c>
      <c r="O237" s="34"/>
      <c r="P237" s="34"/>
      <c r="Q237" s="34">
        <v>97923.95</v>
      </c>
      <c r="R237" s="34">
        <v>14313</v>
      </c>
      <c r="S237" s="34">
        <v>25714.65</v>
      </c>
      <c r="T237" s="359">
        <f t="shared" si="7"/>
        <v>1011956.3882567598</v>
      </c>
      <c r="U237" s="17">
        <v>72</v>
      </c>
      <c r="V237" s="32">
        <v>346</v>
      </c>
      <c r="W237" s="376">
        <v>-43548.98</v>
      </c>
      <c r="X237" s="34"/>
      <c r="Y237" s="34">
        <v>-10.38</v>
      </c>
      <c r="Z237" s="34">
        <v>1.25</v>
      </c>
      <c r="AB237" s="414"/>
      <c r="AC237" s="414"/>
    </row>
    <row r="238" spans="1:29" x14ac:dyDescent="0.25">
      <c r="A238" s="370">
        <v>5790</v>
      </c>
      <c r="B238" s="354" t="s">
        <v>281</v>
      </c>
      <c r="C238" s="34">
        <v>729069.51</v>
      </c>
      <c r="D238" s="34">
        <v>102530.64</v>
      </c>
      <c r="E238" s="380"/>
      <c r="F238" s="355"/>
      <c r="G238" s="425">
        <f>VLOOKUP(A238,'[1]Tableau (2)'!$A:$E,3,FALSE)</f>
        <v>1235.3670563674323</v>
      </c>
      <c r="H238" s="425">
        <f>VLOOKUP(A238,'[1]Tableau (2)'!$A:$E,4,FALSE)</f>
        <v>1118.8</v>
      </c>
      <c r="I238" s="425">
        <f>VLOOKUP(A238,'[2]Tableau (2)'!$A$4:$D$312,4,FALSE)</f>
        <v>572.20000000000005</v>
      </c>
      <c r="J238" s="380"/>
      <c r="K238" s="357">
        <v>18411.830000000002</v>
      </c>
      <c r="L238" s="355">
        <v>2173.5</v>
      </c>
      <c r="M238" s="357">
        <v>72565.45</v>
      </c>
      <c r="N238" s="358">
        <f t="shared" si="6"/>
        <v>927677.29705636739</v>
      </c>
      <c r="O238" s="34">
        <v>4176.3500000000004</v>
      </c>
      <c r="P238" s="34"/>
      <c r="Q238" s="34">
        <v>34405.949999999997</v>
      </c>
      <c r="R238" s="34"/>
      <c r="S238" s="34">
        <v>74480.3</v>
      </c>
      <c r="T238" s="359">
        <f t="shared" si="7"/>
        <v>1040739.8970563674</v>
      </c>
      <c r="U238" s="17">
        <v>76</v>
      </c>
      <c r="V238" s="32">
        <v>477</v>
      </c>
      <c r="W238" s="376">
        <v>-7657.33</v>
      </c>
      <c r="X238" s="34"/>
      <c r="Y238" s="34">
        <v>-100.57</v>
      </c>
      <c r="Z238" s="34">
        <v>1</v>
      </c>
      <c r="AB238" s="414"/>
      <c r="AC238" s="414"/>
    </row>
    <row r="239" spans="1:29" x14ac:dyDescent="0.25">
      <c r="A239" s="370">
        <v>5792</v>
      </c>
      <c r="B239" s="354" t="s">
        <v>282</v>
      </c>
      <c r="C239" s="34">
        <v>1075209.6200000001</v>
      </c>
      <c r="D239" s="34">
        <v>120287.72</v>
      </c>
      <c r="E239" s="380"/>
      <c r="F239" s="355"/>
      <c r="G239" s="425">
        <f>VLOOKUP(A239,'[1]Tableau (2)'!$A:$E,3,FALSE)</f>
        <v>12376.137587628866</v>
      </c>
      <c r="H239" s="425">
        <f>VLOOKUP(A239,'[1]Tableau (2)'!$A:$E,4,FALSE)</f>
        <v>1648.2</v>
      </c>
      <c r="I239" s="425">
        <f>VLOOKUP(A239,'[2]Tableau (2)'!$A$4:$D$312,4,FALSE)</f>
        <v>3735.65</v>
      </c>
      <c r="J239" s="380"/>
      <c r="K239" s="357">
        <v>39894.949999999997</v>
      </c>
      <c r="L239" s="355">
        <v>-3647.2</v>
      </c>
      <c r="M239" s="357">
        <v>106648.25</v>
      </c>
      <c r="N239" s="358">
        <f t="shared" si="6"/>
        <v>1356153.3275876287</v>
      </c>
      <c r="O239" s="34"/>
      <c r="P239" s="34"/>
      <c r="Q239" s="34">
        <v>87030.3</v>
      </c>
      <c r="R239" s="34">
        <v>18090.75</v>
      </c>
      <c r="S239" s="34">
        <v>35235.949999999997</v>
      </c>
      <c r="T239" s="359">
        <f t="shared" si="7"/>
        <v>1496510.3275876287</v>
      </c>
      <c r="U239" s="17">
        <v>77</v>
      </c>
      <c r="V239" s="32">
        <v>648</v>
      </c>
      <c r="W239" s="376">
        <v>-35201.4</v>
      </c>
      <c r="X239" s="34"/>
      <c r="Y239" s="34">
        <v>-18.239999999999998</v>
      </c>
      <c r="Z239" s="34">
        <v>1</v>
      </c>
      <c r="AB239" s="414"/>
      <c r="AC239" s="414"/>
    </row>
    <row r="240" spans="1:29" x14ac:dyDescent="0.25">
      <c r="A240" s="370">
        <v>5798</v>
      </c>
      <c r="B240" s="354" t="s">
        <v>283</v>
      </c>
      <c r="C240" s="34">
        <v>864936.55</v>
      </c>
      <c r="D240" s="34">
        <v>117206.1</v>
      </c>
      <c r="E240" s="380"/>
      <c r="F240" s="355"/>
      <c r="G240" s="425">
        <f>VLOOKUP(A240,'[1]Tableau (2)'!$A:$E,3,FALSE)</f>
        <v>10209.748155737707</v>
      </c>
      <c r="H240" s="425">
        <f>VLOOKUP(A240,'[1]Tableau (2)'!$A:$E,4,FALSE)</f>
        <v>3334</v>
      </c>
      <c r="I240" s="425">
        <f>VLOOKUP(A240,'[2]Tableau (2)'!$A$4:$D$312,4,FALSE)</f>
        <v>2550.1</v>
      </c>
      <c r="J240" s="380"/>
      <c r="K240" s="357">
        <v>24651.54</v>
      </c>
      <c r="L240" s="355">
        <v>-135.5</v>
      </c>
      <c r="M240" s="360">
        <v>34465.65</v>
      </c>
      <c r="N240" s="358">
        <f t="shared" si="6"/>
        <v>1057218.1881557377</v>
      </c>
      <c r="O240" s="34"/>
      <c r="P240" s="34">
        <v>4856.8999999999996</v>
      </c>
      <c r="Q240" s="34">
        <v>63061.85</v>
      </c>
      <c r="R240" s="34"/>
      <c r="S240" s="34">
        <v>38274.5</v>
      </c>
      <c r="T240" s="359">
        <f t="shared" si="7"/>
        <v>1163411.4381557377</v>
      </c>
      <c r="U240" s="17">
        <v>77.5</v>
      </c>
      <c r="V240" s="32">
        <v>450</v>
      </c>
      <c r="W240" s="376">
        <v>-7045.93</v>
      </c>
      <c r="X240" s="34"/>
      <c r="Y240" s="34">
        <v>-241.96</v>
      </c>
      <c r="Z240" s="34">
        <v>0.5</v>
      </c>
      <c r="AB240" s="414"/>
      <c r="AC240" s="414"/>
    </row>
    <row r="241" spans="1:29" x14ac:dyDescent="0.25">
      <c r="A241" s="370">
        <v>5799</v>
      </c>
      <c r="B241" s="354" t="s">
        <v>284</v>
      </c>
      <c r="C241" s="34">
        <v>3648728.69</v>
      </c>
      <c r="D241" s="34">
        <v>471558.11</v>
      </c>
      <c r="E241" s="380"/>
      <c r="F241" s="355"/>
      <c r="G241" s="425">
        <f>VLOOKUP(A241,'[1]Tableau (2)'!$A:$E,3,FALSE)</f>
        <v>37080.824175824171</v>
      </c>
      <c r="H241" s="425">
        <f>VLOOKUP(A241,'[1]Tableau (2)'!$A:$E,4,FALSE)</f>
        <v>3701.6</v>
      </c>
      <c r="I241" s="425">
        <f>VLOOKUP(A241,'[2]Tableau (2)'!$A$4:$D$312,4,FALSE)</f>
        <v>9545.25</v>
      </c>
      <c r="J241" s="380"/>
      <c r="K241" s="357">
        <v>29480.5</v>
      </c>
      <c r="L241" s="355">
        <v>6260.75</v>
      </c>
      <c r="M241" s="357">
        <v>344121.4</v>
      </c>
      <c r="N241" s="358">
        <f t="shared" si="6"/>
        <v>4550477.1241758242</v>
      </c>
      <c r="O241" s="34">
        <v>18141.150000000001</v>
      </c>
      <c r="P241" s="34"/>
      <c r="Q241" s="34">
        <v>123826.7</v>
      </c>
      <c r="R241" s="34">
        <v>1818.48</v>
      </c>
      <c r="S241" s="34">
        <v>112519.95</v>
      </c>
      <c r="T241" s="359">
        <f t="shared" si="7"/>
        <v>4806783.4041758254</v>
      </c>
      <c r="U241" s="17">
        <v>69</v>
      </c>
      <c r="V241" s="32">
        <v>1904</v>
      </c>
      <c r="W241" s="376">
        <v>-49287.6</v>
      </c>
      <c r="X241" s="34"/>
      <c r="Y241" s="34">
        <v>-63.68</v>
      </c>
      <c r="Z241" s="34">
        <v>1</v>
      </c>
      <c r="AB241" s="414"/>
      <c r="AC241" s="414"/>
    </row>
    <row r="242" spans="1:29" x14ac:dyDescent="0.25">
      <c r="A242" s="370">
        <v>5803</v>
      </c>
      <c r="B242" s="354" t="s">
        <v>386</v>
      </c>
      <c r="C242" s="34">
        <v>997012.54</v>
      </c>
      <c r="D242" s="34">
        <v>112228.6</v>
      </c>
      <c r="E242" s="380"/>
      <c r="F242" s="355"/>
      <c r="G242" s="425">
        <f>VLOOKUP(A242,'[1]Tableau (2)'!$A:$E,3,FALSE)</f>
        <v>10561.997107942974</v>
      </c>
      <c r="H242" s="425">
        <f>VLOOKUP(A242,'[1]Tableau (2)'!$A:$E,4,FALSE)</f>
        <v>374.3</v>
      </c>
      <c r="I242" s="425">
        <f>VLOOKUP(A242,'[2]Tableau (2)'!$A$4:$D$312,4,FALSE)</f>
        <v>2520.1999999999998</v>
      </c>
      <c r="J242" s="380"/>
      <c r="K242" s="357">
        <v>15472.17</v>
      </c>
      <c r="L242" s="355"/>
      <c r="M242" s="357">
        <v>81214.649999999994</v>
      </c>
      <c r="N242" s="358">
        <f t="shared" si="6"/>
        <v>1219384.457107943</v>
      </c>
      <c r="O242" s="34"/>
      <c r="P242" s="34">
        <v>10915.2</v>
      </c>
      <c r="Q242" s="34">
        <v>41720.85</v>
      </c>
      <c r="R242" s="34">
        <v>2394.15</v>
      </c>
      <c r="S242" s="34">
        <v>35989.65</v>
      </c>
      <c r="T242" s="359">
        <f t="shared" si="7"/>
        <v>1310404.3071079429</v>
      </c>
      <c r="U242" s="17">
        <v>78</v>
      </c>
      <c r="V242" s="32">
        <v>515</v>
      </c>
      <c r="W242" s="376">
        <v>-11429.48</v>
      </c>
      <c r="X242" s="34"/>
      <c r="Y242" s="34">
        <v>-33.19</v>
      </c>
      <c r="Z242" s="34">
        <v>1</v>
      </c>
      <c r="AB242" s="414"/>
      <c r="AC242" s="414"/>
    </row>
    <row r="243" spans="1:29" x14ac:dyDescent="0.25">
      <c r="A243" s="370">
        <v>5804</v>
      </c>
      <c r="B243" s="354" t="s">
        <v>433</v>
      </c>
      <c r="C243" s="34">
        <v>2694902.84</v>
      </c>
      <c r="D243" s="34">
        <v>338043.65</v>
      </c>
      <c r="E243" s="380"/>
      <c r="F243" s="355"/>
      <c r="G243" s="425">
        <f>VLOOKUP(A243,'[1]Tableau (2)'!$A:$E,3,FALSE)</f>
        <v>8586.3441415695743</v>
      </c>
      <c r="H243" s="425">
        <f>VLOOKUP(A243,'[1]Tableau (2)'!$A:$E,4,FALSE)</f>
        <v>1324.9</v>
      </c>
      <c r="I243" s="425">
        <f>VLOOKUP(A243,'[2]Tableau (2)'!$A$4:$D$312,4,FALSE)</f>
        <v>8910.7000000000007</v>
      </c>
      <c r="J243" s="380"/>
      <c r="K243" s="357">
        <v>87834.28</v>
      </c>
      <c r="L243" s="355">
        <v>3758.75</v>
      </c>
      <c r="M243" s="357">
        <v>251301.05</v>
      </c>
      <c r="N243" s="358">
        <f t="shared" si="6"/>
        <v>3394662.5141415689</v>
      </c>
      <c r="O243" s="34">
        <v>4035.95</v>
      </c>
      <c r="P243" s="34">
        <v>101140.4</v>
      </c>
      <c r="Q243" s="34">
        <v>61436.3</v>
      </c>
      <c r="R243" s="34">
        <v>37920.019999999997</v>
      </c>
      <c r="S243" s="34">
        <v>78689.2</v>
      </c>
      <c r="T243" s="359">
        <f t="shared" si="7"/>
        <v>3677884.384141569</v>
      </c>
      <c r="U243" s="17">
        <v>72</v>
      </c>
      <c r="V243" s="32">
        <v>1532</v>
      </c>
      <c r="W243" s="376">
        <v>-47779.29</v>
      </c>
      <c r="X243" s="34"/>
      <c r="Y243" s="34">
        <v>-40.700000000000003</v>
      </c>
      <c r="Z243" s="34">
        <v>1</v>
      </c>
      <c r="AB243" s="414"/>
      <c r="AC243" s="414"/>
    </row>
    <row r="244" spans="1:29" x14ac:dyDescent="0.25">
      <c r="A244" s="370">
        <v>5805</v>
      </c>
      <c r="B244" s="354" t="s">
        <v>435</v>
      </c>
      <c r="C244" s="34">
        <v>7681294.0999999996</v>
      </c>
      <c r="D244" s="34">
        <v>874426.76</v>
      </c>
      <c r="E244" s="380"/>
      <c r="F244" s="355"/>
      <c r="G244" s="425">
        <f>VLOOKUP(A244,'[1]Tableau (2)'!$A:$E,3,FALSE)</f>
        <v>316353.81270604389</v>
      </c>
      <c r="H244" s="425">
        <f>VLOOKUP(A244,'[1]Tableau (2)'!$A:$E,4,FALSE)</f>
        <v>105191.8</v>
      </c>
      <c r="I244" s="425">
        <f>VLOOKUP(A244,'[2]Tableau (2)'!$A$4:$D$312,4,FALSE)</f>
        <v>116009.35</v>
      </c>
      <c r="J244" s="380"/>
      <c r="K244" s="357">
        <v>240899.77</v>
      </c>
      <c r="L244" s="355">
        <v>40874.1</v>
      </c>
      <c r="M244" s="357">
        <v>946878</v>
      </c>
      <c r="N244" s="358">
        <f t="shared" si="6"/>
        <v>10321927.692706043</v>
      </c>
      <c r="O244" s="34">
        <v>83623.100000000006</v>
      </c>
      <c r="P244" s="34">
        <v>80453.7</v>
      </c>
      <c r="Q244" s="34">
        <v>457879.75</v>
      </c>
      <c r="R244" s="34">
        <v>24293.29</v>
      </c>
      <c r="S244" s="34">
        <v>306814.09999999998</v>
      </c>
      <c r="T244" s="359">
        <f t="shared" si="7"/>
        <v>11274991.632706041</v>
      </c>
      <c r="U244" s="17">
        <v>69</v>
      </c>
      <c r="V244" s="32">
        <v>5463</v>
      </c>
      <c r="W244" s="376">
        <v>-229812.76</v>
      </c>
      <c r="X244" s="34"/>
      <c r="Y244" s="34">
        <v>-2330.09</v>
      </c>
      <c r="Z244" s="34">
        <v>1.1000000000000001</v>
      </c>
      <c r="AB244" s="414"/>
      <c r="AC244" s="414"/>
    </row>
    <row r="245" spans="1:29" x14ac:dyDescent="0.25">
      <c r="A245" s="370">
        <v>5806</v>
      </c>
      <c r="B245" s="354" t="s">
        <v>531</v>
      </c>
      <c r="C245" s="34">
        <v>5182367.2699999996</v>
      </c>
      <c r="D245" s="34">
        <v>560141.78</v>
      </c>
      <c r="E245" s="380"/>
      <c r="F245" s="355"/>
      <c r="G245" s="425">
        <f>VLOOKUP(A245,'[1]Tableau (2)'!$A:$E,3,FALSE)</f>
        <v>107801</v>
      </c>
      <c r="H245" s="425">
        <f>VLOOKUP(A245,'[1]Tableau (2)'!$A:$E,4,FALSE)</f>
        <v>6692.2</v>
      </c>
      <c r="I245" s="425">
        <f>VLOOKUP(A245,'[2]Tableau (2)'!$A$4:$D$312,4,FALSE)</f>
        <v>39052.9</v>
      </c>
      <c r="J245" s="380">
        <v>54947.5</v>
      </c>
      <c r="K245" s="355">
        <v>91214.42</v>
      </c>
      <c r="L245" s="355">
        <v>11950.35</v>
      </c>
      <c r="M245" s="355">
        <v>498136.3</v>
      </c>
      <c r="N245" s="358">
        <f t="shared" si="6"/>
        <v>6552303.7199999997</v>
      </c>
      <c r="O245" s="34">
        <v>22621.9</v>
      </c>
      <c r="P245" s="34">
        <v>27856.3</v>
      </c>
      <c r="Q245" s="34">
        <v>278699.65000000002</v>
      </c>
      <c r="R245" s="34">
        <v>14243.32</v>
      </c>
      <c r="S245" s="34">
        <v>176974.1</v>
      </c>
      <c r="T245" s="359">
        <f t="shared" si="7"/>
        <v>7072698.9900000002</v>
      </c>
      <c r="U245" s="17">
        <v>76</v>
      </c>
      <c r="V245" s="32">
        <v>2850</v>
      </c>
      <c r="W245" s="376">
        <v>-99560.960000000006</v>
      </c>
      <c r="X245" s="34"/>
      <c r="Y245" s="34">
        <v>-326.69</v>
      </c>
      <c r="Z245" s="34">
        <v>1</v>
      </c>
      <c r="AB245" s="414"/>
      <c r="AC245" s="414"/>
    </row>
    <row r="246" spans="1:29" x14ac:dyDescent="0.25">
      <c r="A246" s="370">
        <v>5812</v>
      </c>
      <c r="B246" s="354" t="s">
        <v>387</v>
      </c>
      <c r="C246" s="34">
        <v>164507.35999999999</v>
      </c>
      <c r="D246" s="34">
        <v>10655.67</v>
      </c>
      <c r="E246" s="380"/>
      <c r="F246" s="355"/>
      <c r="G246" s="425">
        <f>VLOOKUP(A246,'[1]Tableau (2)'!$A:$E,3,FALSE)</f>
        <v>271.63364948453614</v>
      </c>
      <c r="H246" s="425">
        <f>VLOOKUP(A246,'[1]Tableau (2)'!$A:$E,4,FALSE)</f>
        <v>469.4</v>
      </c>
      <c r="I246" s="425">
        <f>VLOOKUP(A246,'[2]Tableau (2)'!$A$4:$D$312,4,FALSE)</f>
        <v>160.65</v>
      </c>
      <c r="J246" s="380"/>
      <c r="K246" s="357">
        <v>4.3499999999999996</v>
      </c>
      <c r="L246" s="355">
        <v>613</v>
      </c>
      <c r="M246" s="360">
        <v>12613.7</v>
      </c>
      <c r="N246" s="358">
        <f t="shared" si="6"/>
        <v>189295.76364948455</v>
      </c>
      <c r="O246" s="34"/>
      <c r="P246" s="34"/>
      <c r="Q246" s="34">
        <v>7359</v>
      </c>
      <c r="R246" s="34"/>
      <c r="S246" s="34">
        <v>20000.8</v>
      </c>
      <c r="T246" s="359">
        <f t="shared" si="7"/>
        <v>216655.56364948454</v>
      </c>
      <c r="U246" s="17">
        <v>77</v>
      </c>
      <c r="V246" s="32">
        <v>128</v>
      </c>
      <c r="W246" s="376">
        <v>-6512.51</v>
      </c>
      <c r="X246" s="34"/>
      <c r="Y246" s="34">
        <v>0</v>
      </c>
      <c r="Z246" s="34">
        <v>0.8</v>
      </c>
      <c r="AB246" s="414"/>
      <c r="AC246" s="414"/>
    </row>
    <row r="247" spans="1:29" x14ac:dyDescent="0.25">
      <c r="A247" s="370">
        <v>5813</v>
      </c>
      <c r="B247" s="354" t="s">
        <v>388</v>
      </c>
      <c r="C247" s="34">
        <v>693068.24</v>
      </c>
      <c r="D247" s="34">
        <v>126773.28</v>
      </c>
      <c r="E247" s="380"/>
      <c r="F247" s="355">
        <v>2860</v>
      </c>
      <c r="G247" s="425">
        <f>VLOOKUP(A247,'[1]Tableau (2)'!$A:$E,3,FALSE)</f>
        <v>13799.594173441732</v>
      </c>
      <c r="H247" s="425">
        <f>VLOOKUP(A247,'[1]Tableau (2)'!$A:$E,4,FALSE)</f>
        <v>540.6</v>
      </c>
      <c r="I247" s="425">
        <f>VLOOKUP(A247,'[2]Tableau (2)'!$A$4:$D$312,4,FALSE)</f>
        <v>3032.2</v>
      </c>
      <c r="J247" s="380"/>
      <c r="K247" s="357">
        <v>5666.85</v>
      </c>
      <c r="L247" s="355"/>
      <c r="M247" s="357">
        <v>89722.75</v>
      </c>
      <c r="N247" s="358">
        <f t="shared" si="6"/>
        <v>935463.51417344168</v>
      </c>
      <c r="O247" s="34"/>
      <c r="P247" s="34">
        <v>47168.5</v>
      </c>
      <c r="Q247" s="34">
        <v>56331.15</v>
      </c>
      <c r="R247" s="34">
        <v>23644.78</v>
      </c>
      <c r="S247" s="34">
        <v>52335.45</v>
      </c>
      <c r="T247" s="359">
        <f t="shared" si="7"/>
        <v>1114943.3941734417</v>
      </c>
      <c r="U247" s="17">
        <v>70</v>
      </c>
      <c r="V247" s="32">
        <v>470</v>
      </c>
      <c r="W247" s="376">
        <v>-26203.85</v>
      </c>
      <c r="X247" s="34"/>
      <c r="Y247" s="34">
        <v>-7.65</v>
      </c>
      <c r="Z247" s="34">
        <v>1.2</v>
      </c>
      <c r="AB247" s="414"/>
      <c r="AC247" s="414"/>
    </row>
    <row r="248" spans="1:29" x14ac:dyDescent="0.25">
      <c r="A248" s="370">
        <v>5816</v>
      </c>
      <c r="B248" s="354" t="s">
        <v>6</v>
      </c>
      <c r="C248" s="34">
        <v>3146994.57</v>
      </c>
      <c r="D248" s="34">
        <v>281351.58</v>
      </c>
      <c r="E248" s="380"/>
      <c r="F248" s="355"/>
      <c r="G248" s="425">
        <f>VLOOKUP(A248,'[1]Tableau (2)'!$A:$E,3,FALSE)</f>
        <v>130205.32407122442</v>
      </c>
      <c r="H248" s="425">
        <f>VLOOKUP(A248,'[1]Tableau (2)'!$A:$E,4,FALSE)</f>
        <v>17161.8</v>
      </c>
      <c r="I248" s="425">
        <f>VLOOKUP(A248,'[2]Tableau (2)'!$A$4:$D$312,4,FALSE)</f>
        <v>41412.15</v>
      </c>
      <c r="J248" s="380"/>
      <c r="K248" s="357">
        <v>178054.71</v>
      </c>
      <c r="L248" s="355">
        <v>19333.5</v>
      </c>
      <c r="M248" s="357">
        <v>232411.1</v>
      </c>
      <c r="N248" s="358">
        <f t="shared" si="6"/>
        <v>4046924.734071224</v>
      </c>
      <c r="O248" s="34">
        <v>19098.8</v>
      </c>
      <c r="P248" s="34">
        <v>65734.899999999994</v>
      </c>
      <c r="Q248" s="34">
        <v>138344.45000000001</v>
      </c>
      <c r="R248" s="34">
        <v>2720.71</v>
      </c>
      <c r="S248" s="34">
        <v>101756.4</v>
      </c>
      <c r="T248" s="359">
        <f t="shared" si="7"/>
        <v>4374579.9940712238</v>
      </c>
      <c r="U248" s="17">
        <v>72</v>
      </c>
      <c r="V248" s="32">
        <v>2448</v>
      </c>
      <c r="W248" s="376">
        <v>-82985.820000000007</v>
      </c>
      <c r="X248" s="34"/>
      <c r="Y248" s="34">
        <v>-10.39</v>
      </c>
      <c r="Z248" s="34">
        <v>0.7</v>
      </c>
      <c r="AB248" s="414"/>
      <c r="AC248" s="414"/>
    </row>
    <row r="249" spans="1:29" x14ac:dyDescent="0.25">
      <c r="A249" s="370">
        <v>5817</v>
      </c>
      <c r="B249" s="354" t="s">
        <v>7</v>
      </c>
      <c r="C249" s="34">
        <v>1489058.04</v>
      </c>
      <c r="D249" s="34">
        <v>172206.68</v>
      </c>
      <c r="E249" s="380"/>
      <c r="F249" s="355"/>
      <c r="G249" s="425">
        <f>VLOOKUP(A249,'[1]Tableau (2)'!$A:$E,3,FALSE)</f>
        <v>16106.44476895379</v>
      </c>
      <c r="H249" s="425">
        <f>VLOOKUP(A249,'[1]Tableau (2)'!$A:$E,4,FALSE)</f>
        <v>1224.8</v>
      </c>
      <c r="I249" s="425">
        <f>VLOOKUP(A249,'[2]Tableau (2)'!$A$4:$D$312,4,FALSE)</f>
        <v>5472.85</v>
      </c>
      <c r="J249" s="380"/>
      <c r="K249" s="357">
        <v>25402.91</v>
      </c>
      <c r="L249" s="355">
        <v>2752.95</v>
      </c>
      <c r="M249" s="357">
        <v>110131.8</v>
      </c>
      <c r="N249" s="358">
        <f t="shared" si="6"/>
        <v>1822356.4747689539</v>
      </c>
      <c r="O249" s="34"/>
      <c r="P249" s="34">
        <v>4940</v>
      </c>
      <c r="Q249" s="34">
        <v>50052.9</v>
      </c>
      <c r="R249" s="34">
        <v>34999.15</v>
      </c>
      <c r="S249" s="34">
        <v>71500.600000000006</v>
      </c>
      <c r="T249" s="359">
        <f t="shared" si="7"/>
        <v>1983849.1247689538</v>
      </c>
      <c r="U249" s="17">
        <v>79.5</v>
      </c>
      <c r="V249" s="32">
        <v>890</v>
      </c>
      <c r="W249" s="376">
        <v>-101794.85</v>
      </c>
      <c r="X249" s="34"/>
      <c r="Y249" s="34">
        <v>-0.71</v>
      </c>
      <c r="Z249" s="34">
        <v>1</v>
      </c>
      <c r="AB249" s="414"/>
      <c r="AC249" s="414"/>
    </row>
    <row r="250" spans="1:29" x14ac:dyDescent="0.25">
      <c r="A250" s="370">
        <v>5819</v>
      </c>
      <c r="B250" s="354" t="s">
        <v>8</v>
      </c>
      <c r="C250" s="34">
        <v>535309.27</v>
      </c>
      <c r="D250" s="34">
        <v>164112.35999999999</v>
      </c>
      <c r="E250" s="380"/>
      <c r="F250" s="355"/>
      <c r="G250" s="425">
        <f>VLOOKUP(A250,'[1]Tableau (2)'!$A:$E,3,FALSE)</f>
        <v>108233.24964680952</v>
      </c>
      <c r="H250" s="425">
        <f>VLOOKUP(A250,'[1]Tableau (2)'!$A:$E,4,FALSE)</f>
        <v>8674.7999999999993</v>
      </c>
      <c r="I250" s="425">
        <f>VLOOKUP(A250,'[2]Tableau (2)'!$A$4:$D$312,4,FALSE)</f>
        <v>48233.35</v>
      </c>
      <c r="J250" s="380"/>
      <c r="K250" s="357">
        <v>11537.38</v>
      </c>
      <c r="L250" s="355">
        <v>1849.35</v>
      </c>
      <c r="M250" s="357">
        <v>80845.350000000006</v>
      </c>
      <c r="N250" s="358">
        <f t="shared" si="6"/>
        <v>958795.10964680952</v>
      </c>
      <c r="O250" s="34">
        <v>18163.650000000001</v>
      </c>
      <c r="P250" s="34">
        <v>1532.6</v>
      </c>
      <c r="Q250" s="34">
        <v>18786.5</v>
      </c>
      <c r="R250" s="34">
        <v>2012.25</v>
      </c>
      <c r="S250" s="34">
        <v>39202.35</v>
      </c>
      <c r="T250" s="359">
        <f t="shared" si="7"/>
        <v>1038492.4596468095</v>
      </c>
      <c r="U250" s="17">
        <v>69</v>
      </c>
      <c r="V250" s="32">
        <v>359</v>
      </c>
      <c r="W250" s="376">
        <v>-12381.68</v>
      </c>
      <c r="X250" s="34"/>
      <c r="Y250" s="34">
        <v>-99.16</v>
      </c>
      <c r="Z250" s="34">
        <v>1</v>
      </c>
      <c r="AB250" s="414"/>
      <c r="AC250" s="414"/>
    </row>
    <row r="251" spans="1:29" x14ac:dyDescent="0.25">
      <c r="A251" s="370">
        <v>5821</v>
      </c>
      <c r="B251" s="354" t="s">
        <v>9</v>
      </c>
      <c r="C251" s="34">
        <v>441063.63</v>
      </c>
      <c r="D251" s="34">
        <v>60833.32</v>
      </c>
      <c r="E251" s="380"/>
      <c r="F251" s="355">
        <v>2080</v>
      </c>
      <c r="G251" s="425">
        <f>VLOOKUP(A251,'[1]Tableau (2)'!$A:$E,3,FALSE)</f>
        <v>872.17990767201582</v>
      </c>
      <c r="H251" s="425">
        <f>VLOOKUP(A251,'[1]Tableau (2)'!$A:$E,4,FALSE)</f>
        <v>428.1</v>
      </c>
      <c r="I251" s="425">
        <f>VLOOKUP(A251,'[2]Tableau (2)'!$A$4:$D$312,4,FALSE)</f>
        <v>761.9</v>
      </c>
      <c r="J251" s="380"/>
      <c r="K251" s="357">
        <v>14600.82</v>
      </c>
      <c r="L251" s="355">
        <v>1276.6500000000001</v>
      </c>
      <c r="M251" s="357">
        <v>47399.3</v>
      </c>
      <c r="N251" s="358">
        <f t="shared" si="6"/>
        <v>569315.89990767208</v>
      </c>
      <c r="O251" s="34"/>
      <c r="P251" s="34"/>
      <c r="Q251" s="34">
        <v>9597.5</v>
      </c>
      <c r="R251" s="34"/>
      <c r="S251" s="34">
        <v>3755.25</v>
      </c>
      <c r="T251" s="359">
        <f t="shared" si="7"/>
        <v>582668.64990767208</v>
      </c>
      <c r="U251" s="17">
        <v>72</v>
      </c>
      <c r="V251" s="32">
        <v>352</v>
      </c>
      <c r="W251" s="376">
        <v>-19375.32</v>
      </c>
      <c r="X251" s="34"/>
      <c r="Y251" s="34">
        <v>0</v>
      </c>
      <c r="Z251" s="34">
        <v>1</v>
      </c>
      <c r="AB251" s="414"/>
      <c r="AC251" s="414"/>
    </row>
    <row r="252" spans="1:29" x14ac:dyDescent="0.25">
      <c r="A252" s="370">
        <v>5822</v>
      </c>
      <c r="B252" s="354" t="s">
        <v>10</v>
      </c>
      <c r="C252" s="34">
        <v>13320642.57</v>
      </c>
      <c r="D252" s="34">
        <v>1352783.31</v>
      </c>
      <c r="E252" s="380"/>
      <c r="F252" s="355"/>
      <c r="G252" s="425">
        <f>VLOOKUP(A252,'[1]Tableau (2)'!$A:$E,3,FALSE)</f>
        <v>938060.2954545453</v>
      </c>
      <c r="H252" s="425">
        <f>VLOOKUP(A252,'[1]Tableau (2)'!$A:$E,4,FALSE)</f>
        <v>105261.5</v>
      </c>
      <c r="I252" s="425">
        <f>VLOOKUP(A252,'[2]Tableau (2)'!$A$4:$D$312,4,FALSE)</f>
        <v>308031.95</v>
      </c>
      <c r="J252" s="380"/>
      <c r="K252" s="357">
        <v>693109.76000000001</v>
      </c>
      <c r="L252" s="355">
        <v>166885.15</v>
      </c>
      <c r="M252" s="357">
        <v>1278294</v>
      </c>
      <c r="N252" s="358">
        <f t="shared" si="6"/>
        <v>18163068.535454545</v>
      </c>
      <c r="O252" s="34">
        <v>79488.55</v>
      </c>
      <c r="P252" s="34">
        <v>324837.7</v>
      </c>
      <c r="Q252" s="34">
        <v>652835.30000000005</v>
      </c>
      <c r="R252" s="34">
        <v>181782.73</v>
      </c>
      <c r="S252" s="34">
        <v>398719.65</v>
      </c>
      <c r="T252" s="359">
        <f t="shared" si="7"/>
        <v>19800732.465454545</v>
      </c>
      <c r="U252" s="17">
        <v>75</v>
      </c>
      <c r="V252" s="32">
        <v>9716</v>
      </c>
      <c r="W252" s="376">
        <v>-632928.4</v>
      </c>
      <c r="X252" s="34"/>
      <c r="Y252" s="34">
        <v>-185.05</v>
      </c>
      <c r="Z252" s="34">
        <v>1</v>
      </c>
      <c r="AB252" s="414"/>
      <c r="AC252" s="414"/>
    </row>
    <row r="253" spans="1:29" x14ac:dyDescent="0.25">
      <c r="A253" s="370">
        <v>5827</v>
      </c>
      <c r="B253" s="354" t="s">
        <v>11</v>
      </c>
      <c r="C253" s="34">
        <v>453528.81</v>
      </c>
      <c r="D253" s="34">
        <v>42519.95</v>
      </c>
      <c r="E253" s="380"/>
      <c r="F253" s="355">
        <v>1470</v>
      </c>
      <c r="G253" s="425">
        <f>VLOOKUP(A253,'[1]Tableau (2)'!$A:$E,3,FALSE)</f>
        <v>5914.3154702724196</v>
      </c>
      <c r="H253" s="425">
        <f>VLOOKUP(A253,'[1]Tableau (2)'!$A:$E,4,FALSE)</f>
        <v>755</v>
      </c>
      <c r="I253" s="425">
        <f>VLOOKUP(A253,'[2]Tableau (2)'!$A$4:$D$312,4,FALSE)</f>
        <v>1730.95</v>
      </c>
      <c r="J253" s="380"/>
      <c r="K253" s="357">
        <v>-141.22999999999999</v>
      </c>
      <c r="L253" s="355">
        <v>469.35</v>
      </c>
      <c r="M253" s="357">
        <v>33699.65</v>
      </c>
      <c r="N253" s="358">
        <f t="shared" si="6"/>
        <v>539946.79547027242</v>
      </c>
      <c r="O253" s="34">
        <v>20433.599999999999</v>
      </c>
      <c r="P253" s="34"/>
      <c r="Q253" s="34">
        <v>10809.4</v>
      </c>
      <c r="R253" s="34">
        <v>1985.27</v>
      </c>
      <c r="S253" s="34">
        <v>7486.1</v>
      </c>
      <c r="T253" s="359">
        <f t="shared" si="7"/>
        <v>580661.16547027242</v>
      </c>
      <c r="U253" s="17">
        <v>80</v>
      </c>
      <c r="V253" s="32">
        <v>268</v>
      </c>
      <c r="W253" s="376">
        <v>-6716.17</v>
      </c>
      <c r="X253" s="34"/>
      <c r="Y253" s="34">
        <v>0</v>
      </c>
      <c r="Z253" s="34">
        <v>1</v>
      </c>
      <c r="AB253" s="414"/>
      <c r="AC253" s="414"/>
    </row>
    <row r="254" spans="1:29" x14ac:dyDescent="0.25">
      <c r="A254" s="370">
        <v>5828</v>
      </c>
      <c r="B254" s="354" t="s">
        <v>517</v>
      </c>
      <c r="C254" s="34">
        <v>167917.88</v>
      </c>
      <c r="D254" s="34">
        <v>16913.240000000002</v>
      </c>
      <c r="E254" s="380"/>
      <c r="F254" s="355"/>
      <c r="G254" s="425">
        <f>VLOOKUP(A254,'[1]Tableau (2)'!$A:$E,3,FALSE)</f>
        <v>226.79221568255176</v>
      </c>
      <c r="H254" s="425">
        <f>VLOOKUP(A254,'[1]Tableau (2)'!$A:$E,4,FALSE)</f>
        <v>119.9</v>
      </c>
      <c r="I254" s="425">
        <f>VLOOKUP(A254,'[2]Tableau (2)'!$A$4:$D$312,4,FALSE)</f>
        <v>124</v>
      </c>
      <c r="J254" s="380"/>
      <c r="K254" s="357">
        <v>184.94</v>
      </c>
      <c r="L254" s="355"/>
      <c r="M254" s="357">
        <v>21781.3</v>
      </c>
      <c r="N254" s="358">
        <f t="shared" si="6"/>
        <v>207268.05221568255</v>
      </c>
      <c r="O254" s="34"/>
      <c r="P254" s="34">
        <v>3117.5</v>
      </c>
      <c r="Q254" s="34">
        <v>13181.75</v>
      </c>
      <c r="R254" s="34"/>
      <c r="S254" s="34">
        <v>19729.900000000001</v>
      </c>
      <c r="T254" s="359">
        <f t="shared" si="7"/>
        <v>243297.20221568254</v>
      </c>
      <c r="U254" s="17">
        <v>84</v>
      </c>
      <c r="V254" s="32">
        <v>122</v>
      </c>
      <c r="W254" s="376">
        <v>-8514.61</v>
      </c>
      <c r="X254" s="34"/>
      <c r="Y254" s="34">
        <v>0</v>
      </c>
      <c r="Z254" s="34">
        <v>1.5</v>
      </c>
      <c r="AB254" s="414"/>
      <c r="AC254" s="414"/>
    </row>
    <row r="255" spans="1:29" x14ac:dyDescent="0.25">
      <c r="A255" s="370">
        <v>5830</v>
      </c>
      <c r="B255" s="354" t="s">
        <v>12</v>
      </c>
      <c r="C255" s="34">
        <v>666513.9</v>
      </c>
      <c r="D255" s="34">
        <v>80234.98</v>
      </c>
      <c r="E255" s="380"/>
      <c r="F255" s="355"/>
      <c r="G255" s="425">
        <f>VLOOKUP(A255,'[1]Tableau (2)'!$A:$E,3,FALSE)</f>
        <v>6420.7750855302875</v>
      </c>
      <c r="H255" s="425">
        <f>VLOOKUP(A255,'[1]Tableau (2)'!$A:$E,4,FALSE)</f>
        <v>314.89999999999998</v>
      </c>
      <c r="I255" s="425">
        <f>VLOOKUP(A255,'[2]Tableau (2)'!$A$4:$D$312,4,FALSE)</f>
        <v>1539.5</v>
      </c>
      <c r="J255" s="380"/>
      <c r="K255" s="357">
        <v>18139.03</v>
      </c>
      <c r="L255" s="355">
        <v>1384.7</v>
      </c>
      <c r="M255" s="357">
        <v>54020.85</v>
      </c>
      <c r="N255" s="358">
        <f t="shared" si="6"/>
        <v>828568.63508553023</v>
      </c>
      <c r="O255" s="34"/>
      <c r="P255" s="34"/>
      <c r="Q255" s="34">
        <v>44385</v>
      </c>
      <c r="R255" s="34">
        <v>50.17</v>
      </c>
      <c r="S255" s="34">
        <v>18401</v>
      </c>
      <c r="T255" s="359">
        <f t="shared" si="7"/>
        <v>891404.80508553027</v>
      </c>
      <c r="U255" s="17">
        <v>79</v>
      </c>
      <c r="V255" s="32">
        <v>417</v>
      </c>
      <c r="W255" s="376">
        <v>-3301.08</v>
      </c>
      <c r="X255" s="34"/>
      <c r="Y255" s="34">
        <v>-0.89</v>
      </c>
      <c r="Z255" s="34">
        <v>1</v>
      </c>
      <c r="AB255" s="414"/>
      <c r="AC255" s="414"/>
    </row>
    <row r="256" spans="1:29" x14ac:dyDescent="0.25">
      <c r="A256" s="370">
        <v>5831</v>
      </c>
      <c r="B256" s="354" t="s">
        <v>434</v>
      </c>
      <c r="C256" s="34">
        <v>4453398.46</v>
      </c>
      <c r="D256" s="34">
        <v>649578</v>
      </c>
      <c r="E256" s="380"/>
      <c r="F256" s="355"/>
      <c r="G256" s="425">
        <f>VLOOKUP(A256,'[1]Tableau (2)'!$A:$E,3,FALSE)</f>
        <v>210675.39093078757</v>
      </c>
      <c r="H256" s="425">
        <f>VLOOKUP(A256,'[1]Tableau (2)'!$A:$E,4,FALSE)</f>
        <v>6179.4</v>
      </c>
      <c r="I256" s="425">
        <f>VLOOKUP(A256,'[2]Tableau (2)'!$A$4:$D$312,4,FALSE)</f>
        <v>72877.350000000006</v>
      </c>
      <c r="J256" s="380"/>
      <c r="K256" s="357">
        <v>133776.45000000001</v>
      </c>
      <c r="L256" s="355">
        <v>3274.7</v>
      </c>
      <c r="M256" s="357">
        <v>237489.45</v>
      </c>
      <c r="N256" s="358">
        <f t="shared" si="6"/>
        <v>5767249.2009307882</v>
      </c>
      <c r="O256" s="34">
        <v>28878.2</v>
      </c>
      <c r="P256" s="34">
        <v>239598.05</v>
      </c>
      <c r="Q256" s="34">
        <v>269533.90000000002</v>
      </c>
      <c r="R256" s="34">
        <v>21451.98</v>
      </c>
      <c r="S256" s="34">
        <v>140805.75</v>
      </c>
      <c r="T256" s="359">
        <f t="shared" si="7"/>
        <v>6467517.080930789</v>
      </c>
      <c r="U256" s="17">
        <v>73</v>
      </c>
      <c r="V256" s="32">
        <v>3035</v>
      </c>
      <c r="W256" s="376">
        <v>-78152.509999999995</v>
      </c>
      <c r="X256" s="34"/>
      <c r="Y256" s="34">
        <v>-129.99</v>
      </c>
      <c r="Z256" s="34">
        <v>0.6</v>
      </c>
      <c r="AB256" s="414"/>
      <c r="AC256" s="414"/>
    </row>
    <row r="257" spans="1:29" x14ac:dyDescent="0.25">
      <c r="A257" s="370">
        <v>5841</v>
      </c>
      <c r="B257" s="354" t="s">
        <v>13</v>
      </c>
      <c r="C257" s="34">
        <v>5550985.0199999996</v>
      </c>
      <c r="D257" s="34">
        <v>1738056.87</v>
      </c>
      <c r="E257" s="380"/>
      <c r="F257" s="355"/>
      <c r="G257" s="425">
        <f>VLOOKUP(A257,'[1]Tableau (2)'!$A:$E,3,FALSE)</f>
        <v>119218.03615591399</v>
      </c>
      <c r="H257" s="425">
        <f>VLOOKUP(A257,'[1]Tableau (2)'!$A:$E,4,FALSE)</f>
        <v>148522.29999999999</v>
      </c>
      <c r="I257" s="425">
        <f>VLOOKUP(A257,'[2]Tableau (2)'!$A$4:$D$312,4,FALSE)</f>
        <v>53138.6</v>
      </c>
      <c r="J257" s="380">
        <v>527038.55000000005</v>
      </c>
      <c r="K257" s="357">
        <v>341795.83</v>
      </c>
      <c r="L257" s="355">
        <v>29642.55</v>
      </c>
      <c r="M257" s="357">
        <v>1401870.75</v>
      </c>
      <c r="N257" s="358">
        <f t="shared" si="6"/>
        <v>9910268.5061559137</v>
      </c>
      <c r="O257" s="34">
        <v>6087.3</v>
      </c>
      <c r="P257" s="34">
        <v>389778.3</v>
      </c>
      <c r="Q257" s="34">
        <v>529843.15</v>
      </c>
      <c r="R257" s="34">
        <v>13534.32</v>
      </c>
      <c r="S257" s="34">
        <v>212308.15</v>
      </c>
      <c r="T257" s="359">
        <f t="shared" si="7"/>
        <v>11061819.726155916</v>
      </c>
      <c r="U257" s="17">
        <v>83</v>
      </c>
      <c r="V257" s="32">
        <v>3433</v>
      </c>
      <c r="W257" s="376">
        <v>-121594.72</v>
      </c>
      <c r="X257" s="34"/>
      <c r="Y257" s="34">
        <v>-2399.7600000000002</v>
      </c>
      <c r="Z257" s="34">
        <v>1.5</v>
      </c>
      <c r="AB257" s="414"/>
      <c r="AC257" s="414"/>
    </row>
    <row r="258" spans="1:29" x14ac:dyDescent="0.25">
      <c r="A258" s="370">
        <v>5842</v>
      </c>
      <c r="B258" s="354" t="s">
        <v>14</v>
      </c>
      <c r="C258" s="34">
        <v>695752.04</v>
      </c>
      <c r="D258" s="34">
        <v>178037.63</v>
      </c>
      <c r="E258" s="380"/>
      <c r="F258" s="355"/>
      <c r="G258" s="425">
        <f>VLOOKUP(A258,'[1]Tableau (2)'!$A:$E,3,FALSE)</f>
        <v>6920.0202790332087</v>
      </c>
      <c r="H258" s="425">
        <f>VLOOKUP(A258,'[1]Tableau (2)'!$A:$E,4,FALSE)</f>
        <v>350.8</v>
      </c>
      <c r="I258" s="425">
        <f>VLOOKUP(A258,'[2]Tableau (2)'!$A$4:$D$312,4,FALSE)</f>
        <v>2564.0500000000002</v>
      </c>
      <c r="J258" s="380">
        <v>24596.85</v>
      </c>
      <c r="K258" s="357">
        <v>17398.23</v>
      </c>
      <c r="L258" s="355">
        <v>369.65</v>
      </c>
      <c r="M258" s="357">
        <v>128808.65</v>
      </c>
      <c r="N258" s="358">
        <f t="shared" si="6"/>
        <v>1054797.9202790332</v>
      </c>
      <c r="O258" s="34"/>
      <c r="P258" s="34">
        <v>51868.5</v>
      </c>
      <c r="Q258" s="34">
        <v>21807.5</v>
      </c>
      <c r="R258" s="34">
        <v>3076.88</v>
      </c>
      <c r="S258" s="34">
        <v>12361.7</v>
      </c>
      <c r="T258" s="359">
        <f t="shared" si="7"/>
        <v>1143912.5002790331</v>
      </c>
      <c r="U258" s="17">
        <v>81</v>
      </c>
      <c r="V258" s="32">
        <v>545</v>
      </c>
      <c r="W258" s="376">
        <v>-5268.32</v>
      </c>
      <c r="X258" s="34"/>
      <c r="Y258" s="34">
        <v>-97.71</v>
      </c>
      <c r="Z258" s="34">
        <v>1.5</v>
      </c>
      <c r="AB258" s="414"/>
      <c r="AC258" s="414"/>
    </row>
    <row r="259" spans="1:29" x14ac:dyDescent="0.25">
      <c r="A259" s="370">
        <v>5843</v>
      </c>
      <c r="B259" s="354" t="s">
        <v>15</v>
      </c>
      <c r="C259" s="34">
        <v>2315327.14</v>
      </c>
      <c r="D259" s="34">
        <v>1875942.43</v>
      </c>
      <c r="E259" s="380"/>
      <c r="F259" s="355"/>
      <c r="G259" s="425">
        <f>VLOOKUP(A259,'[1]Tableau (2)'!$A:$E,3,FALSE)</f>
        <v>82699.244940476186</v>
      </c>
      <c r="H259" s="425">
        <f>VLOOKUP(A259,'[1]Tableau (2)'!$A:$E,4,FALSE)</f>
        <v>20167.3</v>
      </c>
      <c r="I259" s="425">
        <f>VLOOKUP(A259,'[2]Tableau (2)'!$A$4:$D$312,4,FALSE)</f>
        <v>30804.1</v>
      </c>
      <c r="J259" s="380">
        <v>1313074.51</v>
      </c>
      <c r="K259" s="357">
        <v>83618.48</v>
      </c>
      <c r="L259" s="355">
        <v>39669</v>
      </c>
      <c r="M259" s="357">
        <v>1114751.55</v>
      </c>
      <c r="N259" s="358">
        <f t="shared" si="6"/>
        <v>6876053.7549404763</v>
      </c>
      <c r="O259" s="34"/>
      <c r="P259" s="34">
        <v>271009.8</v>
      </c>
      <c r="Q259" s="34">
        <v>285187.20000000001</v>
      </c>
      <c r="R259" s="34">
        <v>1.23</v>
      </c>
      <c r="S259" s="34">
        <v>400319.65</v>
      </c>
      <c r="T259" s="359">
        <f t="shared" si="7"/>
        <v>7832571.6349404771</v>
      </c>
      <c r="U259" s="17">
        <v>74</v>
      </c>
      <c r="V259" s="32">
        <v>882</v>
      </c>
      <c r="W259" s="376">
        <v>-53275.41</v>
      </c>
      <c r="X259" s="34"/>
      <c r="Y259" s="34">
        <v>-5363.1</v>
      </c>
      <c r="Z259" s="34">
        <v>1.5</v>
      </c>
      <c r="AB259" s="414"/>
      <c r="AC259" s="414"/>
    </row>
    <row r="260" spans="1:29" x14ac:dyDescent="0.25">
      <c r="A260" s="370">
        <v>5851</v>
      </c>
      <c r="B260" s="354" t="s">
        <v>16</v>
      </c>
      <c r="C260" s="34">
        <v>980174.5</v>
      </c>
      <c r="D260" s="34">
        <v>174289.54</v>
      </c>
      <c r="E260" s="380"/>
      <c r="F260" s="355"/>
      <c r="G260" s="425">
        <f>VLOOKUP(A260,'[1]Tableau (2)'!$A:$E,3,FALSE)</f>
        <v>81912.074885844748</v>
      </c>
      <c r="H260" s="425">
        <f>VLOOKUP(A260,'[1]Tableau (2)'!$A:$E,4,FALSE)</f>
        <v>20145.599999999999</v>
      </c>
      <c r="I260" s="425">
        <f>VLOOKUP(A260,'[2]Tableau (2)'!$A$4:$D$312,4,FALSE)</f>
        <v>36720.949999999997</v>
      </c>
      <c r="J260" s="380">
        <v>146101.65</v>
      </c>
      <c r="K260" s="357">
        <v>60745.440000000002</v>
      </c>
      <c r="L260" s="355">
        <v>28577.3</v>
      </c>
      <c r="M260" s="357">
        <v>235688.75</v>
      </c>
      <c r="N260" s="358">
        <f t="shared" si="6"/>
        <v>1764355.8048858447</v>
      </c>
      <c r="O260" s="34">
        <v>27948.65</v>
      </c>
      <c r="P260" s="34">
        <v>21620.1</v>
      </c>
      <c r="Q260" s="34">
        <v>22440</v>
      </c>
      <c r="R260" s="34">
        <v>0</v>
      </c>
      <c r="S260" s="34">
        <v>24488.799999999999</v>
      </c>
      <c r="T260" s="359">
        <f t="shared" si="7"/>
        <v>1860853.3548858447</v>
      </c>
      <c r="U260" s="17">
        <v>62</v>
      </c>
      <c r="V260" s="32">
        <v>442</v>
      </c>
      <c r="W260" s="376">
        <v>-20033.97</v>
      </c>
      <c r="X260" s="34"/>
      <c r="Y260" s="34">
        <v>-192.23</v>
      </c>
      <c r="Z260" s="34">
        <v>1.1000000000000001</v>
      </c>
      <c r="AB260" s="414"/>
      <c r="AC260" s="414"/>
    </row>
    <row r="261" spans="1:29" x14ac:dyDescent="0.25">
      <c r="A261" s="370">
        <v>5852</v>
      </c>
      <c r="B261" s="354" t="s">
        <v>17</v>
      </c>
      <c r="C261" s="34">
        <v>1407819.7</v>
      </c>
      <c r="D261" s="34">
        <v>480937.4</v>
      </c>
      <c r="E261" s="380"/>
      <c r="F261" s="355"/>
      <c r="G261" s="425">
        <f>VLOOKUP(A261,'[1]Tableau (2)'!$A:$E,3,FALSE)</f>
        <v>5277.7702888086642</v>
      </c>
      <c r="H261" s="425">
        <f>VLOOKUP(A261,'[1]Tableau (2)'!$A:$E,4,FALSE)</f>
        <v>3727.8</v>
      </c>
      <c r="I261" s="425">
        <f>VLOOKUP(A261,'[2]Tableau (2)'!$A$4:$D$312,4,FALSE)</f>
        <v>2035</v>
      </c>
      <c r="J261" s="380">
        <v>337827.75</v>
      </c>
      <c r="K261" s="357">
        <v>130024.34</v>
      </c>
      <c r="L261" s="355">
        <v>6707.65</v>
      </c>
      <c r="M261" s="357">
        <v>170328.9</v>
      </c>
      <c r="N261" s="358">
        <f t="shared" si="6"/>
        <v>2544686.3102888083</v>
      </c>
      <c r="O261" s="34">
        <v>8338.25</v>
      </c>
      <c r="P261" s="34">
        <v>2681875</v>
      </c>
      <c r="Q261" s="34">
        <v>207295.25</v>
      </c>
      <c r="R261" s="34">
        <v>1073.69</v>
      </c>
      <c r="S261" s="34">
        <v>107361.75</v>
      </c>
      <c r="T261" s="359">
        <f t="shared" si="7"/>
        <v>5550630.2502888087</v>
      </c>
      <c r="U261" s="17">
        <v>65.5</v>
      </c>
      <c r="V261" s="32">
        <v>488</v>
      </c>
      <c r="W261" s="376">
        <v>-6310.4</v>
      </c>
      <c r="X261" s="34"/>
      <c r="Y261" s="34">
        <v>-1971.28</v>
      </c>
      <c r="Z261" s="34">
        <v>1</v>
      </c>
      <c r="AB261" s="414"/>
      <c r="AC261" s="414"/>
    </row>
    <row r="262" spans="1:29" x14ac:dyDescent="0.25">
      <c r="A262" s="370">
        <v>5853</v>
      </c>
      <c r="B262" s="354" t="s">
        <v>18</v>
      </c>
      <c r="C262" s="34">
        <v>1679672.66</v>
      </c>
      <c r="D262" s="34">
        <v>341700</v>
      </c>
      <c r="E262" s="380"/>
      <c r="F262" s="355"/>
      <c r="G262" s="425">
        <f>VLOOKUP(A262,'[1]Tableau (2)'!$A:$E,3,FALSE)</f>
        <v>22749.963822677655</v>
      </c>
      <c r="H262" s="425">
        <f>VLOOKUP(A262,'[1]Tableau (2)'!$A:$E,4,FALSE)</f>
        <v>10090</v>
      </c>
      <c r="I262" s="425">
        <f>VLOOKUP(A262,'[2]Tableau (2)'!$A$4:$D$312,4,FALSE)</f>
        <v>12223.2</v>
      </c>
      <c r="J262" s="380">
        <v>256574.3</v>
      </c>
      <c r="K262" s="357">
        <v>83353.259999999995</v>
      </c>
      <c r="L262" s="355">
        <v>8287.65</v>
      </c>
      <c r="M262" s="357">
        <v>191238.1</v>
      </c>
      <c r="N262" s="358">
        <f t="shared" si="6"/>
        <v>2605889.1338226772</v>
      </c>
      <c r="O262" s="34">
        <v>24763.7</v>
      </c>
      <c r="P262" s="34">
        <v>123783.5</v>
      </c>
      <c r="Q262" s="34">
        <v>79721.899999999994</v>
      </c>
      <c r="R262" s="34">
        <v>4065.52</v>
      </c>
      <c r="S262" s="34">
        <v>85713.1</v>
      </c>
      <c r="T262" s="359">
        <f t="shared" si="7"/>
        <v>2923936.8538226774</v>
      </c>
      <c r="U262" s="17">
        <v>71</v>
      </c>
      <c r="V262" s="32">
        <v>745</v>
      </c>
      <c r="W262" s="376">
        <v>-58273.05</v>
      </c>
      <c r="X262" s="34"/>
      <c r="Y262" s="34">
        <v>-479.8</v>
      </c>
      <c r="Z262" s="34">
        <v>1</v>
      </c>
      <c r="AB262" s="414"/>
      <c r="AC262" s="414"/>
    </row>
    <row r="263" spans="1:29" x14ac:dyDescent="0.25">
      <c r="A263" s="370">
        <v>5854</v>
      </c>
      <c r="B263" s="354" t="s">
        <v>19</v>
      </c>
      <c r="C263" s="34">
        <v>565727.39</v>
      </c>
      <c r="D263" s="34">
        <v>119391.28</v>
      </c>
      <c r="E263" s="380"/>
      <c r="F263" s="355"/>
      <c r="G263" s="425">
        <f>VLOOKUP(A263,'[1]Tableau (2)'!$A:$E,3,FALSE)</f>
        <v>26082.435175979321</v>
      </c>
      <c r="H263" s="425">
        <f>VLOOKUP(A263,'[1]Tableau (2)'!$A:$E,4,FALSE)</f>
        <v>1108.8</v>
      </c>
      <c r="I263" s="425">
        <f>VLOOKUP(A263,'[2]Tableau (2)'!$A$4:$D$312,4,FALSE)</f>
        <v>4436.5</v>
      </c>
      <c r="J263" s="380"/>
      <c r="K263" s="357">
        <v>15625.34</v>
      </c>
      <c r="L263" s="355">
        <v>1051.2</v>
      </c>
      <c r="M263" s="357">
        <v>83631.95</v>
      </c>
      <c r="N263" s="358">
        <f t="shared" ref="N263:N315" si="8">SUM(C263:M263)</f>
        <v>817054.89517597924</v>
      </c>
      <c r="O263" s="34">
        <v>17103</v>
      </c>
      <c r="P263" s="34"/>
      <c r="Q263" s="34">
        <v>70739.75</v>
      </c>
      <c r="R263" s="34"/>
      <c r="S263" s="34">
        <v>57416</v>
      </c>
      <c r="T263" s="359">
        <f t="shared" ref="T263:T315" si="9">SUM(N263:S263)</f>
        <v>962313.64517597924</v>
      </c>
      <c r="U263" s="17">
        <v>80</v>
      </c>
      <c r="V263" s="32">
        <v>361</v>
      </c>
      <c r="W263" s="376">
        <v>-781.83</v>
      </c>
      <c r="X263" s="34"/>
      <c r="Y263" s="34">
        <v>-133.74</v>
      </c>
      <c r="Z263" s="34">
        <v>1.5</v>
      </c>
      <c r="AB263" s="414"/>
      <c r="AC263" s="414"/>
    </row>
    <row r="264" spans="1:29" x14ac:dyDescent="0.25">
      <c r="A264" s="370">
        <v>5855</v>
      </c>
      <c r="B264" s="354" t="s">
        <v>20</v>
      </c>
      <c r="C264" s="34">
        <v>1917565.92</v>
      </c>
      <c r="D264" s="34">
        <v>886271.81</v>
      </c>
      <c r="E264" s="380"/>
      <c r="F264" s="355"/>
      <c r="G264" s="425">
        <f>VLOOKUP(A264,'[1]Tableau (2)'!$A:$E,3,FALSE)</f>
        <v>27672.377832590711</v>
      </c>
      <c r="H264" s="425">
        <f>VLOOKUP(A264,'[1]Tableau (2)'!$A:$E,4,FALSE)</f>
        <v>6471.75</v>
      </c>
      <c r="I264" s="425">
        <f>VLOOKUP(A264,'[2]Tableau (2)'!$A$4:$D$312,4,FALSE)</f>
        <v>8097.55</v>
      </c>
      <c r="J264" s="380">
        <v>540610.02</v>
      </c>
      <c r="K264" s="357">
        <v>107810.65</v>
      </c>
      <c r="L264" s="355">
        <v>8960.25</v>
      </c>
      <c r="M264" s="357">
        <v>169335.55</v>
      </c>
      <c r="N264" s="358">
        <f t="shared" si="8"/>
        <v>3672795.8778325901</v>
      </c>
      <c r="O264" s="34">
        <v>1345.35</v>
      </c>
      <c r="P264" s="34"/>
      <c r="Q264" s="34">
        <v>96380.85</v>
      </c>
      <c r="R264" s="34"/>
      <c r="S264" s="34">
        <v>87104.85</v>
      </c>
      <c r="T264" s="359">
        <f t="shared" si="9"/>
        <v>3857626.9278325904</v>
      </c>
      <c r="U264" s="17">
        <v>49</v>
      </c>
      <c r="V264" s="32">
        <v>640</v>
      </c>
      <c r="W264" s="376">
        <v>-4816.03</v>
      </c>
      <c r="X264" s="34"/>
      <c r="Y264" s="34">
        <v>-2621.16</v>
      </c>
      <c r="Z264" s="34">
        <v>0.5</v>
      </c>
      <c r="AB264" s="414"/>
      <c r="AC264" s="414"/>
    </row>
    <row r="265" spans="1:29" x14ac:dyDescent="0.25">
      <c r="A265" s="370">
        <v>5856</v>
      </c>
      <c r="B265" s="354" t="s">
        <v>21</v>
      </c>
      <c r="C265" s="34">
        <v>1633824.6</v>
      </c>
      <c r="D265" s="34">
        <v>278750.55</v>
      </c>
      <c r="E265" s="380"/>
      <c r="F265" s="355"/>
      <c r="G265" s="425">
        <f>VLOOKUP(A265,'[1]Tableau (2)'!$A:$E,3,FALSE)</f>
        <v>1607.4791734385881</v>
      </c>
      <c r="H265" s="425">
        <f>VLOOKUP(A265,'[1]Tableau (2)'!$A:$E,4,FALSE)</f>
        <v>2636.6</v>
      </c>
      <c r="I265" s="425">
        <f>VLOOKUP(A265,'[2]Tableau (2)'!$A$4:$D$312,4,FALSE)</f>
        <v>826.5</v>
      </c>
      <c r="J265" s="380">
        <v>190327.85</v>
      </c>
      <c r="K265" s="357">
        <v>57015.24</v>
      </c>
      <c r="L265" s="355">
        <v>2727.6</v>
      </c>
      <c r="M265" s="357">
        <v>221817.2</v>
      </c>
      <c r="N265" s="358">
        <f t="shared" si="8"/>
        <v>2389533.6191734392</v>
      </c>
      <c r="O265" s="34">
        <v>3050.8</v>
      </c>
      <c r="P265" s="34">
        <v>235101.65</v>
      </c>
      <c r="Q265" s="34">
        <v>43760.25</v>
      </c>
      <c r="R265" s="34">
        <v>3224.22</v>
      </c>
      <c r="S265" s="34">
        <v>39422.949999999997</v>
      </c>
      <c r="T265" s="359">
        <f t="shared" si="9"/>
        <v>2714093.4891734393</v>
      </c>
      <c r="U265" s="17">
        <v>68</v>
      </c>
      <c r="V265" s="32">
        <v>696</v>
      </c>
      <c r="W265" s="376">
        <v>-4845.28</v>
      </c>
      <c r="X265" s="34"/>
      <c r="Y265" s="34">
        <v>-336.96</v>
      </c>
      <c r="Z265" s="34">
        <v>1.3</v>
      </c>
      <c r="AB265" s="414"/>
      <c r="AC265" s="414"/>
    </row>
    <row r="266" spans="1:29" x14ac:dyDescent="0.25">
      <c r="A266" s="370">
        <v>5857</v>
      </c>
      <c r="B266" s="354" t="s">
        <v>22</v>
      </c>
      <c r="C266" s="34">
        <v>3660588.25</v>
      </c>
      <c r="D266" s="34">
        <v>874622.16</v>
      </c>
      <c r="E266" s="380"/>
      <c r="F266" s="355"/>
      <c r="G266" s="425">
        <f>VLOOKUP(A266,'[1]Tableau (2)'!$A:$E,3,FALSE)</f>
        <v>28843.44866220736</v>
      </c>
      <c r="H266" s="425">
        <f>VLOOKUP(A266,'[1]Tableau (2)'!$A:$E,4,FALSE)</f>
        <v>2850.05</v>
      </c>
      <c r="I266" s="425">
        <f>VLOOKUP(A266,'[2]Tableau (2)'!$A$4:$D$312,4,FALSE)</f>
        <v>10208.75</v>
      </c>
      <c r="J266" s="380"/>
      <c r="K266" s="357">
        <v>142583.84</v>
      </c>
      <c r="L266" s="355">
        <v>10352.75</v>
      </c>
      <c r="M266" s="357">
        <v>349305.3</v>
      </c>
      <c r="N266" s="358">
        <f t="shared" si="8"/>
        <v>5079354.5486622071</v>
      </c>
      <c r="O266" s="34">
        <v>88455.1</v>
      </c>
      <c r="P266" s="34">
        <v>74218.7</v>
      </c>
      <c r="Q266" s="34">
        <v>238221.95</v>
      </c>
      <c r="R266" s="34">
        <v>3446.66</v>
      </c>
      <c r="S266" s="34">
        <v>170605.4</v>
      </c>
      <c r="T266" s="359">
        <f t="shared" si="9"/>
        <v>5654302.3586622076</v>
      </c>
      <c r="U266" s="17">
        <v>66</v>
      </c>
      <c r="V266" s="32">
        <v>1294</v>
      </c>
      <c r="W266" s="376">
        <v>-32962.92</v>
      </c>
      <c r="X266" s="34"/>
      <c r="Y266" s="34">
        <v>-411.98</v>
      </c>
      <c r="Z266" s="34">
        <v>1</v>
      </c>
      <c r="AB266" s="414"/>
      <c r="AC266" s="414"/>
    </row>
    <row r="267" spans="1:29" x14ac:dyDescent="0.25">
      <c r="A267" s="370">
        <v>5858</v>
      </c>
      <c r="B267" s="354" t="s">
        <v>23</v>
      </c>
      <c r="C267" s="34">
        <v>1335684.02</v>
      </c>
      <c r="D267" s="34">
        <v>315819.40999999997</v>
      </c>
      <c r="E267" s="380"/>
      <c r="F267" s="355"/>
      <c r="G267" s="425">
        <f>VLOOKUP(A267,'[1]Tableau (2)'!$A:$E,3,FALSE)</f>
        <v>2719.3156020942411</v>
      </c>
      <c r="H267" s="425">
        <f>VLOOKUP(A267,'[1]Tableau (2)'!$A:$E,4,FALSE)</f>
        <v>6708.8</v>
      </c>
      <c r="I267" s="425">
        <f>VLOOKUP(A267,'[2]Tableau (2)'!$A$4:$D$312,4,FALSE)</f>
        <v>2547.85</v>
      </c>
      <c r="J267" s="380">
        <v>171069.7</v>
      </c>
      <c r="K267" s="357">
        <v>53935.73</v>
      </c>
      <c r="L267" s="355">
        <v>1039.5</v>
      </c>
      <c r="M267" s="357">
        <v>215656</v>
      </c>
      <c r="N267" s="358">
        <f t="shared" si="8"/>
        <v>2105180.3256020942</v>
      </c>
      <c r="O267" s="34">
        <v>9337.1</v>
      </c>
      <c r="P267" s="34">
        <v>3226.4</v>
      </c>
      <c r="Q267" s="34">
        <v>59278.95</v>
      </c>
      <c r="R267" s="34">
        <v>39322.300000000003</v>
      </c>
      <c r="S267" s="34">
        <v>42849.2</v>
      </c>
      <c r="T267" s="359">
        <f t="shared" si="9"/>
        <v>2259194.2756020944</v>
      </c>
      <c r="U267" s="17">
        <v>60</v>
      </c>
      <c r="V267" s="32">
        <v>608</v>
      </c>
      <c r="W267" s="376">
        <v>-15473.35</v>
      </c>
      <c r="X267" s="34"/>
      <c r="Y267" s="34">
        <v>-487.24</v>
      </c>
      <c r="Z267" s="34">
        <v>1.5</v>
      </c>
      <c r="AB267" s="414"/>
      <c r="AC267" s="414"/>
    </row>
    <row r="268" spans="1:29" x14ac:dyDescent="0.25">
      <c r="A268" s="370">
        <v>5859</v>
      </c>
      <c r="B268" s="354" t="s">
        <v>24</v>
      </c>
      <c r="C268" s="34">
        <v>6352620.6299999999</v>
      </c>
      <c r="D268" s="34">
        <v>1179555.79</v>
      </c>
      <c r="E268" s="380"/>
      <c r="F268" s="355"/>
      <c r="G268" s="425">
        <f>VLOOKUP(A268,'[1]Tableau (2)'!$A:$E,3,FALSE)</f>
        <v>47066.181705216542</v>
      </c>
      <c r="H268" s="425">
        <f>VLOOKUP(A268,'[1]Tableau (2)'!$A:$E,4,FALSE)</f>
        <v>14087.5</v>
      </c>
      <c r="I268" s="425">
        <f>VLOOKUP(A268,'[2]Tableau (2)'!$A$4:$D$312,4,FALSE)</f>
        <v>11353.65</v>
      </c>
      <c r="J268" s="380">
        <v>359170.5</v>
      </c>
      <c r="K268" s="357">
        <v>207146.41</v>
      </c>
      <c r="L268" s="355">
        <v>17333.150000000001</v>
      </c>
      <c r="M268" s="357">
        <v>620357.05000000005</v>
      </c>
      <c r="N268" s="358">
        <f t="shared" si="8"/>
        <v>8808690.8617052175</v>
      </c>
      <c r="O268" s="34">
        <v>96183.6</v>
      </c>
      <c r="P268" s="34">
        <v>27006.9</v>
      </c>
      <c r="Q268" s="34">
        <v>564504.80000000005</v>
      </c>
      <c r="R268" s="34">
        <v>14124.27</v>
      </c>
      <c r="S268" s="34">
        <v>552728.85</v>
      </c>
      <c r="T268" s="359">
        <f t="shared" si="9"/>
        <v>10063239.281705217</v>
      </c>
      <c r="U268" s="17">
        <v>64</v>
      </c>
      <c r="V268" s="32">
        <v>2701</v>
      </c>
      <c r="W268" s="376">
        <v>-96651.16</v>
      </c>
      <c r="X268" s="34"/>
      <c r="Y268" s="34">
        <v>-5190.49</v>
      </c>
      <c r="Z268" s="34">
        <v>1</v>
      </c>
      <c r="AB268" s="414"/>
      <c r="AC268" s="414"/>
    </row>
    <row r="269" spans="1:29" x14ac:dyDescent="0.25">
      <c r="A269" s="370">
        <v>5860</v>
      </c>
      <c r="B269" s="354" t="s">
        <v>25</v>
      </c>
      <c r="C269" s="34">
        <v>3516571.37</v>
      </c>
      <c r="D269" s="34">
        <v>861706.11</v>
      </c>
      <c r="E269" s="380"/>
      <c r="F269" s="355"/>
      <c r="G269" s="425">
        <f>VLOOKUP(A269,'[1]Tableau (2)'!$A:$E,3,FALSE)</f>
        <v>23575.574450261782</v>
      </c>
      <c r="H269" s="425">
        <f>VLOOKUP(A269,'[1]Tableau (2)'!$A:$E,4,FALSE)</f>
        <v>5685.55</v>
      </c>
      <c r="I269" s="425">
        <f>VLOOKUP(A269,'[2]Tableau (2)'!$A$4:$D$312,4,FALSE)</f>
        <v>8120.65</v>
      </c>
      <c r="J269" s="380">
        <v>294245.23</v>
      </c>
      <c r="K269" s="357">
        <v>91442.32</v>
      </c>
      <c r="L269" s="355">
        <v>26801.05</v>
      </c>
      <c r="M269" s="357">
        <v>615088.75</v>
      </c>
      <c r="N269" s="358">
        <f t="shared" si="8"/>
        <v>5443236.6044502622</v>
      </c>
      <c r="O269" s="34">
        <v>19488.349999999999</v>
      </c>
      <c r="P269" s="34">
        <v>19677.7</v>
      </c>
      <c r="Q269" s="34">
        <v>306789.59999999998</v>
      </c>
      <c r="R269" s="34">
        <v>19264.79</v>
      </c>
      <c r="S269" s="34">
        <v>267455.75</v>
      </c>
      <c r="T269" s="359">
        <f t="shared" si="9"/>
        <v>6075912.7944502616</v>
      </c>
      <c r="U269" s="17">
        <v>60</v>
      </c>
      <c r="V269" s="32">
        <v>1514</v>
      </c>
      <c r="W269" s="376">
        <v>-62586.02</v>
      </c>
      <c r="X269" s="34"/>
      <c r="Y269" s="34">
        <v>-3997.52</v>
      </c>
      <c r="Z269" s="34">
        <v>1.3</v>
      </c>
      <c r="AB269" s="414"/>
      <c r="AC269" s="414"/>
    </row>
    <row r="270" spans="1:29" x14ac:dyDescent="0.25">
      <c r="A270" s="370">
        <v>5861</v>
      </c>
      <c r="B270" s="354" t="s">
        <v>26</v>
      </c>
      <c r="C270" s="34">
        <v>12661253.390000001</v>
      </c>
      <c r="D270" s="34">
        <v>2491208.6</v>
      </c>
      <c r="E270" s="380"/>
      <c r="F270" s="355"/>
      <c r="G270" s="425">
        <f>VLOOKUP(A270,'[1]Tableau (2)'!$A:$E,3,FALSE)</f>
        <v>20112599.488374241</v>
      </c>
      <c r="H270" s="425">
        <f>VLOOKUP(A270,'[1]Tableau (2)'!$A:$E,4,FALSE)</f>
        <v>888492.60000000009</v>
      </c>
      <c r="I270" s="425">
        <f>VLOOKUP(A270,'[2]Tableau (2)'!$A$4:$D$312,4,FALSE)</f>
        <v>3472745.7</v>
      </c>
      <c r="J270" s="380">
        <v>1099470.69</v>
      </c>
      <c r="K270" s="357">
        <v>3463952.82</v>
      </c>
      <c r="L270" s="355">
        <v>269525.3</v>
      </c>
      <c r="M270" s="357">
        <v>1700525.45</v>
      </c>
      <c r="N270" s="358">
        <f t="shared" si="8"/>
        <v>46159774.038374245</v>
      </c>
      <c r="O270" s="34">
        <v>673413.7</v>
      </c>
      <c r="P270" s="34">
        <v>198879.2</v>
      </c>
      <c r="Q270" s="34">
        <v>570098.19999999995</v>
      </c>
      <c r="R270" s="34">
        <v>29176.57</v>
      </c>
      <c r="S270" s="34">
        <v>507120.8</v>
      </c>
      <c r="T270" s="359">
        <f t="shared" si="9"/>
        <v>48138462.508374251</v>
      </c>
      <c r="U270" s="17">
        <v>59.5</v>
      </c>
      <c r="V270" s="32">
        <v>6225</v>
      </c>
      <c r="W270" s="376">
        <v>-131439.24</v>
      </c>
      <c r="X270" s="34"/>
      <c r="Y270" s="34">
        <v>-7202.48</v>
      </c>
      <c r="Z270" s="34">
        <v>1</v>
      </c>
      <c r="AB270" s="414"/>
      <c r="AC270" s="414"/>
    </row>
    <row r="271" spans="1:29" x14ac:dyDescent="0.25">
      <c r="A271" s="370">
        <v>5862</v>
      </c>
      <c r="B271" s="354" t="s">
        <v>27</v>
      </c>
      <c r="C271" s="34">
        <v>724421.85</v>
      </c>
      <c r="D271" s="34">
        <v>79893.710000000006</v>
      </c>
      <c r="E271" s="380"/>
      <c r="F271" s="355"/>
      <c r="G271" s="425">
        <f>VLOOKUP(A271,'[1]Tableau (2)'!$A:$E,3,FALSE)</f>
        <v>4331.6948357698884</v>
      </c>
      <c r="H271" s="425">
        <f>VLOOKUP(A271,'[1]Tableau (2)'!$A:$E,4,FALSE)</f>
        <v>1708.4</v>
      </c>
      <c r="I271" s="425">
        <f>VLOOKUP(A271,'[2]Tableau (2)'!$A$4:$D$312,4,FALSE)</f>
        <v>1016</v>
      </c>
      <c r="J271" s="380"/>
      <c r="K271" s="357">
        <v>13344.4</v>
      </c>
      <c r="L271" s="355"/>
      <c r="M271" s="357">
        <v>41274.75</v>
      </c>
      <c r="N271" s="358">
        <f t="shared" si="8"/>
        <v>865990.80483576993</v>
      </c>
      <c r="O271" s="34">
        <v>4117.75</v>
      </c>
      <c r="P271" s="34">
        <v>143354.9</v>
      </c>
      <c r="Q271" s="34"/>
      <c r="R271" s="34"/>
      <c r="S271" s="34"/>
      <c r="T271" s="359">
        <f t="shared" si="9"/>
        <v>1013463.45483577</v>
      </c>
      <c r="U271" s="17">
        <v>81</v>
      </c>
      <c r="V271" s="32">
        <v>235</v>
      </c>
      <c r="W271" s="376">
        <v>-12838.81</v>
      </c>
      <c r="X271" s="34"/>
      <c r="Y271" s="34">
        <v>-9.18</v>
      </c>
      <c r="Z271" s="34">
        <v>0.9</v>
      </c>
      <c r="AB271" s="414"/>
      <c r="AC271" s="414"/>
    </row>
    <row r="272" spans="1:29" x14ac:dyDescent="0.25">
      <c r="A272" s="370">
        <v>5863</v>
      </c>
      <c r="B272" s="354" t="s">
        <v>28</v>
      </c>
      <c r="C272" s="34">
        <v>1219297.96</v>
      </c>
      <c r="D272" s="34">
        <v>198490.58</v>
      </c>
      <c r="E272" s="380"/>
      <c r="F272" s="355"/>
      <c r="G272" s="425">
        <f>VLOOKUP(A272,'[1]Tableau (2)'!$A:$E,3,FALSE)</f>
        <v>9041.9359756097547</v>
      </c>
      <c r="H272" s="425">
        <f>VLOOKUP(A272,'[1]Tableau (2)'!$A:$E,4,FALSE)</f>
        <v>1128.3</v>
      </c>
      <c r="I272" s="425">
        <f>VLOOKUP(A272,'[2]Tableau (2)'!$A$4:$D$312,4,FALSE)</f>
        <v>4181.1000000000004</v>
      </c>
      <c r="J272" s="380"/>
      <c r="K272" s="357">
        <v>29620.6</v>
      </c>
      <c r="L272" s="355">
        <v>2004.9</v>
      </c>
      <c r="M272" s="357">
        <v>77805.600000000006</v>
      </c>
      <c r="N272" s="358">
        <f t="shared" si="8"/>
        <v>1541570.9759756101</v>
      </c>
      <c r="O272" s="34">
        <v>24160.55</v>
      </c>
      <c r="P272" s="34"/>
      <c r="Q272" s="34">
        <v>1375.2</v>
      </c>
      <c r="R272" s="34"/>
      <c r="S272" s="34"/>
      <c r="T272" s="359">
        <f t="shared" si="9"/>
        <v>1567106.7259756101</v>
      </c>
      <c r="U272" s="17">
        <v>67</v>
      </c>
      <c r="V272" s="32">
        <v>371</v>
      </c>
      <c r="W272" s="376">
        <v>-14262.93</v>
      </c>
      <c r="X272" s="34"/>
      <c r="Y272" s="34">
        <v>-1188.23</v>
      </c>
      <c r="Z272" s="34">
        <v>1</v>
      </c>
      <c r="AB272" s="414"/>
      <c r="AC272" s="414"/>
    </row>
    <row r="273" spans="1:29" x14ac:dyDescent="0.25">
      <c r="A273" s="370">
        <v>5871</v>
      </c>
      <c r="B273" s="354" t="s">
        <v>29</v>
      </c>
      <c r="C273" s="34">
        <v>2600372.16</v>
      </c>
      <c r="D273" s="34">
        <v>526045.36</v>
      </c>
      <c r="E273" s="380"/>
      <c r="F273" s="355"/>
      <c r="G273" s="425">
        <f>VLOOKUP(A273,'[1]Tableau (2)'!$A:$E,3,FALSE)</f>
        <v>124996.98870563673</v>
      </c>
      <c r="H273" s="425">
        <f>VLOOKUP(A273,'[1]Tableau (2)'!$A:$E,4,FALSE)</f>
        <v>5420.9</v>
      </c>
      <c r="I273" s="425">
        <f>VLOOKUP(A273,'[2]Tableau (2)'!$A$4:$D$312,4,FALSE)</f>
        <v>44340.15</v>
      </c>
      <c r="J273" s="380"/>
      <c r="K273" s="357">
        <v>74316.539999999994</v>
      </c>
      <c r="L273" s="355">
        <v>2702.5</v>
      </c>
      <c r="M273" s="357">
        <v>241459.6</v>
      </c>
      <c r="N273" s="358">
        <f t="shared" si="8"/>
        <v>3619654.1987056369</v>
      </c>
      <c r="O273" s="34">
        <v>728755.45</v>
      </c>
      <c r="P273" s="34">
        <v>11699</v>
      </c>
      <c r="Q273" s="34">
        <v>94222.45</v>
      </c>
      <c r="R273" s="34">
        <v>43762.28</v>
      </c>
      <c r="S273" s="34">
        <v>136544.1</v>
      </c>
      <c r="T273" s="359">
        <f t="shared" si="9"/>
        <v>4634637.4787056372</v>
      </c>
      <c r="U273" s="17">
        <v>77.3</v>
      </c>
      <c r="V273" s="32">
        <v>1492</v>
      </c>
      <c r="W273" s="376">
        <v>-71554.31</v>
      </c>
      <c r="X273" s="34"/>
      <c r="Y273" s="34">
        <v>-208</v>
      </c>
      <c r="Z273" s="34">
        <v>1</v>
      </c>
      <c r="AB273" s="414"/>
      <c r="AC273" s="414"/>
    </row>
    <row r="274" spans="1:29" x14ac:dyDescent="0.25">
      <c r="A274" s="370">
        <v>5872</v>
      </c>
      <c r="B274" s="354" t="s">
        <v>204</v>
      </c>
      <c r="C274" s="34">
        <v>6967920.5700000003</v>
      </c>
      <c r="D274" s="34">
        <v>948545.54</v>
      </c>
      <c r="E274" s="380"/>
      <c r="F274" s="355"/>
      <c r="G274" s="425">
        <f>VLOOKUP(A274,'[1]Tableau (2)'!$A:$E,3,FALSE)</f>
        <v>2742796.3372774869</v>
      </c>
      <c r="H274" s="425">
        <f>VLOOKUP(A274,'[1]Tableau (2)'!$A:$E,4,FALSE)</f>
        <v>463812.95000000007</v>
      </c>
      <c r="I274" s="425">
        <f>VLOOKUP(A274,'[2]Tableau (2)'!$A$4:$D$312,4,FALSE)</f>
        <v>1964717.75</v>
      </c>
      <c r="J274" s="380"/>
      <c r="K274" s="357">
        <v>405845.68</v>
      </c>
      <c r="L274" s="355">
        <v>46592.35</v>
      </c>
      <c r="M274" s="357">
        <v>488810.75</v>
      </c>
      <c r="N274" s="358">
        <f t="shared" si="8"/>
        <v>14029041.927277485</v>
      </c>
      <c r="O274" s="34">
        <v>4996793.5999999996</v>
      </c>
      <c r="P274" s="34">
        <v>233987.3</v>
      </c>
      <c r="Q274" s="34">
        <v>318319.25</v>
      </c>
      <c r="R274" s="34">
        <v>9244.66</v>
      </c>
      <c r="S274" s="34">
        <v>139690.15</v>
      </c>
      <c r="T274" s="359">
        <f t="shared" si="9"/>
        <v>19727076.887277484</v>
      </c>
      <c r="U274" s="17">
        <v>69.56</v>
      </c>
      <c r="V274" s="32">
        <v>4612</v>
      </c>
      <c r="W274" s="376">
        <v>-92981.24</v>
      </c>
      <c r="X274" s="34"/>
      <c r="Y274" s="34">
        <v>-1082.8399999999999</v>
      </c>
      <c r="Z274" s="34">
        <v>0.7</v>
      </c>
      <c r="AB274" s="414"/>
      <c r="AC274" s="414"/>
    </row>
    <row r="275" spans="1:29" x14ac:dyDescent="0.25">
      <c r="A275" s="370">
        <v>5873</v>
      </c>
      <c r="B275" s="354" t="s">
        <v>205</v>
      </c>
      <c r="C275" s="34">
        <v>1365709.3</v>
      </c>
      <c r="D275" s="34">
        <v>334782.05</v>
      </c>
      <c r="E275" s="380"/>
      <c r="F275" s="355"/>
      <c r="G275" s="425">
        <f>VLOOKUP(A275,'[1]Tableau (2)'!$A:$E,3,FALSE)</f>
        <v>115000.24963636363</v>
      </c>
      <c r="H275" s="425">
        <f>VLOOKUP(A275,'[1]Tableau (2)'!$A:$E,4,FALSE)</f>
        <v>11050.599999999999</v>
      </c>
      <c r="I275" s="425">
        <f>VLOOKUP(A275,'[2]Tableau (2)'!$A$4:$D$312,4,FALSE)</f>
        <v>45655.9</v>
      </c>
      <c r="J275" s="380"/>
      <c r="K275" s="357">
        <v>65289.86</v>
      </c>
      <c r="L275" s="355"/>
      <c r="M275" s="357">
        <v>83138.5</v>
      </c>
      <c r="N275" s="358">
        <f t="shared" si="8"/>
        <v>2020626.4596363639</v>
      </c>
      <c r="O275" s="34">
        <v>848439.35</v>
      </c>
      <c r="P275" s="34"/>
      <c r="Q275" s="34">
        <v>18660.95</v>
      </c>
      <c r="R275" s="34">
        <v>23317.53</v>
      </c>
      <c r="S275" s="34">
        <v>35140.9</v>
      </c>
      <c r="T275" s="359">
        <f t="shared" si="9"/>
        <v>2946185.1896363636</v>
      </c>
      <c r="U275" s="17">
        <v>65</v>
      </c>
      <c r="V275" s="32">
        <v>869</v>
      </c>
      <c r="W275" s="376">
        <v>-16404.84</v>
      </c>
      <c r="X275" s="34"/>
      <c r="Y275" s="34">
        <v>-96.5</v>
      </c>
      <c r="Z275" s="34">
        <v>0.6</v>
      </c>
      <c r="AB275" s="414"/>
      <c r="AC275" s="414"/>
    </row>
    <row r="276" spans="1:29" x14ac:dyDescent="0.25">
      <c r="A276" s="370">
        <v>5881</v>
      </c>
      <c r="B276" s="354" t="s">
        <v>206</v>
      </c>
      <c r="C276" s="34">
        <v>17175028.899999999</v>
      </c>
      <c r="D276" s="34">
        <v>3405779.36</v>
      </c>
      <c r="E276" s="380"/>
      <c r="F276" s="355"/>
      <c r="G276" s="425">
        <f>VLOOKUP(A276,'[1]Tableau (2)'!$A:$E,3,FALSE)</f>
        <v>186634.69613821138</v>
      </c>
      <c r="H276" s="425">
        <f>VLOOKUP(A276,'[1]Tableau (2)'!$A:$E,4,FALSE)</f>
        <v>20376.100000000002</v>
      </c>
      <c r="I276" s="425">
        <f>VLOOKUP(A276,'[2]Tableau (2)'!$A$4:$D$312,4,FALSE)</f>
        <v>73225.5</v>
      </c>
      <c r="J276" s="380">
        <v>1024100.06</v>
      </c>
      <c r="K276" s="357">
        <v>331530.07</v>
      </c>
      <c r="L276" s="355">
        <v>36678.1</v>
      </c>
      <c r="M276" s="357">
        <v>1604822.15</v>
      </c>
      <c r="N276" s="358">
        <f t="shared" si="8"/>
        <v>23858174.936138209</v>
      </c>
      <c r="O276" s="34">
        <v>83809.45</v>
      </c>
      <c r="P276" s="34">
        <v>102726.39999999999</v>
      </c>
      <c r="Q276" s="34">
        <v>693090.65</v>
      </c>
      <c r="R276" s="34">
        <v>42838.68</v>
      </c>
      <c r="S276" s="34">
        <v>448979.8</v>
      </c>
      <c r="T276" s="359">
        <f t="shared" si="9"/>
        <v>25229619.916138206</v>
      </c>
      <c r="U276" s="17">
        <v>70</v>
      </c>
      <c r="V276" s="32">
        <v>6183</v>
      </c>
      <c r="W276" s="376">
        <v>-155287.64000000001</v>
      </c>
      <c r="X276" s="34"/>
      <c r="Y276" s="34">
        <v>-109052.67</v>
      </c>
      <c r="Z276" s="34">
        <v>1</v>
      </c>
      <c r="AB276" s="414"/>
      <c r="AC276" s="414"/>
    </row>
    <row r="277" spans="1:29" x14ac:dyDescent="0.25">
      <c r="A277" s="370">
        <v>5882</v>
      </c>
      <c r="B277" s="354" t="s">
        <v>207</v>
      </c>
      <c r="C277" s="34">
        <v>7415162.6100000003</v>
      </c>
      <c r="D277" s="34">
        <v>1708634.02</v>
      </c>
      <c r="E277" s="380"/>
      <c r="F277" s="355"/>
      <c r="G277" s="425">
        <f>VLOOKUP(A277,'[1]Tableau (2)'!$A:$E,3,FALSE)</f>
        <v>73341.241362897592</v>
      </c>
      <c r="H277" s="425">
        <f>VLOOKUP(A277,'[1]Tableau (2)'!$A:$E,4,FALSE)</f>
        <v>5584.2999999999993</v>
      </c>
      <c r="I277" s="425">
        <f>VLOOKUP(A277,'[2]Tableau (2)'!$A$4:$D$312,4,FALSE)</f>
        <v>26337.55</v>
      </c>
      <c r="J277" s="380">
        <v>362767.42</v>
      </c>
      <c r="K277" s="357">
        <v>227461.72</v>
      </c>
      <c r="L277" s="355">
        <v>38284.25</v>
      </c>
      <c r="M277" s="357">
        <v>859661.16</v>
      </c>
      <c r="N277" s="358">
        <f t="shared" si="8"/>
        <v>10717234.271362901</v>
      </c>
      <c r="O277" s="34">
        <v>15528.4</v>
      </c>
      <c r="P277" s="34">
        <v>1190895.6000000001</v>
      </c>
      <c r="Q277" s="34">
        <v>593668.25</v>
      </c>
      <c r="R277" s="34">
        <v>9686.6299999999992</v>
      </c>
      <c r="S277" s="34">
        <v>771366.25</v>
      </c>
      <c r="T277" s="359">
        <f t="shared" si="9"/>
        <v>13298379.401362902</v>
      </c>
      <c r="U277" s="17">
        <v>68</v>
      </c>
      <c r="V277" s="32">
        <v>2921</v>
      </c>
      <c r="W277" s="376">
        <v>-84606.54</v>
      </c>
      <c r="X277" s="34"/>
      <c r="Y277" s="34">
        <v>-1575.09</v>
      </c>
      <c r="Z277" s="34">
        <v>1</v>
      </c>
      <c r="AB277" s="414"/>
      <c r="AC277" s="414"/>
    </row>
    <row r="278" spans="1:29" x14ac:dyDescent="0.25">
      <c r="A278" s="370">
        <v>5883</v>
      </c>
      <c r="B278" s="354" t="s">
        <v>208</v>
      </c>
      <c r="C278" s="34">
        <v>7286866.3200000003</v>
      </c>
      <c r="D278" s="34">
        <v>1639169.67</v>
      </c>
      <c r="E278" s="380"/>
      <c r="F278" s="355"/>
      <c r="G278" s="425">
        <f>VLOOKUP(A278,'[1]Tableau (2)'!$A:$E,3,FALSE)</f>
        <v>85176.148129921261</v>
      </c>
      <c r="H278" s="425">
        <f>VLOOKUP(A278,'[1]Tableau (2)'!$A:$E,4,FALSE)</f>
        <v>18273.7</v>
      </c>
      <c r="I278" s="425">
        <f>VLOOKUP(A278,'[2]Tableau (2)'!$A$4:$D$312,4,FALSE)</f>
        <v>31282.2</v>
      </c>
      <c r="J278" s="380">
        <v>548295.93999999994</v>
      </c>
      <c r="K278" s="357">
        <v>169713.3</v>
      </c>
      <c r="L278" s="355">
        <v>7131.5</v>
      </c>
      <c r="M278" s="357">
        <v>635793.85</v>
      </c>
      <c r="N278" s="358">
        <f t="shared" si="8"/>
        <v>10421702.62812992</v>
      </c>
      <c r="O278" s="34"/>
      <c r="P278" s="34">
        <v>362315.7</v>
      </c>
      <c r="Q278" s="34">
        <v>265661</v>
      </c>
      <c r="R278" s="34">
        <v>4659.0200000000004</v>
      </c>
      <c r="S278" s="34">
        <v>235156.7</v>
      </c>
      <c r="T278" s="359">
        <f t="shared" si="9"/>
        <v>11289495.048129918</v>
      </c>
      <c r="U278" s="17">
        <v>69</v>
      </c>
      <c r="V278" s="32">
        <v>2289</v>
      </c>
      <c r="W278" s="376">
        <v>-64700.57</v>
      </c>
      <c r="X278" s="34"/>
      <c r="Y278" s="34">
        <v>-1687.17</v>
      </c>
      <c r="Z278" s="34">
        <v>1</v>
      </c>
      <c r="AB278" s="414"/>
      <c r="AC278" s="414"/>
    </row>
    <row r="279" spans="1:29" x14ac:dyDescent="0.25">
      <c r="A279" s="370">
        <v>5884</v>
      </c>
      <c r="B279" s="354" t="s">
        <v>49</v>
      </c>
      <c r="C279" s="34">
        <v>5162432.1399999997</v>
      </c>
      <c r="D279" s="34">
        <v>751820.05</v>
      </c>
      <c r="E279" s="380"/>
      <c r="F279" s="355"/>
      <c r="G279" s="425">
        <f>VLOOKUP(A279,'[1]Tableau (2)'!$A:$E,3,FALSE)</f>
        <v>800650.30794314377</v>
      </c>
      <c r="H279" s="425">
        <f>VLOOKUP(A279,'[1]Tableau (2)'!$A:$E,4,FALSE)</f>
        <v>34129.649999999994</v>
      </c>
      <c r="I279" s="425">
        <f>VLOOKUP(A279,'[2]Tableau (2)'!$A$4:$D$312,4,FALSE)</f>
        <v>208163.4</v>
      </c>
      <c r="J279" s="380">
        <v>22781.4</v>
      </c>
      <c r="K279" s="357">
        <v>265255.77</v>
      </c>
      <c r="L279" s="355">
        <v>50985.2</v>
      </c>
      <c r="M279" s="357">
        <v>935458.9</v>
      </c>
      <c r="N279" s="358">
        <f t="shared" si="8"/>
        <v>8231676.8179431455</v>
      </c>
      <c r="O279" s="34">
        <v>469080.1</v>
      </c>
      <c r="P279" s="34">
        <v>98675.3</v>
      </c>
      <c r="Q279" s="34">
        <v>229542.5</v>
      </c>
      <c r="R279" s="34">
        <v>47766.79</v>
      </c>
      <c r="S279" s="34">
        <v>234602.75</v>
      </c>
      <c r="T279" s="359">
        <f t="shared" si="9"/>
        <v>9311344.2579431459</v>
      </c>
      <c r="U279" s="17">
        <v>66</v>
      </c>
      <c r="V279" s="32">
        <v>3396</v>
      </c>
      <c r="W279" s="376">
        <v>-164447.10999999999</v>
      </c>
      <c r="X279" s="34"/>
      <c r="Y279" s="34">
        <v>-665.19</v>
      </c>
      <c r="Z279" s="34">
        <v>1.2</v>
      </c>
      <c r="AB279" s="414"/>
      <c r="AC279" s="414"/>
    </row>
    <row r="280" spans="1:29" x14ac:dyDescent="0.25">
      <c r="A280" s="370">
        <v>5885</v>
      </c>
      <c r="B280" s="354" t="s">
        <v>50</v>
      </c>
      <c r="C280" s="34">
        <v>4694237.32</v>
      </c>
      <c r="D280" s="34">
        <v>1115873.99</v>
      </c>
      <c r="E280" s="380"/>
      <c r="F280" s="355"/>
      <c r="G280" s="425">
        <f>VLOOKUP(A280,'[1]Tableau (2)'!$A:$E,3,FALSE)</f>
        <v>113128.65814212518</v>
      </c>
      <c r="H280" s="425">
        <f>VLOOKUP(A280,'[1]Tableau (2)'!$A:$E,4,FALSE)</f>
        <v>753.5</v>
      </c>
      <c r="I280" s="425">
        <f>VLOOKUP(A280,'[2]Tableau (2)'!$A$4:$D$312,4,FALSE)</f>
        <v>33712.1</v>
      </c>
      <c r="J280" s="380">
        <v>142208.18</v>
      </c>
      <c r="K280" s="357">
        <v>120812.65</v>
      </c>
      <c r="L280" s="355">
        <v>10194.9</v>
      </c>
      <c r="M280" s="357">
        <v>444849.65</v>
      </c>
      <c r="N280" s="358">
        <f t="shared" si="8"/>
        <v>6675770.9481421262</v>
      </c>
      <c r="O280" s="34">
        <v>7550.35</v>
      </c>
      <c r="P280" s="34">
        <v>165366.1</v>
      </c>
      <c r="Q280" s="34">
        <v>213726.4</v>
      </c>
      <c r="R280" s="34">
        <v>13302.69</v>
      </c>
      <c r="S280" s="34">
        <v>278243.15000000002</v>
      </c>
      <c r="T280" s="359">
        <f t="shared" si="9"/>
        <v>7353959.6381421266</v>
      </c>
      <c r="U280" s="17">
        <v>71</v>
      </c>
      <c r="V280" s="32">
        <v>1549</v>
      </c>
      <c r="W280" s="376">
        <v>-32513.439999999999</v>
      </c>
      <c r="X280" s="34"/>
      <c r="Y280" s="34">
        <v>-5133.49</v>
      </c>
      <c r="Z280" s="34">
        <v>1.2</v>
      </c>
      <c r="AB280" s="414"/>
      <c r="AC280" s="414"/>
    </row>
    <row r="281" spans="1:29" x14ac:dyDescent="0.25">
      <c r="A281" s="370">
        <v>5886</v>
      </c>
      <c r="B281" s="354" t="s">
        <v>51</v>
      </c>
      <c r="C281" s="34">
        <v>45064376</v>
      </c>
      <c r="D281" s="34">
        <v>10869595.640000001</v>
      </c>
      <c r="E281" s="380"/>
      <c r="F281" s="355"/>
      <c r="G281" s="425">
        <f>VLOOKUP(A281,'[1]Tableau (2)'!$A:$E,3,FALSE)</f>
        <v>1605412.3635636363</v>
      </c>
      <c r="H281" s="425">
        <f>VLOOKUP(A281,'[1]Tableau (2)'!$A:$E,4,FALSE)</f>
        <v>669190.9</v>
      </c>
      <c r="I281" s="425">
        <f>VLOOKUP(A281,'[2]Tableau (2)'!$A$4:$D$312,4,FALSE)</f>
        <v>1064266.95</v>
      </c>
      <c r="J281" s="380">
        <v>4481090.6100000003</v>
      </c>
      <c r="K281" s="357">
        <v>3087361.22</v>
      </c>
      <c r="L281" s="355">
        <v>586296.69999999995</v>
      </c>
      <c r="M281" s="357">
        <v>10055342.15</v>
      </c>
      <c r="N281" s="358">
        <f t="shared" si="8"/>
        <v>77482932.533563644</v>
      </c>
      <c r="O281" s="34">
        <v>677240.75</v>
      </c>
      <c r="P281" s="34">
        <v>8095409.7000000002</v>
      </c>
      <c r="Q281" s="34">
        <v>3972357.55</v>
      </c>
      <c r="R281" s="34">
        <v>388269.5</v>
      </c>
      <c r="S281" s="34">
        <v>3792148.65</v>
      </c>
      <c r="T281" s="359">
        <f t="shared" si="9"/>
        <v>94408358.68356365</v>
      </c>
      <c r="U281" s="17">
        <v>65</v>
      </c>
      <c r="V281" s="32">
        <v>26653</v>
      </c>
      <c r="W281" s="376">
        <v>-1625317.09</v>
      </c>
      <c r="X281" s="34"/>
      <c r="Y281" s="34">
        <v>-31877.83</v>
      </c>
      <c r="Z281" s="34">
        <v>1.5</v>
      </c>
      <c r="AB281" s="414"/>
      <c r="AC281" s="414"/>
    </row>
    <row r="282" spans="1:29" x14ac:dyDescent="0.25">
      <c r="A282" s="370">
        <v>5888</v>
      </c>
      <c r="B282" s="354" t="s">
        <v>518</v>
      </c>
      <c r="C282" s="34">
        <v>14368407.550000001</v>
      </c>
      <c r="D282" s="34">
        <v>2888081.85</v>
      </c>
      <c r="E282" s="380"/>
      <c r="F282" s="355"/>
      <c r="G282" s="425">
        <f>VLOOKUP(A282,'[1]Tableau (2)'!$A:$E,3,FALSE)</f>
        <v>292738.64232399344</v>
      </c>
      <c r="H282" s="425">
        <f>VLOOKUP(A282,'[1]Tableau (2)'!$A:$E,4,FALSE)</f>
        <v>12755.3</v>
      </c>
      <c r="I282" s="425">
        <f>VLOOKUP(A282,'[2]Tableau (2)'!$A$4:$D$312,4,FALSE)</f>
        <v>119784.25</v>
      </c>
      <c r="J282" s="380">
        <v>90942.84</v>
      </c>
      <c r="K282" s="357">
        <v>357068.75</v>
      </c>
      <c r="L282" s="355">
        <v>-6066.65</v>
      </c>
      <c r="M282" s="357">
        <v>1743140.2</v>
      </c>
      <c r="N282" s="358">
        <f t="shared" si="8"/>
        <v>19866852.732323997</v>
      </c>
      <c r="O282" s="34">
        <v>154863.9</v>
      </c>
      <c r="P282" s="34">
        <v>387548</v>
      </c>
      <c r="Q282" s="34">
        <v>1047193.35</v>
      </c>
      <c r="R282" s="34">
        <v>139599.91</v>
      </c>
      <c r="S282" s="34">
        <v>482408.15</v>
      </c>
      <c r="T282" s="359">
        <f t="shared" si="9"/>
        <v>22078466.042323995</v>
      </c>
      <c r="U282" s="17">
        <v>67</v>
      </c>
      <c r="V282" s="32">
        <v>5167</v>
      </c>
      <c r="W282" s="376">
        <v>-202357.88</v>
      </c>
      <c r="X282" s="34"/>
      <c r="Y282" s="34">
        <v>-8942.5</v>
      </c>
      <c r="Z282" s="34">
        <v>1.2</v>
      </c>
      <c r="AB282" s="414"/>
      <c r="AC282" s="414"/>
    </row>
    <row r="283" spans="1:29" x14ac:dyDescent="0.25">
      <c r="A283" s="370">
        <v>5889</v>
      </c>
      <c r="B283" s="354" t="s">
        <v>52</v>
      </c>
      <c r="C283" s="34">
        <v>26259337.739999998</v>
      </c>
      <c r="D283" s="34">
        <v>5781999.2699999996</v>
      </c>
      <c r="E283" s="380"/>
      <c r="F283" s="355"/>
      <c r="G283" s="425">
        <f>VLOOKUP(A283,'[1]Tableau (2)'!$A:$E,3,FALSE)</f>
        <v>705161.46585875994</v>
      </c>
      <c r="H283" s="425">
        <f>VLOOKUP(A283,'[1]Tableau (2)'!$A:$E,4,FALSE)</f>
        <v>4996359.8</v>
      </c>
      <c r="I283" s="425">
        <f>VLOOKUP(A283,'[2]Tableau (2)'!$A$4:$D$312,4,FALSE)</f>
        <v>1160821.1499999999</v>
      </c>
      <c r="J283" s="380">
        <v>919774.08</v>
      </c>
      <c r="K283" s="357">
        <v>1352330.25</v>
      </c>
      <c r="L283" s="355">
        <v>188269.6</v>
      </c>
      <c r="M283" s="357">
        <v>2600070.5499999998</v>
      </c>
      <c r="N283" s="358">
        <f t="shared" si="8"/>
        <v>43964123.905858755</v>
      </c>
      <c r="O283" s="34">
        <v>130445.55</v>
      </c>
      <c r="P283" s="34">
        <v>294441.2</v>
      </c>
      <c r="Q283" s="34">
        <v>2117848.35</v>
      </c>
      <c r="R283" s="34">
        <v>118064.7</v>
      </c>
      <c r="S283" s="34">
        <v>1102536.1000000001</v>
      </c>
      <c r="T283" s="359">
        <f t="shared" si="9"/>
        <v>47727459.805858761</v>
      </c>
      <c r="U283" s="17">
        <v>64</v>
      </c>
      <c r="V283" s="32">
        <v>11779</v>
      </c>
      <c r="W283" s="376">
        <v>-394446.37</v>
      </c>
      <c r="X283" s="34"/>
      <c r="Y283" s="34">
        <v>-84398.75</v>
      </c>
      <c r="Z283" s="34">
        <v>1.2</v>
      </c>
      <c r="AB283" s="414"/>
      <c r="AC283" s="414"/>
    </row>
    <row r="284" spans="1:29" x14ac:dyDescent="0.25">
      <c r="A284" s="370">
        <v>5890</v>
      </c>
      <c r="B284" s="354" t="s">
        <v>53</v>
      </c>
      <c r="C284" s="34">
        <v>37600999.560000002</v>
      </c>
      <c r="D284" s="34">
        <v>4543236.49</v>
      </c>
      <c r="E284" s="380"/>
      <c r="F284" s="355"/>
      <c r="G284" s="425">
        <f>VLOOKUP(A284,'[1]Tableau (2)'!$A:$E,3,FALSE)</f>
        <v>4599721.7420264697</v>
      </c>
      <c r="H284" s="425">
        <f>VLOOKUP(A284,'[1]Tableau (2)'!$A:$E,4,FALSE)</f>
        <v>11470817</v>
      </c>
      <c r="I284" s="425">
        <f>VLOOKUP(A284,'[2]Tableau (2)'!$A$4:$D$312,4,FALSE)</f>
        <v>3306671.55</v>
      </c>
      <c r="J284" s="380">
        <v>532328.87</v>
      </c>
      <c r="K284" s="357">
        <v>4596329.45</v>
      </c>
      <c r="L284" s="355">
        <v>546173.19999999995</v>
      </c>
      <c r="M284" s="357">
        <v>5141008.9000000004</v>
      </c>
      <c r="N284" s="358">
        <f t="shared" si="8"/>
        <v>72337286.762026474</v>
      </c>
      <c r="O284" s="34">
        <v>904038.35</v>
      </c>
      <c r="P284" s="34">
        <v>3914517.8</v>
      </c>
      <c r="Q284" s="34">
        <v>1147833.8999999999</v>
      </c>
      <c r="R284" s="34">
        <v>142962.25</v>
      </c>
      <c r="S284" s="34">
        <v>530230.4</v>
      </c>
      <c r="T284" s="359">
        <f t="shared" si="9"/>
        <v>78976869.462026477</v>
      </c>
      <c r="U284" s="17">
        <v>73</v>
      </c>
      <c r="V284" s="32">
        <v>19829</v>
      </c>
      <c r="W284" s="376">
        <v>-1079319.3999999999</v>
      </c>
      <c r="X284" s="34"/>
      <c r="Y284" s="34">
        <v>-100162.21</v>
      </c>
      <c r="Z284" s="34">
        <v>1.5</v>
      </c>
      <c r="AB284" s="414"/>
      <c r="AC284" s="414"/>
    </row>
    <row r="285" spans="1:29" x14ac:dyDescent="0.25">
      <c r="A285" s="370">
        <v>5891</v>
      </c>
      <c r="B285" s="354" t="s">
        <v>54</v>
      </c>
      <c r="C285" s="34">
        <v>1605610.62</v>
      </c>
      <c r="D285" s="34">
        <v>464650.68</v>
      </c>
      <c r="E285" s="380"/>
      <c r="F285" s="355"/>
      <c r="G285" s="425">
        <f>VLOOKUP(A285,'[1]Tableau (2)'!$A:$E,3,FALSE)</f>
        <v>24418.485027472529</v>
      </c>
      <c r="H285" s="425">
        <f>VLOOKUP(A285,'[1]Tableau (2)'!$A:$E,4,FALSE)</f>
        <v>17628.7</v>
      </c>
      <c r="I285" s="425">
        <f>VLOOKUP(A285,'[2]Tableau (2)'!$A$4:$D$312,4,FALSE)</f>
        <v>14444.2</v>
      </c>
      <c r="J285" s="380">
        <v>57838.65</v>
      </c>
      <c r="K285" s="357">
        <v>57552</v>
      </c>
      <c r="L285" s="355">
        <v>-12841.9</v>
      </c>
      <c r="M285" s="357">
        <v>283203.20000000001</v>
      </c>
      <c r="N285" s="358">
        <f t="shared" si="8"/>
        <v>2512504.6350274729</v>
      </c>
      <c r="O285" s="34"/>
      <c r="P285" s="34">
        <v>10395</v>
      </c>
      <c r="Q285" s="34">
        <v>182197.4</v>
      </c>
      <c r="R285" s="34">
        <v>21048.67</v>
      </c>
      <c r="S285" s="34">
        <v>50754.9</v>
      </c>
      <c r="T285" s="359">
        <f t="shared" si="9"/>
        <v>2776900.6050274726</v>
      </c>
      <c r="U285" s="17">
        <v>69</v>
      </c>
      <c r="V285" s="32">
        <v>870</v>
      </c>
      <c r="W285" s="376">
        <v>-60678.64</v>
      </c>
      <c r="X285" s="34"/>
      <c r="Y285" s="34">
        <v>-1060.32</v>
      </c>
      <c r="Z285" s="34">
        <v>1.2</v>
      </c>
      <c r="AB285" s="414"/>
      <c r="AC285" s="414"/>
    </row>
    <row r="286" spans="1:29" x14ac:dyDescent="0.25">
      <c r="A286" s="370">
        <v>5902</v>
      </c>
      <c r="B286" s="354" t="s">
        <v>55</v>
      </c>
      <c r="C286" s="34">
        <v>634082.69999999995</v>
      </c>
      <c r="D286" s="34">
        <v>54117.5</v>
      </c>
      <c r="E286" s="380"/>
      <c r="F286" s="355"/>
      <c r="G286" s="425">
        <f>VLOOKUP(A286,'[1]Tableau (2)'!$A:$E,3,FALSE)</f>
        <v>1574.3438830897703</v>
      </c>
      <c r="H286" s="425">
        <f>VLOOKUP(A286,'[1]Tableau (2)'!$A:$E,4,FALSE)</f>
        <v>468</v>
      </c>
      <c r="I286" s="425">
        <f>VLOOKUP(A286,'[2]Tableau (2)'!$A$4:$D$312,4,FALSE)</f>
        <v>496.3</v>
      </c>
      <c r="J286" s="380"/>
      <c r="K286" s="357">
        <v>8882.9500000000007</v>
      </c>
      <c r="L286" s="355">
        <v>-84.5</v>
      </c>
      <c r="M286" s="357">
        <v>52127.9</v>
      </c>
      <c r="N286" s="358">
        <f t="shared" si="8"/>
        <v>751665.1938830897</v>
      </c>
      <c r="O286" s="34"/>
      <c r="P286" s="34"/>
      <c r="Q286" s="34">
        <v>32761.85</v>
      </c>
      <c r="R286" s="34"/>
      <c r="S286" s="34">
        <v>30670.85</v>
      </c>
      <c r="T286" s="359">
        <f t="shared" si="9"/>
        <v>815097.89388308965</v>
      </c>
      <c r="U286" s="17">
        <v>76</v>
      </c>
      <c r="V286" s="32">
        <v>378</v>
      </c>
      <c r="W286" s="376">
        <v>-8.65</v>
      </c>
      <c r="X286" s="34"/>
      <c r="Y286" s="34">
        <v>0</v>
      </c>
      <c r="Z286" s="34">
        <v>1</v>
      </c>
      <c r="AB286" s="414"/>
      <c r="AC286" s="414"/>
    </row>
    <row r="287" spans="1:29" x14ac:dyDescent="0.25">
      <c r="A287" s="370">
        <v>5903</v>
      </c>
      <c r="B287" s="354" t="s">
        <v>56</v>
      </c>
      <c r="C287" s="34">
        <v>348125.83</v>
      </c>
      <c r="D287" s="34">
        <v>48963.360000000001</v>
      </c>
      <c r="E287" s="380"/>
      <c r="F287" s="355"/>
      <c r="G287" s="425">
        <f>VLOOKUP(A287,'[1]Tableau (2)'!$A:$E,3,FALSE)</f>
        <v>4351.0769379014982</v>
      </c>
      <c r="H287" s="425">
        <f>VLOOKUP(A287,'[1]Tableau (2)'!$A:$E,4,FALSE)</f>
        <v>154</v>
      </c>
      <c r="I287" s="425">
        <f>VLOOKUP(A287,'[2]Tableau (2)'!$A$4:$D$312,4,FALSE)</f>
        <v>1149.75</v>
      </c>
      <c r="J287" s="380"/>
      <c r="K287" s="357">
        <v>2401.9299999999998</v>
      </c>
      <c r="L287" s="355"/>
      <c r="M287" s="357">
        <v>23477.9</v>
      </c>
      <c r="N287" s="358">
        <f t="shared" si="8"/>
        <v>428623.84693790152</v>
      </c>
      <c r="O287" s="34">
        <v>6652.7</v>
      </c>
      <c r="P287" s="34"/>
      <c r="Q287" s="34">
        <v>13707.75</v>
      </c>
      <c r="R287" s="34"/>
      <c r="S287" s="34">
        <v>13292.75</v>
      </c>
      <c r="T287" s="359">
        <f t="shared" si="9"/>
        <v>462277.04693790153</v>
      </c>
      <c r="U287" s="17">
        <v>74</v>
      </c>
      <c r="V287" s="32">
        <v>225</v>
      </c>
      <c r="W287" s="376">
        <v>-172.76</v>
      </c>
      <c r="X287" s="34"/>
      <c r="Y287" s="34">
        <v>0</v>
      </c>
      <c r="Z287" s="34">
        <v>0.7</v>
      </c>
      <c r="AB287" s="414"/>
      <c r="AC287" s="414"/>
    </row>
    <row r="288" spans="1:29" x14ac:dyDescent="0.25">
      <c r="A288" s="370">
        <v>5904</v>
      </c>
      <c r="B288" s="354" t="s">
        <v>57</v>
      </c>
      <c r="C288" s="34">
        <v>1193108.3700000001</v>
      </c>
      <c r="D288" s="34">
        <v>131340.14000000001</v>
      </c>
      <c r="E288" s="380"/>
      <c r="F288" s="355"/>
      <c r="G288" s="425">
        <f>VLOOKUP(A288,'[1]Tableau (2)'!$A:$E,3,FALSE)</f>
        <v>6116.0122909699003</v>
      </c>
      <c r="H288" s="425">
        <f>VLOOKUP(A288,'[1]Tableau (2)'!$A:$E,4,FALSE)</f>
        <v>906.30000000000007</v>
      </c>
      <c r="I288" s="425">
        <f>VLOOKUP(A288,'[2]Tableau (2)'!$A$4:$D$312,4,FALSE)</f>
        <v>2132.4499999999998</v>
      </c>
      <c r="J288" s="380"/>
      <c r="K288" s="357">
        <v>24088.22</v>
      </c>
      <c r="L288" s="355">
        <v>2914.15</v>
      </c>
      <c r="M288" s="357">
        <v>92722</v>
      </c>
      <c r="N288" s="358">
        <f t="shared" si="8"/>
        <v>1453327.6422909701</v>
      </c>
      <c r="O288" s="34">
        <v>31716.6</v>
      </c>
      <c r="P288" s="34">
        <v>4058.8</v>
      </c>
      <c r="Q288" s="34">
        <v>71951</v>
      </c>
      <c r="R288" s="34"/>
      <c r="S288" s="34">
        <v>7540.6</v>
      </c>
      <c r="T288" s="359">
        <f t="shared" si="9"/>
        <v>1568594.6422909703</v>
      </c>
      <c r="U288" s="17">
        <v>66</v>
      </c>
      <c r="V288" s="32">
        <v>534</v>
      </c>
      <c r="W288" s="376">
        <v>-24375.13</v>
      </c>
      <c r="X288" s="34"/>
      <c r="Y288" s="34">
        <v>-11.68</v>
      </c>
      <c r="Z288" s="34">
        <v>1</v>
      </c>
      <c r="AB288" s="414"/>
      <c r="AC288" s="414"/>
    </row>
    <row r="289" spans="1:29" x14ac:dyDescent="0.25">
      <c r="A289" s="370">
        <v>5905</v>
      </c>
      <c r="B289" s="354" t="s">
        <v>58</v>
      </c>
      <c r="C289" s="34">
        <v>1192883.7</v>
      </c>
      <c r="D289" s="34">
        <v>120319.71</v>
      </c>
      <c r="E289" s="380"/>
      <c r="F289" s="355"/>
      <c r="G289" s="425">
        <f>VLOOKUP(A289,'[1]Tableau (2)'!$A:$E,3,FALSE)</f>
        <v>92377.105635999091</v>
      </c>
      <c r="H289" s="425">
        <f>VLOOKUP(A289,'[1]Tableau (2)'!$A:$E,4,FALSE)</f>
        <v>421.9</v>
      </c>
      <c r="I289" s="425">
        <f>VLOOKUP(A289,'[2]Tableau (2)'!$A$4:$D$312,4,FALSE)</f>
        <v>31654.799999999999</v>
      </c>
      <c r="J289" s="380"/>
      <c r="K289" s="357">
        <v>41043.230000000003</v>
      </c>
      <c r="L289" s="355">
        <v>855.3</v>
      </c>
      <c r="M289" s="357">
        <v>95315.65</v>
      </c>
      <c r="N289" s="358">
        <f t="shared" si="8"/>
        <v>1574871.3956359988</v>
      </c>
      <c r="O289" s="34">
        <v>111826.35</v>
      </c>
      <c r="P289" s="34"/>
      <c r="Q289" s="34">
        <v>36061.1</v>
      </c>
      <c r="R289" s="34">
        <v>2804.22</v>
      </c>
      <c r="S289" s="34">
        <v>12873.75</v>
      </c>
      <c r="T289" s="359">
        <f t="shared" si="9"/>
        <v>1738436.815635999</v>
      </c>
      <c r="U289" s="17">
        <v>71</v>
      </c>
      <c r="V289" s="32">
        <v>669</v>
      </c>
      <c r="W289" s="376">
        <v>-4229.2</v>
      </c>
      <c r="X289" s="34"/>
      <c r="Y289" s="34">
        <v>-7.32</v>
      </c>
      <c r="Z289" s="34">
        <v>1</v>
      </c>
      <c r="AB289" s="414"/>
      <c r="AC289" s="414"/>
    </row>
    <row r="290" spans="1:29" x14ac:dyDescent="0.25">
      <c r="A290" s="370">
        <v>5907</v>
      </c>
      <c r="B290" s="354" t="s">
        <v>59</v>
      </c>
      <c r="C290" s="34">
        <v>545530.6</v>
      </c>
      <c r="D290" s="34">
        <v>84545.71</v>
      </c>
      <c r="E290" s="380"/>
      <c r="F290" s="355">
        <v>1820</v>
      </c>
      <c r="G290" s="425">
        <f>VLOOKUP(A290,'[1]Tableau (2)'!$A:$E,3,FALSE)</f>
        <v>1155.3783910386965</v>
      </c>
      <c r="H290" s="425">
        <f>VLOOKUP(A290,'[1]Tableau (2)'!$A:$E,4,FALSE)</f>
        <v>62</v>
      </c>
      <c r="I290" s="425">
        <f>VLOOKUP(A290,'[2]Tableau (2)'!$A$4:$D$312,4,FALSE)</f>
        <v>393.8</v>
      </c>
      <c r="J290" s="380"/>
      <c r="K290" s="357">
        <v>3429.23</v>
      </c>
      <c r="L290" s="355">
        <v>134</v>
      </c>
      <c r="M290" s="357">
        <v>38474.699999999997</v>
      </c>
      <c r="N290" s="358">
        <f t="shared" si="8"/>
        <v>675545.41839103866</v>
      </c>
      <c r="O290" s="34">
        <v>6237</v>
      </c>
      <c r="P290" s="34"/>
      <c r="Q290" s="34">
        <v>8230.5499999999993</v>
      </c>
      <c r="R290" s="34">
        <v>8850.2999999999993</v>
      </c>
      <c r="S290" s="34">
        <v>1166.6500000000001</v>
      </c>
      <c r="T290" s="359">
        <f t="shared" si="9"/>
        <v>700029.91839103878</v>
      </c>
      <c r="U290" s="17">
        <v>78</v>
      </c>
      <c r="V290" s="32">
        <v>298</v>
      </c>
      <c r="W290" s="376">
        <v>-10875.63</v>
      </c>
      <c r="X290" s="34"/>
      <c r="Y290" s="34">
        <v>0</v>
      </c>
      <c r="Z290" s="34">
        <v>1</v>
      </c>
      <c r="AB290" s="414"/>
      <c r="AC290" s="414"/>
    </row>
    <row r="291" spans="1:29" x14ac:dyDescent="0.25">
      <c r="A291" s="370">
        <v>5908</v>
      </c>
      <c r="B291" s="354" t="s">
        <v>60</v>
      </c>
      <c r="C291" s="34">
        <v>173247.81</v>
      </c>
      <c r="D291" s="34">
        <v>25677.29</v>
      </c>
      <c r="E291" s="380"/>
      <c r="F291" s="355"/>
      <c r="G291" s="425">
        <f>VLOOKUP(A291,'[1]Tableau (2)'!$A:$E,3,FALSE)</f>
        <v>360.10366270879445</v>
      </c>
      <c r="H291" s="425">
        <f>VLOOKUP(A291,'[1]Tableau (2)'!$A:$E,4,FALSE)</f>
        <v>437.1</v>
      </c>
      <c r="I291" s="425">
        <f>VLOOKUP(A291,'[2]Tableau (2)'!$A$4:$D$312,4,FALSE)</f>
        <v>308.10000000000002</v>
      </c>
      <c r="J291" s="380"/>
      <c r="K291" s="357">
        <v>2485.4699999999998</v>
      </c>
      <c r="L291" s="355">
        <v>49.5</v>
      </c>
      <c r="M291" s="357">
        <v>16264</v>
      </c>
      <c r="N291" s="358">
        <f t="shared" si="8"/>
        <v>218829.37366270882</v>
      </c>
      <c r="O291" s="34"/>
      <c r="P291" s="34">
        <v>1173</v>
      </c>
      <c r="Q291" s="34">
        <v>867.85</v>
      </c>
      <c r="R291" s="34">
        <v>362.93</v>
      </c>
      <c r="S291" s="34">
        <v>798.8</v>
      </c>
      <c r="T291" s="359">
        <f t="shared" si="9"/>
        <v>222031.95366270881</v>
      </c>
      <c r="U291" s="17">
        <v>79</v>
      </c>
      <c r="V291" s="32">
        <v>139</v>
      </c>
      <c r="W291" s="376">
        <v>-1708.82</v>
      </c>
      <c r="X291" s="34"/>
      <c r="Y291" s="34">
        <v>-8.43</v>
      </c>
      <c r="Z291" s="34">
        <v>1</v>
      </c>
      <c r="AB291" s="414"/>
      <c r="AC291" s="414"/>
    </row>
    <row r="292" spans="1:29" x14ac:dyDescent="0.25">
      <c r="A292" s="370">
        <v>5909</v>
      </c>
      <c r="B292" s="354" t="s">
        <v>61</v>
      </c>
      <c r="C292" s="34">
        <v>1556022.02</v>
      </c>
      <c r="D292" s="34">
        <v>243790.39</v>
      </c>
      <c r="E292" s="380"/>
      <c r="F292" s="355"/>
      <c r="G292" s="425">
        <f>VLOOKUP(A292,'[1]Tableau (2)'!$A:$E,3,FALSE)</f>
        <v>10822.474593495934</v>
      </c>
      <c r="H292" s="425">
        <f>VLOOKUP(A292,'[1]Tableau (2)'!$A:$E,4,FALSE)</f>
        <v>2580.65</v>
      </c>
      <c r="I292" s="425">
        <f>VLOOKUP(A292,'[2]Tableau (2)'!$A$4:$D$312,4,FALSE)</f>
        <v>4720.5</v>
      </c>
      <c r="J292" s="380"/>
      <c r="K292" s="357">
        <v>18439.009999999998</v>
      </c>
      <c r="L292" s="355">
        <v>747.45</v>
      </c>
      <c r="M292" s="357">
        <v>150561</v>
      </c>
      <c r="N292" s="358">
        <f t="shared" si="8"/>
        <v>1987683.494593496</v>
      </c>
      <c r="O292" s="34">
        <v>11017.75</v>
      </c>
      <c r="P292" s="34">
        <v>60298.1</v>
      </c>
      <c r="Q292" s="34">
        <v>132481.75</v>
      </c>
      <c r="R292" s="34"/>
      <c r="S292" s="34">
        <v>75092.149999999994</v>
      </c>
      <c r="T292" s="359">
        <f t="shared" si="9"/>
        <v>2266573.244593496</v>
      </c>
      <c r="U292" s="17">
        <v>70</v>
      </c>
      <c r="V292" s="32">
        <v>705</v>
      </c>
      <c r="W292" s="376">
        <v>-174.35</v>
      </c>
      <c r="X292" s="34">
        <v>-37138.800000000003</v>
      </c>
      <c r="Y292" s="34">
        <v>-125.62</v>
      </c>
      <c r="Z292" s="34">
        <v>1</v>
      </c>
      <c r="AB292" s="414"/>
      <c r="AC292" s="414"/>
    </row>
    <row r="293" spans="1:29" x14ac:dyDescent="0.25">
      <c r="A293" s="370">
        <v>5910</v>
      </c>
      <c r="B293" s="354" t="s">
        <v>62</v>
      </c>
      <c r="C293" s="34">
        <v>678587.2</v>
      </c>
      <c r="D293" s="34">
        <v>60963.31</v>
      </c>
      <c r="E293" s="380"/>
      <c r="F293" s="355">
        <v>2210</v>
      </c>
      <c r="G293" s="425">
        <f>VLOOKUP(A293,'[1]Tableau (2)'!$A:$E,3,FALSE)</f>
        <v>4060.5608573153554</v>
      </c>
      <c r="H293" s="425">
        <f>VLOOKUP(A293,'[1]Tableau (2)'!$A:$E,4,FALSE)</f>
        <v>139.5</v>
      </c>
      <c r="I293" s="425">
        <f>VLOOKUP(A293,'[2]Tableau (2)'!$A$4:$D$312,4,FALSE)</f>
        <v>1229.5</v>
      </c>
      <c r="J293" s="380"/>
      <c r="K293" s="357">
        <v>4762.8100000000004</v>
      </c>
      <c r="L293" s="355"/>
      <c r="M293" s="357">
        <v>49435.7</v>
      </c>
      <c r="N293" s="358">
        <f t="shared" si="8"/>
        <v>801388.58085731533</v>
      </c>
      <c r="O293" s="34"/>
      <c r="P293" s="34">
        <v>2399.6999999999998</v>
      </c>
      <c r="Q293" s="34">
        <v>5667.95</v>
      </c>
      <c r="R293" s="34">
        <v>6153.75</v>
      </c>
      <c r="S293" s="34">
        <v>382.7</v>
      </c>
      <c r="T293" s="359">
        <f t="shared" si="9"/>
        <v>815992.68085731519</v>
      </c>
      <c r="U293" s="17">
        <v>79</v>
      </c>
      <c r="V293" s="32">
        <v>380</v>
      </c>
      <c r="W293" s="376">
        <v>-10986.44</v>
      </c>
      <c r="X293" s="34"/>
      <c r="Y293" s="34">
        <v>-4.93</v>
      </c>
      <c r="Z293" s="34">
        <v>1</v>
      </c>
      <c r="AB293" s="414"/>
      <c r="AC293" s="414"/>
    </row>
    <row r="294" spans="1:29" x14ac:dyDescent="0.25">
      <c r="A294" s="370">
        <v>5911</v>
      </c>
      <c r="B294" s="354" t="s">
        <v>63</v>
      </c>
      <c r="C294" s="34">
        <v>488733.02</v>
      </c>
      <c r="D294" s="34">
        <v>39531.040000000001</v>
      </c>
      <c r="E294" s="380"/>
      <c r="F294" s="355">
        <v>1520</v>
      </c>
      <c r="G294" s="425">
        <f>VLOOKUP(A294,'[1]Tableau (2)'!$A:$E,3,FALSE)</f>
        <v>-9.4913865969007833</v>
      </c>
      <c r="H294" s="425">
        <f>VLOOKUP(A294,'[1]Tableau (2)'!$A:$E,4,FALSE)</f>
        <v>279.8</v>
      </c>
      <c r="I294" s="425">
        <f>VLOOKUP(A294,'[2]Tableau (2)'!$A$4:$D$312,4,FALSE)</f>
        <v>421.95</v>
      </c>
      <c r="J294" s="380"/>
      <c r="K294" s="357">
        <v>1590.82</v>
      </c>
      <c r="L294" s="355">
        <v>827.05</v>
      </c>
      <c r="M294" s="357">
        <v>29255.95</v>
      </c>
      <c r="N294" s="358">
        <f t="shared" si="8"/>
        <v>562150.13861340308</v>
      </c>
      <c r="O294" s="34"/>
      <c r="P294" s="34">
        <v>683.5</v>
      </c>
      <c r="Q294" s="34">
        <v>3004.05</v>
      </c>
      <c r="R294" s="34"/>
      <c r="S294" s="34">
        <v>6901.1</v>
      </c>
      <c r="T294" s="359">
        <f t="shared" si="9"/>
        <v>572738.7886134031</v>
      </c>
      <c r="U294" s="17">
        <v>79</v>
      </c>
      <c r="V294" s="32">
        <v>241</v>
      </c>
      <c r="W294" s="376">
        <v>-2478.67</v>
      </c>
      <c r="X294" s="34"/>
      <c r="Y294" s="34">
        <v>-134.75</v>
      </c>
      <c r="Z294" s="34">
        <v>1</v>
      </c>
      <c r="AB294" s="414"/>
      <c r="AC294" s="414"/>
    </row>
    <row r="295" spans="1:29" x14ac:dyDescent="0.25">
      <c r="A295" s="370">
        <v>5912</v>
      </c>
      <c r="B295" s="354" t="s">
        <v>64</v>
      </c>
      <c r="C295" s="34">
        <v>214571.9</v>
      </c>
      <c r="D295" s="34">
        <v>25578.77</v>
      </c>
      <c r="E295" s="380"/>
      <c r="F295" s="355">
        <v>880</v>
      </c>
      <c r="G295" s="425">
        <f>VLOOKUP(A295,'[1]Tableau (2)'!$A:$E,3,FALSE)</f>
        <v>448.24991157398307</v>
      </c>
      <c r="H295" s="425">
        <f>VLOOKUP(A295,'[1]Tableau (2)'!$A:$E,4,FALSE)</f>
        <v>32.6</v>
      </c>
      <c r="I295" s="425">
        <f>VLOOKUP(A295,'[2]Tableau (2)'!$A$4:$D$312,4,FALSE)</f>
        <v>208.55</v>
      </c>
      <c r="J295" s="380"/>
      <c r="K295" s="357">
        <v>1364.52</v>
      </c>
      <c r="L295" s="355"/>
      <c r="M295" s="357">
        <v>18259.7</v>
      </c>
      <c r="N295" s="358">
        <f t="shared" si="8"/>
        <v>261344.28991157396</v>
      </c>
      <c r="O295" s="34"/>
      <c r="P295" s="34"/>
      <c r="Q295" s="34">
        <v>6050</v>
      </c>
      <c r="R295" s="34"/>
      <c r="S295" s="34">
        <v>8210.35</v>
      </c>
      <c r="T295" s="359">
        <f t="shared" si="9"/>
        <v>275604.63991157396</v>
      </c>
      <c r="U295" s="17">
        <v>81</v>
      </c>
      <c r="V295" s="32">
        <v>146</v>
      </c>
      <c r="W295" s="376">
        <v>-3258.73</v>
      </c>
      <c r="X295" s="34"/>
      <c r="Y295" s="34">
        <v>0</v>
      </c>
      <c r="Z295" s="34">
        <v>1</v>
      </c>
      <c r="AB295" s="414"/>
      <c r="AC295" s="414"/>
    </row>
    <row r="296" spans="1:29" x14ac:dyDescent="0.25">
      <c r="A296" s="370">
        <v>5913</v>
      </c>
      <c r="B296" s="354" t="s">
        <v>65</v>
      </c>
      <c r="C296" s="34">
        <v>1143592</v>
      </c>
      <c r="D296" s="34">
        <v>190165.17</v>
      </c>
      <c r="E296" s="380"/>
      <c r="F296" s="355"/>
      <c r="G296" s="425">
        <f>VLOOKUP(A296,'[1]Tableau (2)'!$A:$E,3,FALSE)</f>
        <v>14822.762226079409</v>
      </c>
      <c r="H296" s="425">
        <f>VLOOKUP(A296,'[1]Tableau (2)'!$A:$E,4,FALSE)</f>
        <v>313.10000000000002</v>
      </c>
      <c r="I296" s="425">
        <f>VLOOKUP(A296,'[2]Tableau (2)'!$A$4:$D$312,4,FALSE)</f>
        <v>4351.45</v>
      </c>
      <c r="J296" s="380"/>
      <c r="K296" s="357">
        <v>12589.86</v>
      </c>
      <c r="L296" s="355">
        <v>2569.65</v>
      </c>
      <c r="M296" s="357">
        <v>104015.3</v>
      </c>
      <c r="N296" s="358">
        <f t="shared" si="8"/>
        <v>1472419.2922260794</v>
      </c>
      <c r="O296" s="34">
        <v>20008.099999999999</v>
      </c>
      <c r="P296" s="34">
        <v>19742.599999999999</v>
      </c>
      <c r="Q296" s="34">
        <v>38560.35</v>
      </c>
      <c r="R296" s="34">
        <v>48.89</v>
      </c>
      <c r="S296" s="34">
        <v>19462.25</v>
      </c>
      <c r="T296" s="359">
        <f t="shared" si="9"/>
        <v>1570241.4822260796</v>
      </c>
      <c r="U296" s="17">
        <v>73</v>
      </c>
      <c r="V296" s="32">
        <v>813</v>
      </c>
      <c r="W296" s="376">
        <v>-9610.66</v>
      </c>
      <c r="X296" s="34"/>
      <c r="Y296" s="34">
        <v>-273.58999999999997</v>
      </c>
      <c r="Z296" s="34">
        <v>1</v>
      </c>
      <c r="AB296" s="414"/>
      <c r="AC296" s="414"/>
    </row>
    <row r="297" spans="1:29" x14ac:dyDescent="0.25">
      <c r="A297" s="370">
        <v>5914</v>
      </c>
      <c r="B297" s="354" t="s">
        <v>66</v>
      </c>
      <c r="C297" s="34">
        <v>584898.43000000005</v>
      </c>
      <c r="D297" s="34">
        <v>95759.5</v>
      </c>
      <c r="E297" s="380"/>
      <c r="F297" s="355">
        <v>2100</v>
      </c>
      <c r="G297" s="425">
        <f>VLOOKUP(A297,'[1]Tableau (2)'!$A:$E,3,FALSE)</f>
        <v>-1603.3181818181818</v>
      </c>
      <c r="H297" s="425">
        <f>VLOOKUP(A297,'[1]Tableau (2)'!$A:$E,4,FALSE)</f>
        <v>17827.599999999999</v>
      </c>
      <c r="I297" s="425">
        <f>VLOOKUP(A297,'[2]Tableau (2)'!$A$4:$D$312,4,FALSE)</f>
        <v>2014.1</v>
      </c>
      <c r="J297" s="380"/>
      <c r="K297" s="357">
        <v>12582.57</v>
      </c>
      <c r="L297" s="355">
        <v>1258.0999999999999</v>
      </c>
      <c r="M297" s="357">
        <v>50334.15</v>
      </c>
      <c r="N297" s="358">
        <f t="shared" si="8"/>
        <v>765171.13181818172</v>
      </c>
      <c r="O297" s="34"/>
      <c r="P297" s="34">
        <v>890.45</v>
      </c>
      <c r="Q297" s="34">
        <v>24700</v>
      </c>
      <c r="R297" s="34"/>
      <c r="S297" s="34">
        <v>12129.45</v>
      </c>
      <c r="T297" s="359">
        <f t="shared" si="9"/>
        <v>802891.03181818163</v>
      </c>
      <c r="U297" s="17">
        <v>75</v>
      </c>
      <c r="V297" s="32">
        <v>361</v>
      </c>
      <c r="W297" s="376">
        <v>-2404.36</v>
      </c>
      <c r="X297" s="34"/>
      <c r="Y297" s="34">
        <v>0</v>
      </c>
      <c r="Z297" s="34">
        <v>1</v>
      </c>
      <c r="AB297" s="414"/>
      <c r="AC297" s="414"/>
    </row>
    <row r="298" spans="1:29" x14ac:dyDescent="0.25">
      <c r="A298" s="370">
        <v>5919</v>
      </c>
      <c r="B298" s="354" t="s">
        <v>394</v>
      </c>
      <c r="C298" s="34">
        <v>967849.76</v>
      </c>
      <c r="D298" s="34">
        <v>81214.820000000007</v>
      </c>
      <c r="E298" s="380"/>
      <c r="F298" s="355">
        <v>3630</v>
      </c>
      <c r="G298" s="425">
        <f>VLOOKUP(A298,'[1]Tableau (2)'!$A:$E,3,FALSE)</f>
        <v>6794.3304710920766</v>
      </c>
      <c r="H298" s="425">
        <f>VLOOKUP(A298,'[1]Tableau (2)'!$A:$E,4,FALSE)</f>
        <v>988.90000000000009</v>
      </c>
      <c r="I298" s="425">
        <f>VLOOKUP(A298,'[2]Tableau (2)'!$A$4:$D$312,4,FALSE)</f>
        <v>6870.45</v>
      </c>
      <c r="J298" s="380"/>
      <c r="K298" s="357">
        <v>11999.1</v>
      </c>
      <c r="L298" s="355">
        <v>5527.7</v>
      </c>
      <c r="M298" s="357">
        <v>110610</v>
      </c>
      <c r="N298" s="358">
        <f t="shared" si="8"/>
        <v>1195485.0604710921</v>
      </c>
      <c r="O298" s="34">
        <v>8491.2000000000007</v>
      </c>
      <c r="P298" s="34"/>
      <c r="Q298" s="34">
        <v>19790.849999999999</v>
      </c>
      <c r="R298" s="34">
        <v>11208.01</v>
      </c>
      <c r="S298" s="34"/>
      <c r="T298" s="359">
        <f t="shared" si="9"/>
        <v>1234975.1204710922</v>
      </c>
      <c r="U298" s="17">
        <v>72</v>
      </c>
      <c r="V298" s="32">
        <v>617</v>
      </c>
      <c r="W298" s="376">
        <v>-38968.370000000003</v>
      </c>
      <c r="X298" s="34"/>
      <c r="Y298" s="34">
        <v>-144.69999999999999</v>
      </c>
      <c r="Z298" s="34">
        <v>1.2</v>
      </c>
      <c r="AB298" s="414"/>
      <c r="AC298" s="414"/>
    </row>
    <row r="299" spans="1:29" x14ac:dyDescent="0.25">
      <c r="A299" s="370">
        <v>5921</v>
      </c>
      <c r="B299" s="354" t="s">
        <v>395</v>
      </c>
      <c r="C299" s="34">
        <v>322193.34000000003</v>
      </c>
      <c r="D299" s="34">
        <v>46106.41</v>
      </c>
      <c r="E299" s="380"/>
      <c r="F299" s="355"/>
      <c r="G299" s="425">
        <f>VLOOKUP(A299,'[1]Tableau (2)'!$A:$E,3,FALSE)</f>
        <v>10988.93244252309</v>
      </c>
      <c r="H299" s="425">
        <f>VLOOKUP(A299,'[1]Tableau (2)'!$A:$E,4,FALSE)</f>
        <v>737.3</v>
      </c>
      <c r="I299" s="425">
        <f>VLOOKUP(A299,'[2]Tableau (2)'!$A$4:$D$312,4,FALSE)</f>
        <v>4285.55</v>
      </c>
      <c r="J299" s="380"/>
      <c r="K299" s="357">
        <v>16675.400000000001</v>
      </c>
      <c r="L299" s="355"/>
      <c r="M299" s="357">
        <v>28681</v>
      </c>
      <c r="N299" s="358">
        <f t="shared" si="8"/>
        <v>429667.93244252307</v>
      </c>
      <c r="O299" s="34"/>
      <c r="P299" s="34">
        <v>3286.2</v>
      </c>
      <c r="Q299" s="34">
        <v>17480.8</v>
      </c>
      <c r="R299" s="34">
        <v>11622.85</v>
      </c>
      <c r="S299" s="34">
        <v>3177.3</v>
      </c>
      <c r="T299" s="359">
        <f t="shared" si="9"/>
        <v>465235.08244252304</v>
      </c>
      <c r="U299" s="17">
        <v>81</v>
      </c>
      <c r="V299" s="32">
        <v>232</v>
      </c>
      <c r="W299" s="376">
        <v>-10074.469999999999</v>
      </c>
      <c r="X299" s="34"/>
      <c r="Y299" s="34">
        <v>-0.06</v>
      </c>
      <c r="Z299" s="34">
        <v>1</v>
      </c>
      <c r="AB299" s="414"/>
      <c r="AC299" s="414"/>
    </row>
    <row r="300" spans="1:29" x14ac:dyDescent="0.25">
      <c r="A300" s="370">
        <v>5922</v>
      </c>
      <c r="B300" s="354" t="s">
        <v>273</v>
      </c>
      <c r="C300" s="34">
        <v>1470239.01</v>
      </c>
      <c r="D300" s="34">
        <v>216350.1</v>
      </c>
      <c r="E300" s="380"/>
      <c r="F300" s="355"/>
      <c r="G300" s="425">
        <f>VLOOKUP(A300,'[1]Tableau (2)'!$A:$E,3,FALSE)</f>
        <v>399364.05131409439</v>
      </c>
      <c r="H300" s="425">
        <f>VLOOKUP(A300,'[1]Tableau (2)'!$A:$E,4,FALSE)</f>
        <v>8080.05</v>
      </c>
      <c r="I300" s="425">
        <f>VLOOKUP(A300,'[2]Tableau (2)'!$A$4:$D$312,4,FALSE)</f>
        <v>140905.65</v>
      </c>
      <c r="J300" s="380"/>
      <c r="K300" s="357">
        <v>44718.02</v>
      </c>
      <c r="L300" s="355">
        <v>44958.05</v>
      </c>
      <c r="M300" s="357">
        <v>242617.65</v>
      </c>
      <c r="N300" s="358">
        <f t="shared" si="8"/>
        <v>2567232.5813140944</v>
      </c>
      <c r="O300" s="34">
        <v>151849.95000000001</v>
      </c>
      <c r="P300" s="34"/>
      <c r="Q300" s="34">
        <v>82569</v>
      </c>
      <c r="R300" s="34">
        <v>26802.41</v>
      </c>
      <c r="S300" s="34">
        <v>78110.600000000006</v>
      </c>
      <c r="T300" s="359">
        <f t="shared" si="9"/>
        <v>2906564.5413140948</v>
      </c>
      <c r="U300" s="17">
        <v>61</v>
      </c>
      <c r="V300" s="32">
        <v>717</v>
      </c>
      <c r="W300" s="376">
        <v>-59801.45</v>
      </c>
      <c r="X300" s="34"/>
      <c r="Y300" s="34">
        <v>-63.37</v>
      </c>
      <c r="Z300" s="34">
        <v>0.8</v>
      </c>
      <c r="AB300" s="414"/>
      <c r="AC300" s="414"/>
    </row>
    <row r="301" spans="1:29" x14ac:dyDescent="0.25">
      <c r="A301" s="370">
        <v>5923</v>
      </c>
      <c r="B301" s="354" t="s">
        <v>274</v>
      </c>
      <c r="C301" s="34">
        <v>288109.21000000002</v>
      </c>
      <c r="D301" s="34">
        <v>35582.800000000003</v>
      </c>
      <c r="E301" s="380"/>
      <c r="F301" s="355"/>
      <c r="G301" s="425">
        <f>VLOOKUP(A301,'[1]Tableau (2)'!$A:$E,3,FALSE)</f>
        <v>2958.6953821968955</v>
      </c>
      <c r="H301" s="425">
        <f>VLOOKUP(A301,'[1]Tableau (2)'!$A:$E,4,FALSE)</f>
        <v>579.70000000000005</v>
      </c>
      <c r="I301" s="425">
        <f>VLOOKUP(A301,'[2]Tableau (2)'!$A$4:$D$312,4,FALSE)</f>
        <v>1281</v>
      </c>
      <c r="J301" s="380"/>
      <c r="K301" s="357">
        <v>25452.47</v>
      </c>
      <c r="L301" s="355"/>
      <c r="M301" s="360">
        <v>23806.400000000001</v>
      </c>
      <c r="N301" s="358">
        <f t="shared" si="8"/>
        <v>377770.275382197</v>
      </c>
      <c r="O301" s="34">
        <v>10712</v>
      </c>
      <c r="P301" s="34">
        <v>1055.0999999999999</v>
      </c>
      <c r="Q301" s="34">
        <v>7810</v>
      </c>
      <c r="R301" s="34"/>
      <c r="S301" s="34">
        <v>4693.3999999999996</v>
      </c>
      <c r="T301" s="359">
        <f t="shared" si="9"/>
        <v>402040.775382197</v>
      </c>
      <c r="U301" s="17">
        <v>81</v>
      </c>
      <c r="V301" s="32">
        <v>187</v>
      </c>
      <c r="W301" s="376">
        <v>-2651.85</v>
      </c>
      <c r="X301" s="34"/>
      <c r="Y301" s="34">
        <v>0</v>
      </c>
      <c r="Z301" s="34">
        <v>1</v>
      </c>
      <c r="AB301" s="414"/>
      <c r="AC301" s="414"/>
    </row>
    <row r="302" spans="1:29" x14ac:dyDescent="0.25">
      <c r="A302" s="370">
        <v>5924</v>
      </c>
      <c r="B302" s="354" t="s">
        <v>275</v>
      </c>
      <c r="C302" s="34">
        <v>634944.38</v>
      </c>
      <c r="D302" s="34">
        <v>68901.8</v>
      </c>
      <c r="E302" s="380"/>
      <c r="F302" s="355"/>
      <c r="G302" s="425">
        <f>VLOOKUP(A302,'[1]Tableau (2)'!$A:$E,3,FALSE)</f>
        <v>17044.408372591006</v>
      </c>
      <c r="H302" s="425">
        <f>VLOOKUP(A302,'[1]Tableau (2)'!$A:$E,4,FALSE)</f>
        <v>1226.7</v>
      </c>
      <c r="I302" s="425">
        <f>VLOOKUP(A302,'[2]Tableau (2)'!$A$4:$D$312,4,FALSE)</f>
        <v>5946</v>
      </c>
      <c r="J302" s="380"/>
      <c r="K302" s="357">
        <v>5902.97</v>
      </c>
      <c r="L302" s="355"/>
      <c r="M302" s="360">
        <v>39610.050000000003</v>
      </c>
      <c r="N302" s="358">
        <f t="shared" si="8"/>
        <v>773576.30837259104</v>
      </c>
      <c r="O302" s="34">
        <v>29.65</v>
      </c>
      <c r="P302" s="34"/>
      <c r="Q302" s="34">
        <v>10670</v>
      </c>
      <c r="R302" s="34"/>
      <c r="S302" s="34">
        <v>10441.700000000001</v>
      </c>
      <c r="T302" s="359">
        <f t="shared" si="9"/>
        <v>794717.65837259102</v>
      </c>
      <c r="U302" s="17">
        <v>74</v>
      </c>
      <c r="V302" s="32">
        <v>336</v>
      </c>
      <c r="W302" s="376">
        <v>-4226.53</v>
      </c>
      <c r="X302" s="34"/>
      <c r="Y302" s="34">
        <v>0</v>
      </c>
      <c r="Z302" s="34">
        <v>1</v>
      </c>
      <c r="AB302" s="414"/>
      <c r="AC302" s="414"/>
    </row>
    <row r="303" spans="1:29" x14ac:dyDescent="0.25">
      <c r="A303" s="370">
        <v>5925</v>
      </c>
      <c r="B303" s="354" t="s">
        <v>399</v>
      </c>
      <c r="C303" s="34">
        <v>312834.52</v>
      </c>
      <c r="D303" s="34">
        <v>42444.89</v>
      </c>
      <c r="E303" s="380"/>
      <c r="F303" s="355">
        <v>1230</v>
      </c>
      <c r="G303" s="425">
        <f>VLOOKUP(A303,'[1]Tableau (2)'!$A:$E,3,FALSE)</f>
        <v>2404.5756490239487</v>
      </c>
      <c r="H303" s="425">
        <f>VLOOKUP(A303,'[1]Tableau (2)'!$A:$E,4,FALSE)</f>
        <v>175.2</v>
      </c>
      <c r="I303" s="425">
        <f>VLOOKUP(A303,'[2]Tableau (2)'!$A$4:$D$312,4,FALSE)</f>
        <v>716.65</v>
      </c>
      <c r="J303" s="380"/>
      <c r="K303" s="357">
        <v>3689.14</v>
      </c>
      <c r="L303" s="355"/>
      <c r="M303" s="357">
        <v>29690.2</v>
      </c>
      <c r="N303" s="358">
        <f t="shared" si="8"/>
        <v>393185.17564902402</v>
      </c>
      <c r="O303" s="34"/>
      <c r="P303" s="34"/>
      <c r="Q303" s="34">
        <v>8140</v>
      </c>
      <c r="R303" s="34">
        <v>2370.56</v>
      </c>
      <c r="S303" s="34"/>
      <c r="T303" s="359">
        <f t="shared" si="9"/>
        <v>403695.73564902402</v>
      </c>
      <c r="U303" s="17">
        <v>79</v>
      </c>
      <c r="V303" s="32">
        <v>195</v>
      </c>
      <c r="W303" s="376">
        <v>-19908.71</v>
      </c>
      <c r="X303" s="34"/>
      <c r="Y303" s="34">
        <v>0</v>
      </c>
      <c r="Z303" s="34">
        <v>1</v>
      </c>
      <c r="AB303" s="414"/>
      <c r="AC303" s="414"/>
    </row>
    <row r="304" spans="1:29" x14ac:dyDescent="0.25">
      <c r="A304" s="370">
        <v>5926</v>
      </c>
      <c r="B304" s="354" t="s">
        <v>400</v>
      </c>
      <c r="C304" s="34">
        <v>1268703.6399999999</v>
      </c>
      <c r="D304" s="34">
        <v>245031.77</v>
      </c>
      <c r="E304" s="380"/>
      <c r="F304" s="355"/>
      <c r="G304" s="425">
        <f>VLOOKUP(A304,'[1]Tableau (2)'!$A:$E,3,FALSE)</f>
        <v>13588.724793940744</v>
      </c>
      <c r="H304" s="425">
        <f>VLOOKUP(A304,'[1]Tableau (2)'!$A:$E,4,FALSE)</f>
        <v>1635.6</v>
      </c>
      <c r="I304" s="425">
        <f>VLOOKUP(A304,'[2]Tableau (2)'!$A$4:$D$312,4,FALSE)</f>
        <v>9073</v>
      </c>
      <c r="J304" s="380"/>
      <c r="K304" s="357">
        <v>5382.81</v>
      </c>
      <c r="L304" s="355"/>
      <c r="M304" s="357">
        <v>116501.5</v>
      </c>
      <c r="N304" s="358">
        <f t="shared" si="8"/>
        <v>1659917.0447939408</v>
      </c>
      <c r="O304" s="34">
        <v>1698.35</v>
      </c>
      <c r="P304" s="34">
        <v>21950</v>
      </c>
      <c r="Q304" s="34">
        <v>63269.65</v>
      </c>
      <c r="R304" s="34"/>
      <c r="S304" s="34">
        <v>3937.5</v>
      </c>
      <c r="T304" s="359">
        <f t="shared" si="9"/>
        <v>1750772.5447939408</v>
      </c>
      <c r="U304" s="17">
        <v>71</v>
      </c>
      <c r="V304" s="32">
        <v>785</v>
      </c>
      <c r="W304" s="376">
        <v>-8421.1299999999992</v>
      </c>
      <c r="X304" s="34"/>
      <c r="Y304" s="34">
        <v>-45.77</v>
      </c>
      <c r="Z304" s="34">
        <v>1</v>
      </c>
      <c r="AB304" s="414"/>
      <c r="AC304" s="414"/>
    </row>
    <row r="305" spans="1:29" x14ac:dyDescent="0.25">
      <c r="A305" s="370">
        <v>5928</v>
      </c>
      <c r="B305" s="354" t="s">
        <v>401</v>
      </c>
      <c r="C305" s="34">
        <v>255027.11</v>
      </c>
      <c r="D305" s="34">
        <v>39896.870000000003</v>
      </c>
      <c r="E305" s="380"/>
      <c r="F305" s="355"/>
      <c r="G305" s="425">
        <f>VLOOKUP(A305,'[1]Tableau (2)'!$A:$E,3,FALSE)</f>
        <v>845.93692775005422</v>
      </c>
      <c r="H305" s="425">
        <f>VLOOKUP(A305,'[1]Tableau (2)'!$A:$E,4,FALSE)</f>
        <v>66.099999999999994</v>
      </c>
      <c r="I305" s="425">
        <f>VLOOKUP(A305,'[2]Tableau (2)'!$A$4:$D$312,4,FALSE)</f>
        <v>295.5</v>
      </c>
      <c r="J305" s="380"/>
      <c r="K305" s="357">
        <v>11889.26</v>
      </c>
      <c r="L305" s="355"/>
      <c r="M305" s="357">
        <v>20372.8</v>
      </c>
      <c r="N305" s="358">
        <f t="shared" si="8"/>
        <v>328393.57692775002</v>
      </c>
      <c r="O305" s="34">
        <v>3441.6</v>
      </c>
      <c r="P305" s="34"/>
      <c r="Q305" s="34">
        <v>8307.75</v>
      </c>
      <c r="R305" s="34"/>
      <c r="S305" s="34"/>
      <c r="T305" s="359">
        <f t="shared" si="9"/>
        <v>340142.92692775</v>
      </c>
      <c r="U305" s="17">
        <v>73</v>
      </c>
      <c r="V305" s="32">
        <v>187</v>
      </c>
      <c r="W305" s="376">
        <v>-888.5</v>
      </c>
      <c r="X305" s="34"/>
      <c r="Y305" s="34">
        <v>-0.9</v>
      </c>
      <c r="Z305" s="34">
        <v>1</v>
      </c>
      <c r="AB305" s="414"/>
      <c r="AC305" s="414"/>
    </row>
    <row r="306" spans="1:29" x14ac:dyDescent="0.25">
      <c r="A306" s="370">
        <v>5929</v>
      </c>
      <c r="B306" s="354" t="s">
        <v>402</v>
      </c>
      <c r="C306" s="34">
        <v>946875.61</v>
      </c>
      <c r="D306" s="34">
        <v>101001.56</v>
      </c>
      <c r="E306" s="380"/>
      <c r="F306" s="355"/>
      <c r="G306" s="425">
        <f>VLOOKUP(A306,'[1]Tableau (2)'!$A:$E,3,FALSE)</f>
        <v>9474.6443089430868</v>
      </c>
      <c r="H306" s="425">
        <f>VLOOKUP(A306,'[1]Tableau (2)'!$A:$E,4,FALSE)</f>
        <v>986.8</v>
      </c>
      <c r="I306" s="425">
        <f>VLOOKUP(A306,'[2]Tableau (2)'!$A$4:$D$312,4,FALSE)</f>
        <v>4099.2</v>
      </c>
      <c r="J306" s="380">
        <v>41100.15</v>
      </c>
      <c r="K306" s="357">
        <v>-4821.1899999999996</v>
      </c>
      <c r="L306" s="355"/>
      <c r="M306" s="357">
        <v>79689.45</v>
      </c>
      <c r="N306" s="358">
        <f t="shared" si="8"/>
        <v>1178406.2243089429</v>
      </c>
      <c r="O306" s="34">
        <v>5924.95</v>
      </c>
      <c r="P306" s="34"/>
      <c r="Q306" s="34">
        <v>38314.400000000001</v>
      </c>
      <c r="R306" s="34"/>
      <c r="S306" s="34">
        <v>46879.45</v>
      </c>
      <c r="T306" s="359">
        <f t="shared" si="9"/>
        <v>1269525.0243089427</v>
      </c>
      <c r="U306" s="17">
        <v>70</v>
      </c>
      <c r="V306" s="32">
        <v>605</v>
      </c>
      <c r="W306" s="376">
        <v>-6843.44</v>
      </c>
      <c r="X306" s="34"/>
      <c r="Y306" s="34">
        <v>0</v>
      </c>
      <c r="Z306" s="34">
        <v>0.8</v>
      </c>
      <c r="AB306" s="414"/>
      <c r="AC306" s="414"/>
    </row>
    <row r="307" spans="1:29" x14ac:dyDescent="0.25">
      <c r="A307" s="370">
        <v>5930</v>
      </c>
      <c r="B307" s="354" t="s">
        <v>403</v>
      </c>
      <c r="C307" s="34">
        <v>317286.36</v>
      </c>
      <c r="D307" s="34">
        <v>35362.519999999997</v>
      </c>
      <c r="E307" s="380"/>
      <c r="F307" s="355"/>
      <c r="G307" s="425">
        <f>VLOOKUP(A307,'[1]Tableau (2)'!$A:$E,3,FALSE)</f>
        <v>44.003511705685618</v>
      </c>
      <c r="H307" s="425">
        <f>VLOOKUP(A307,'[1]Tableau (2)'!$A:$E,4,FALSE)</f>
        <v>91.4</v>
      </c>
      <c r="I307" s="425">
        <f>VLOOKUP(A307,'[2]Tableau (2)'!$A$4:$D$312,4,FALSE)</f>
        <v>75.150000000000006</v>
      </c>
      <c r="J307" s="380"/>
      <c r="K307" s="357">
        <v>6175.96</v>
      </c>
      <c r="L307" s="355">
        <v>228.6</v>
      </c>
      <c r="M307" s="357">
        <v>26957.8</v>
      </c>
      <c r="N307" s="358">
        <f t="shared" si="8"/>
        <v>386221.79351170571</v>
      </c>
      <c r="O307" s="34"/>
      <c r="P307" s="34">
        <v>2348.6</v>
      </c>
      <c r="Q307" s="34">
        <v>28111.45</v>
      </c>
      <c r="R307" s="34"/>
      <c r="S307" s="34">
        <v>11061.6</v>
      </c>
      <c r="T307" s="359">
        <f t="shared" si="9"/>
        <v>427743.44351170567</v>
      </c>
      <c r="U307" s="17">
        <v>72</v>
      </c>
      <c r="V307" s="32">
        <v>200</v>
      </c>
      <c r="W307" s="376">
        <v>-38.82</v>
      </c>
      <c r="X307" s="34"/>
      <c r="Y307" s="34">
        <v>0</v>
      </c>
      <c r="Z307" s="34">
        <v>1</v>
      </c>
      <c r="AB307" s="414"/>
      <c r="AC307" s="414"/>
    </row>
    <row r="308" spans="1:29" x14ac:dyDescent="0.25">
      <c r="A308" s="370">
        <v>5931</v>
      </c>
      <c r="B308" s="354" t="s">
        <v>404</v>
      </c>
      <c r="C308" s="34">
        <v>858096.74</v>
      </c>
      <c r="D308" s="34">
        <v>81908.69</v>
      </c>
      <c r="E308" s="380"/>
      <c r="F308" s="355"/>
      <c r="G308" s="425">
        <f>VLOOKUP(A308,'[1]Tableau (2)'!$A:$E,3,FALSE)</f>
        <v>-7330.2878350515466</v>
      </c>
      <c r="H308" s="425">
        <f>VLOOKUP(A308,'[1]Tableau (2)'!$A:$E,4,FALSE)</f>
        <v>1183.3</v>
      </c>
      <c r="I308" s="425">
        <f>VLOOKUP(A308,'[2]Tableau (2)'!$A$4:$D$312,4,FALSE)</f>
        <v>2207.65</v>
      </c>
      <c r="J308" s="380"/>
      <c r="K308" s="357">
        <v>3430.86</v>
      </c>
      <c r="L308" s="355">
        <v>1039.8</v>
      </c>
      <c r="M308" s="357">
        <v>72198.399999999994</v>
      </c>
      <c r="N308" s="358">
        <f t="shared" si="8"/>
        <v>1012735.1521649485</v>
      </c>
      <c r="O308" s="34">
        <v>4225.45</v>
      </c>
      <c r="P308" s="34"/>
      <c r="Q308" s="34">
        <v>60753</v>
      </c>
      <c r="R308" s="34">
        <v>4322.1099999999997</v>
      </c>
      <c r="S308" s="34">
        <v>48827.25</v>
      </c>
      <c r="T308" s="359">
        <f t="shared" si="9"/>
        <v>1130862.9621649485</v>
      </c>
      <c r="U308" s="17">
        <v>75</v>
      </c>
      <c r="V308" s="32">
        <v>456</v>
      </c>
      <c r="W308" s="376">
        <v>-8822.74</v>
      </c>
      <c r="X308" s="34"/>
      <c r="Y308" s="34">
        <v>-0.28000000000000003</v>
      </c>
      <c r="Z308" s="34">
        <v>1</v>
      </c>
      <c r="AB308" s="414"/>
      <c r="AC308" s="414"/>
    </row>
    <row r="309" spans="1:29" x14ac:dyDescent="0.25">
      <c r="A309" s="370">
        <v>5932</v>
      </c>
      <c r="B309" s="354" t="s">
        <v>276</v>
      </c>
      <c r="C309" s="34">
        <v>426017.75</v>
      </c>
      <c r="D309" s="34">
        <v>48362.3</v>
      </c>
      <c r="E309" s="380"/>
      <c r="F309" s="355">
        <v>1260</v>
      </c>
      <c r="G309" s="425">
        <f>VLOOKUP(A309,'[1]Tableau (2)'!$A:$E,3,FALSE)</f>
        <v>435.67549898167005</v>
      </c>
      <c r="H309" s="425">
        <f>VLOOKUP(A309,'[1]Tableau (2)'!$A:$E,4,FALSE)</f>
        <v>95.3</v>
      </c>
      <c r="I309" s="425">
        <f>VLOOKUP(A309,'[2]Tableau (2)'!$A$4:$D$312,4,FALSE)</f>
        <v>210.55</v>
      </c>
      <c r="J309" s="380">
        <v>27678.7</v>
      </c>
      <c r="K309" s="357">
        <v>6457.67</v>
      </c>
      <c r="L309" s="355">
        <v>-20</v>
      </c>
      <c r="M309" s="357">
        <v>29290.7</v>
      </c>
      <c r="N309" s="358">
        <f t="shared" si="8"/>
        <v>539788.64549898158</v>
      </c>
      <c r="O309" s="34"/>
      <c r="P309" s="34"/>
      <c r="Q309" s="34">
        <v>26400</v>
      </c>
      <c r="R309" s="34"/>
      <c r="S309" s="34"/>
      <c r="T309" s="359">
        <f t="shared" si="9"/>
        <v>566188.64549898158</v>
      </c>
      <c r="U309" s="17">
        <v>78</v>
      </c>
      <c r="V309" s="32">
        <v>218</v>
      </c>
      <c r="W309" s="376">
        <v>-5065.78</v>
      </c>
      <c r="X309" s="34"/>
      <c r="Y309" s="34">
        <v>-9.44</v>
      </c>
      <c r="Z309" s="34">
        <v>1</v>
      </c>
      <c r="AB309" s="414"/>
      <c r="AC309" s="414"/>
    </row>
    <row r="310" spans="1:29" x14ac:dyDescent="0.25">
      <c r="A310" s="370">
        <v>5933</v>
      </c>
      <c r="B310" s="354" t="s">
        <v>397</v>
      </c>
      <c r="C310" s="34">
        <v>1218543.95</v>
      </c>
      <c r="D310" s="34">
        <v>168365.35</v>
      </c>
      <c r="E310" s="380"/>
      <c r="F310" s="355"/>
      <c r="G310" s="425">
        <f>VLOOKUP(A310,'[1]Tableau (2)'!$A:$E,3,FALSE)</f>
        <v>11447.86087052099</v>
      </c>
      <c r="H310" s="425">
        <f>VLOOKUP(A310,'[1]Tableau (2)'!$A:$E,4,FALSE)</f>
        <v>271.3</v>
      </c>
      <c r="I310" s="425">
        <f>VLOOKUP(A310,'[2]Tableau (2)'!$A$4:$D$312,4,FALSE)</f>
        <v>6871</v>
      </c>
      <c r="J310" s="380"/>
      <c r="K310" s="357">
        <v>18722.27</v>
      </c>
      <c r="L310" s="355">
        <v>2228.0500000000002</v>
      </c>
      <c r="M310" s="357">
        <v>103184.15</v>
      </c>
      <c r="N310" s="358">
        <f t="shared" si="8"/>
        <v>1529633.9308705211</v>
      </c>
      <c r="O310" s="34">
        <v>9457.15</v>
      </c>
      <c r="P310" s="34">
        <v>27970</v>
      </c>
      <c r="Q310" s="34">
        <v>67289.649999999994</v>
      </c>
      <c r="R310" s="34">
        <v>3897.83</v>
      </c>
      <c r="S310" s="34">
        <v>32187.7</v>
      </c>
      <c r="T310" s="359">
        <f t="shared" si="9"/>
        <v>1670436.260870521</v>
      </c>
      <c r="U310" s="17">
        <v>72</v>
      </c>
      <c r="V310" s="32">
        <v>705</v>
      </c>
      <c r="W310" s="376">
        <v>-28680.9</v>
      </c>
      <c r="X310" s="34">
        <v>-16652.5</v>
      </c>
      <c r="Y310" s="34">
        <v>-0.03</v>
      </c>
      <c r="Z310" s="34">
        <v>1</v>
      </c>
      <c r="AB310" s="414"/>
      <c r="AC310" s="414"/>
    </row>
    <row r="311" spans="1:29" x14ac:dyDescent="0.25">
      <c r="A311" s="370">
        <v>5934</v>
      </c>
      <c r="B311" s="354" t="s">
        <v>398</v>
      </c>
      <c r="C311" s="34">
        <v>474006.79</v>
      </c>
      <c r="D311" s="34">
        <v>41674.46</v>
      </c>
      <c r="E311" s="380"/>
      <c r="F311" s="355">
        <v>1350</v>
      </c>
      <c r="G311" s="425">
        <f>VLOOKUP(A311,'[1]Tableau (2)'!$A:$E,3,FALSE)</f>
        <v>7903.0929563292411</v>
      </c>
      <c r="H311" s="425">
        <f>VLOOKUP(A311,'[1]Tableau (2)'!$A:$E,4,FALSE)</f>
        <v>7.8</v>
      </c>
      <c r="I311" s="425">
        <f>VLOOKUP(A311,'[2]Tableau (2)'!$A$4:$D$312,4,FALSE)</f>
        <v>1243.0999999999999</v>
      </c>
      <c r="J311" s="380"/>
      <c r="K311" s="357">
        <v>-1577</v>
      </c>
      <c r="L311" s="355"/>
      <c r="M311" s="357">
        <v>27512.3</v>
      </c>
      <c r="N311" s="358">
        <f t="shared" si="8"/>
        <v>552120.5429563293</v>
      </c>
      <c r="O311" s="34"/>
      <c r="P311" s="34"/>
      <c r="Q311" s="34"/>
      <c r="R311" s="34"/>
      <c r="S311" s="34"/>
      <c r="T311" s="359">
        <f t="shared" si="9"/>
        <v>552120.5429563293</v>
      </c>
      <c r="U311" s="17">
        <v>79</v>
      </c>
      <c r="V311" s="32">
        <v>238</v>
      </c>
      <c r="W311" s="376">
        <v>-14077.18</v>
      </c>
      <c r="X311" s="34">
        <v>-1500.95</v>
      </c>
      <c r="Y311" s="34">
        <v>0</v>
      </c>
      <c r="Z311" s="34">
        <v>1</v>
      </c>
      <c r="AB311" s="414"/>
      <c r="AC311" s="414"/>
    </row>
    <row r="312" spans="1:29" x14ac:dyDescent="0.25">
      <c r="A312" s="370">
        <v>5935</v>
      </c>
      <c r="B312" s="354" t="s">
        <v>299</v>
      </c>
      <c r="C312" s="34">
        <v>286799.28000000003</v>
      </c>
      <c r="D312" s="34">
        <v>27574.17</v>
      </c>
      <c r="E312" s="380"/>
      <c r="F312" s="355"/>
      <c r="G312" s="425">
        <f>VLOOKUP(A312,'[1]Tableau (2)'!$A:$E,3,FALSE)</f>
        <v>-756.83685863874348</v>
      </c>
      <c r="H312" s="425">
        <f>VLOOKUP(A312,'[1]Tableau (2)'!$A:$E,4,FALSE)</f>
        <v>46.8</v>
      </c>
      <c r="I312" s="425">
        <f>VLOOKUP(A312,'[2]Tableau (2)'!$A$4:$D$312,4,FALSE)</f>
        <v>364.4</v>
      </c>
      <c r="J312" s="380"/>
      <c r="K312" s="357">
        <v>342.79</v>
      </c>
      <c r="L312" s="355"/>
      <c r="M312" s="357">
        <v>17548.95</v>
      </c>
      <c r="N312" s="358">
        <f t="shared" si="8"/>
        <v>331919.55314136128</v>
      </c>
      <c r="O312" s="34"/>
      <c r="P312" s="34"/>
      <c r="Q312" s="34">
        <v>9460</v>
      </c>
      <c r="R312" s="34"/>
      <c r="S312" s="34"/>
      <c r="T312" s="359">
        <f t="shared" si="9"/>
        <v>341379.55314136128</v>
      </c>
      <c r="U312" s="17">
        <v>60</v>
      </c>
      <c r="V312" s="32">
        <v>106</v>
      </c>
      <c r="W312" s="376">
        <v>-25.31</v>
      </c>
      <c r="X312" s="34"/>
      <c r="Y312" s="34">
        <v>-113.2</v>
      </c>
      <c r="Z312" s="34">
        <v>1</v>
      </c>
      <c r="AB312" s="414"/>
      <c r="AC312" s="414"/>
    </row>
    <row r="313" spans="1:29" x14ac:dyDescent="0.25">
      <c r="A313" s="370">
        <v>5937</v>
      </c>
      <c r="B313" s="354" t="s">
        <v>277</v>
      </c>
      <c r="C313" s="34">
        <v>166711.48000000001</v>
      </c>
      <c r="D313" s="34">
        <v>23846.74</v>
      </c>
      <c r="E313" s="380"/>
      <c r="F313" s="355"/>
      <c r="G313" s="425">
        <f>VLOOKUP(A313,'[1]Tableau (2)'!$A:$E,3,FALSE)</f>
        <v>1759.4081978319782</v>
      </c>
      <c r="H313" s="425">
        <f>VLOOKUP(A313,'[1]Tableau (2)'!$A:$E,4,FALSE)</f>
        <v>77.900000000000006</v>
      </c>
      <c r="I313" s="425">
        <f>VLOOKUP(A313,'[2]Tableau (2)'!$A$4:$D$312,4,FALSE)</f>
        <v>321.39999999999998</v>
      </c>
      <c r="J313" s="380"/>
      <c r="K313" s="357">
        <v>7962.12</v>
      </c>
      <c r="L313" s="355"/>
      <c r="M313" s="360">
        <v>10597.6</v>
      </c>
      <c r="N313" s="358">
        <f t="shared" si="8"/>
        <v>211276.64819783196</v>
      </c>
      <c r="O313" s="34"/>
      <c r="P313" s="34"/>
      <c r="Q313" s="34">
        <v>8800</v>
      </c>
      <c r="R313" s="34">
        <v>6370.53</v>
      </c>
      <c r="S313" s="34">
        <v>3179.15</v>
      </c>
      <c r="T313" s="359">
        <f t="shared" si="9"/>
        <v>229626.32819783196</v>
      </c>
      <c r="U313" s="17">
        <v>70</v>
      </c>
      <c r="V313" s="32">
        <v>122</v>
      </c>
      <c r="W313" s="376">
        <v>-21573.83</v>
      </c>
      <c r="X313" s="34"/>
      <c r="Y313" s="34">
        <v>-6.5</v>
      </c>
      <c r="Z313" s="34">
        <v>0.7</v>
      </c>
      <c r="AB313" s="414"/>
      <c r="AC313" s="414"/>
    </row>
    <row r="314" spans="1:29" x14ac:dyDescent="0.25">
      <c r="A314" s="370">
        <v>5938</v>
      </c>
      <c r="B314" s="354" t="s">
        <v>150</v>
      </c>
      <c r="C314" s="34">
        <v>44759356.880000003</v>
      </c>
      <c r="D314" s="34">
        <v>4493047.78</v>
      </c>
      <c r="E314" s="380"/>
      <c r="F314" s="355"/>
      <c r="G314" s="425">
        <f>VLOOKUP(A314,'[1]Tableau (2)'!$A:$E,3,FALSE)</f>
        <v>3089377.5205809125</v>
      </c>
      <c r="H314" s="425">
        <f>VLOOKUP(A314,'[1]Tableau (2)'!$A:$E,4,FALSE)</f>
        <v>752158.9</v>
      </c>
      <c r="I314" s="425">
        <f>VLOOKUP(A314,'[2]Tableau (2)'!$A$4:$D$312,4,FALSE)</f>
        <v>1065681.8999999999</v>
      </c>
      <c r="J314" s="380">
        <v>54518.1</v>
      </c>
      <c r="K314" s="357">
        <v>1806437.57</v>
      </c>
      <c r="L314" s="355">
        <v>425568.5</v>
      </c>
      <c r="M314" s="357">
        <v>4012014.05</v>
      </c>
      <c r="N314" s="358">
        <f t="shared" si="8"/>
        <v>60458161.20058091</v>
      </c>
      <c r="O314" s="34">
        <v>3841277.35</v>
      </c>
      <c r="P314" s="34">
        <v>576234.1</v>
      </c>
      <c r="Q314" s="34">
        <v>1588795.5</v>
      </c>
      <c r="R314" s="34">
        <v>550038.11</v>
      </c>
      <c r="S314" s="34">
        <v>1224891.45</v>
      </c>
      <c r="T314" s="359">
        <f t="shared" si="9"/>
        <v>68239397.710580915</v>
      </c>
      <c r="U314" s="17">
        <v>76.5</v>
      </c>
      <c r="V314" s="32">
        <v>30208</v>
      </c>
      <c r="W314" s="376">
        <v>-1775449.4</v>
      </c>
      <c r="X314" s="34"/>
      <c r="Y314" s="34">
        <v>-1785.47</v>
      </c>
      <c r="Z314" s="34">
        <v>1</v>
      </c>
      <c r="AB314" s="414"/>
      <c r="AC314" s="414"/>
    </row>
    <row r="315" spans="1:29" x14ac:dyDescent="0.25">
      <c r="A315" s="370">
        <v>5939</v>
      </c>
      <c r="B315" s="354" t="s">
        <v>149</v>
      </c>
      <c r="C315" s="92">
        <v>5362515.8899999997</v>
      </c>
      <c r="D315" s="92">
        <v>652892.23</v>
      </c>
      <c r="E315" s="380"/>
      <c r="F315" s="355"/>
      <c r="G315" s="425">
        <f>VLOOKUP(A315,'[1]Tableau (2)'!$A:$E,3,FALSE)</f>
        <v>93058.513994358858</v>
      </c>
      <c r="H315" s="425">
        <f>VLOOKUP(A315,'[1]Tableau (2)'!$A:$E,4,FALSE)</f>
        <v>45302.9</v>
      </c>
      <c r="I315" s="426">
        <f>VLOOKUP(A315,'[2]Tableau (2)'!$A$4:$D$312,4,FALSE)</f>
        <v>41522.9</v>
      </c>
      <c r="J315" s="423"/>
      <c r="K315" s="357">
        <v>144476.23000000001</v>
      </c>
      <c r="L315" s="365">
        <v>25823.5</v>
      </c>
      <c r="M315" s="357">
        <v>493472.7</v>
      </c>
      <c r="N315" s="358">
        <f t="shared" si="8"/>
        <v>6859064.863994359</v>
      </c>
      <c r="O315" s="34">
        <v>112071.65</v>
      </c>
      <c r="P315" s="34">
        <v>596048.19999999995</v>
      </c>
      <c r="Q315" s="34">
        <v>368409.59999999998</v>
      </c>
      <c r="R315" s="34">
        <v>11318.65</v>
      </c>
      <c r="S315" s="34">
        <v>229532.4</v>
      </c>
      <c r="T315" s="359">
        <f t="shared" si="9"/>
        <v>8176445.36399436</v>
      </c>
      <c r="U315" s="385">
        <v>73</v>
      </c>
      <c r="V315" s="111">
        <v>3351</v>
      </c>
      <c r="W315" s="376">
        <v>-98748.44</v>
      </c>
      <c r="X315" s="34"/>
      <c r="Y315" s="34">
        <v>-48.69</v>
      </c>
      <c r="Z315" s="34">
        <v>1</v>
      </c>
      <c r="AB315" s="414"/>
      <c r="AC315" s="414"/>
    </row>
    <row r="316" spans="1:29" x14ac:dyDescent="0.25">
      <c r="A316" s="372"/>
      <c r="B316" s="403">
        <f>COUNTA(B7:B315)</f>
        <v>309</v>
      </c>
      <c r="C316" s="92">
        <f t="shared" ref="C316:T316" si="10">SUM(C7:C315)</f>
        <v>1613680811.4899993</v>
      </c>
      <c r="D316" s="378">
        <f t="shared" si="10"/>
        <v>283398749.93000019</v>
      </c>
      <c r="E316" s="20">
        <f t="shared" si="10"/>
        <v>0</v>
      </c>
      <c r="F316" s="20">
        <f t="shared" si="10"/>
        <v>111468.42</v>
      </c>
      <c r="G316" s="434">
        <f t="shared" si="10"/>
        <v>146194868.2033307</v>
      </c>
      <c r="H316" s="434">
        <f t="shared" si="10"/>
        <v>56427835.549999967</v>
      </c>
      <c r="I316" s="427">
        <f>SUM(I7:I315)</f>
        <v>50000000.000000037</v>
      </c>
      <c r="J316" s="20">
        <f t="shared" si="10"/>
        <v>45854050.86999999</v>
      </c>
      <c r="K316" s="20">
        <f t="shared" si="10"/>
        <v>91136058.530000001</v>
      </c>
      <c r="L316" s="20">
        <f t="shared" si="10"/>
        <v>14479177.050000006</v>
      </c>
      <c r="M316" s="20">
        <f t="shared" si="10"/>
        <v>187023441.82000002</v>
      </c>
      <c r="N316" s="366">
        <f t="shared" si="10"/>
        <v>2488306461.8633327</v>
      </c>
      <c r="O316" s="20">
        <f t="shared" si="10"/>
        <v>66677797.950000003</v>
      </c>
      <c r="P316" s="20">
        <f t="shared" si="10"/>
        <v>79528631.349999979</v>
      </c>
      <c r="Q316" s="20">
        <f t="shared" si="10"/>
        <v>86125485.75</v>
      </c>
      <c r="R316" s="20">
        <f t="shared" si="10"/>
        <v>11164329.270000005</v>
      </c>
      <c r="S316" s="20">
        <f t="shared" si="10"/>
        <v>60234204.540000014</v>
      </c>
      <c r="T316" s="379">
        <f t="shared" si="10"/>
        <v>2792036910.7233305</v>
      </c>
      <c r="U316" s="92"/>
      <c r="V316" s="19">
        <f>SUM(V7:V315)</f>
        <v>794384</v>
      </c>
      <c r="W316" s="20">
        <f t="shared" ref="W316:Y316" si="11">SUM(W7:W315)</f>
        <v>-33716949.789999992</v>
      </c>
      <c r="X316" s="20">
        <f t="shared" si="11"/>
        <v>-97674.45</v>
      </c>
      <c r="Y316" s="20">
        <f t="shared" si="11"/>
        <v>-1672780.3299999998</v>
      </c>
      <c r="Z316" s="20"/>
    </row>
    <row r="317" spans="1:29" x14ac:dyDescent="0.25">
      <c r="A317" s="369" t="s">
        <v>564</v>
      </c>
      <c r="J317" s="414"/>
      <c r="K317" s="414"/>
      <c r="L317" s="414"/>
      <c r="M317" s="414"/>
      <c r="N317" s="414"/>
      <c r="O317" s="414"/>
      <c r="P317" s="414"/>
      <c r="Q317" s="414"/>
      <c r="R317" s="414"/>
      <c r="S317" s="414"/>
    </row>
    <row r="318" spans="1:29" x14ac:dyDescent="0.25">
      <c r="A318" s="369" t="s">
        <v>565</v>
      </c>
      <c r="D318" s="367"/>
      <c r="E318" s="367"/>
      <c r="F318" s="367"/>
      <c r="G318" s="367"/>
      <c r="H318" s="367"/>
      <c r="I318" s="367"/>
      <c r="J318" s="367"/>
      <c r="K318" s="367"/>
      <c r="L318" s="367"/>
      <c r="M318" s="367"/>
      <c r="N318" s="367"/>
      <c r="O318" s="367"/>
      <c r="P318" s="367"/>
      <c r="Q318" s="367"/>
      <c r="R318" s="367"/>
      <c r="S318" s="367"/>
    </row>
  </sheetData>
  <protectedRanges>
    <protectedRange sqref="A7:B315 C316 O7:S315 U7:Y315" name="Plage1"/>
    <protectedRange sqref="E8:F170 J8:M170 J172:M315 E7:M7 G8:I315 C7:D170 C172:F315" name="Plage1_1"/>
    <protectedRange sqref="J171:M171 C171:F171" name="Plage1_3"/>
  </protectedRanges>
  <mergeCells count="26">
    <mergeCell ref="Z4:Z6"/>
    <mergeCell ref="V4:V5"/>
    <mergeCell ref="W4:W6"/>
    <mergeCell ref="Y4:Y6"/>
    <mergeCell ref="X4:X6"/>
    <mergeCell ref="U4:U5"/>
    <mergeCell ref="A4:A6"/>
    <mergeCell ref="B4:B6"/>
    <mergeCell ref="R4:R6"/>
    <mergeCell ref="M4:M5"/>
    <mergeCell ref="G4:G5"/>
    <mergeCell ref="H4:H5"/>
    <mergeCell ref="J4:J5"/>
    <mergeCell ref="K4:K5"/>
    <mergeCell ref="C4:C5"/>
    <mergeCell ref="D4:D5"/>
    <mergeCell ref="E4:E5"/>
    <mergeCell ref="O4:O5"/>
    <mergeCell ref="T4:T5"/>
    <mergeCell ref="P4:P5"/>
    <mergeCell ref="F4:F5"/>
    <mergeCell ref="L4:L5"/>
    <mergeCell ref="N4:N5"/>
    <mergeCell ref="Q4:Q5"/>
    <mergeCell ref="S4:S5"/>
    <mergeCell ref="I4:I5"/>
  </mergeCells>
  <phoneticPr fontId="9" type="noConversion"/>
  <pageMargins left="0.19685039370078741" right="0.39370078740157483"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00B050"/>
  </sheetPr>
  <dimension ref="A1:AA325"/>
  <sheetViews>
    <sheetView zoomScaleNormal="100" workbookViewId="0">
      <pane ySplit="6" topLeftCell="A259" activePane="bottomLeft" state="frozen"/>
      <selection pane="bottomLeft" activeCell="J274" sqref="J274"/>
    </sheetView>
  </sheetViews>
  <sheetFormatPr baseColWidth="10" defaultColWidth="8.625" defaultRowHeight="15" x14ac:dyDescent="0.25"/>
  <cols>
    <col min="1" max="1" width="7.625" style="4" customWidth="1"/>
    <col min="2" max="2" width="20.375" style="13" bestFit="1" customWidth="1"/>
    <col min="3" max="3" width="15.875" style="13" bestFit="1" customWidth="1"/>
    <col min="4" max="4" width="12.125" style="6" bestFit="1" customWidth="1"/>
    <col min="5" max="5" width="9.125" style="13" bestFit="1" customWidth="1"/>
    <col min="6" max="6" width="13.375" style="6" bestFit="1" customWidth="1"/>
    <col min="7" max="7" width="18.375" style="13" bestFit="1" customWidth="1"/>
    <col min="8" max="8" width="10" style="6" bestFit="1" customWidth="1"/>
    <col min="9" max="9" width="10.125" style="13" bestFit="1" customWidth="1"/>
    <col min="10" max="10" width="16" style="13" bestFit="1" customWidth="1"/>
    <col min="11" max="12" width="12.25" style="13" bestFit="1" customWidth="1"/>
    <col min="13" max="13" width="13.375" style="13" bestFit="1" customWidth="1"/>
    <col min="14" max="14" width="15.875" style="13" bestFit="1" customWidth="1"/>
    <col min="15" max="15" width="13" style="13" bestFit="1" customWidth="1"/>
    <col min="16" max="16" width="13.125" style="13" bestFit="1" customWidth="1"/>
    <col min="17" max="17" width="8.625" style="13" customWidth="1"/>
    <col min="18" max="18" width="14.375" style="13" bestFit="1" customWidth="1"/>
    <col min="19" max="19" width="12.125" style="15" bestFit="1" customWidth="1"/>
    <col min="20" max="20" width="14.375" style="15" bestFit="1" customWidth="1"/>
    <col min="21" max="21" width="12.125" style="13" customWidth="1"/>
    <col min="22" max="22" width="13.5" style="13" bestFit="1" customWidth="1"/>
    <col min="23" max="24" width="12.25" style="13" bestFit="1" customWidth="1"/>
    <col min="25" max="25" width="15.5" style="13" customWidth="1"/>
    <col min="26" max="26" width="12.5" style="13" bestFit="1" customWidth="1"/>
    <col min="27" max="27" width="8.625" style="13" customWidth="1"/>
    <col min="28" max="16384" width="8.625" style="13"/>
  </cols>
  <sheetData>
    <row r="1" spans="1:27" ht="21" x14ac:dyDescent="0.35">
      <c r="A1" s="26" t="s">
        <v>450</v>
      </c>
      <c r="B1" s="27"/>
      <c r="C1" s="27"/>
      <c r="E1" s="29"/>
      <c r="G1" s="4"/>
      <c r="H1" s="5"/>
      <c r="I1" s="4"/>
      <c r="J1" s="4"/>
      <c r="K1" s="4"/>
      <c r="L1" s="4"/>
    </row>
    <row r="2" spans="1:27" ht="21" x14ac:dyDescent="0.35">
      <c r="A2" s="26" t="str">
        <f>Paramètres!B5</f>
        <v>Acomptes 2019</v>
      </c>
      <c r="C2" s="26"/>
      <c r="E2" s="29"/>
      <c r="G2" s="30"/>
      <c r="H2" s="5"/>
      <c r="I2" s="4"/>
      <c r="J2" s="4"/>
      <c r="K2" s="4"/>
      <c r="L2" s="4"/>
    </row>
    <row r="3" spans="1:27" x14ac:dyDescent="0.25">
      <c r="A3" s="3"/>
      <c r="B3" s="4"/>
      <c r="C3" s="4"/>
      <c r="E3" s="29"/>
      <c r="G3" s="4"/>
      <c r="H3" s="5"/>
      <c r="I3" s="4"/>
      <c r="J3" s="4"/>
      <c r="K3" s="4"/>
      <c r="L3" s="4"/>
      <c r="O3" s="28"/>
    </row>
    <row r="4" spans="1:27" s="16" customFormat="1" ht="38.1" customHeight="1" x14ac:dyDescent="0.2">
      <c r="A4" s="468" t="s">
        <v>46</v>
      </c>
      <c r="B4" s="471" t="s">
        <v>96</v>
      </c>
      <c r="C4" s="477" t="s">
        <v>251</v>
      </c>
      <c r="D4" s="474" t="s">
        <v>246</v>
      </c>
      <c r="E4" s="479" t="s">
        <v>247</v>
      </c>
      <c r="F4" s="474" t="s">
        <v>248</v>
      </c>
      <c r="G4" s="477" t="s">
        <v>249</v>
      </c>
      <c r="H4" s="474" t="s">
        <v>258</v>
      </c>
      <c r="I4" s="477" t="s">
        <v>259</v>
      </c>
      <c r="J4" s="477" t="s">
        <v>260</v>
      </c>
      <c r="K4" s="477" t="s">
        <v>382</v>
      </c>
      <c r="L4" s="477" t="s">
        <v>383</v>
      </c>
      <c r="M4" s="477" t="s">
        <v>384</v>
      </c>
      <c r="N4" s="474" t="s">
        <v>416</v>
      </c>
      <c r="O4" s="477" t="s">
        <v>48</v>
      </c>
      <c r="P4" s="477" t="s">
        <v>385</v>
      </c>
      <c r="Q4" s="479" t="s">
        <v>501</v>
      </c>
      <c r="R4" s="485" t="s">
        <v>472</v>
      </c>
      <c r="S4" s="451" t="s">
        <v>78</v>
      </c>
      <c r="T4" s="485" t="s">
        <v>341</v>
      </c>
      <c r="U4" s="485" t="s">
        <v>452</v>
      </c>
      <c r="V4" s="477" t="s">
        <v>195</v>
      </c>
      <c r="W4" s="477" t="s">
        <v>196</v>
      </c>
      <c r="X4" s="477" t="s">
        <v>197</v>
      </c>
      <c r="Y4" s="482" t="s">
        <v>425</v>
      </c>
      <c r="Z4" s="477" t="s">
        <v>194</v>
      </c>
      <c r="AA4" s="477" t="s">
        <v>304</v>
      </c>
    </row>
    <row r="5" spans="1:27" s="16" customFormat="1" ht="38.1" customHeight="1" x14ac:dyDescent="0.2">
      <c r="A5" s="469"/>
      <c r="B5" s="472"/>
      <c r="C5" s="478"/>
      <c r="D5" s="475"/>
      <c r="E5" s="480"/>
      <c r="F5" s="475"/>
      <c r="G5" s="478"/>
      <c r="H5" s="476"/>
      <c r="I5" s="478"/>
      <c r="J5" s="478"/>
      <c r="K5" s="478"/>
      <c r="L5" s="478"/>
      <c r="M5" s="478"/>
      <c r="N5" s="475"/>
      <c r="O5" s="488"/>
      <c r="P5" s="478"/>
      <c r="Q5" s="480"/>
      <c r="R5" s="486"/>
      <c r="S5" s="452"/>
      <c r="T5" s="486"/>
      <c r="U5" s="487"/>
      <c r="V5" s="478"/>
      <c r="W5" s="478"/>
      <c r="X5" s="478"/>
      <c r="Y5" s="483"/>
      <c r="Z5" s="478"/>
      <c r="AA5" s="478"/>
    </row>
    <row r="6" spans="1:27" ht="14.25" customHeight="1" x14ac:dyDescent="0.25">
      <c r="A6" s="470"/>
      <c r="B6" s="473"/>
      <c r="C6" s="40" t="s">
        <v>252</v>
      </c>
      <c r="D6" s="476"/>
      <c r="E6" s="481"/>
      <c r="F6" s="476"/>
      <c r="G6" s="40" t="s">
        <v>250</v>
      </c>
      <c r="H6" s="21" t="s">
        <v>79</v>
      </c>
      <c r="I6" s="22" t="s">
        <v>80</v>
      </c>
      <c r="J6" s="22" t="s">
        <v>81</v>
      </c>
      <c r="K6" s="40" t="s">
        <v>82</v>
      </c>
      <c r="L6" s="22" t="s">
        <v>83</v>
      </c>
      <c r="M6" s="22" t="s">
        <v>84</v>
      </c>
      <c r="N6" s="476"/>
      <c r="O6" s="478"/>
      <c r="P6" s="22" t="s">
        <v>85</v>
      </c>
      <c r="Q6" s="481"/>
      <c r="R6" s="487"/>
      <c r="S6" s="41">
        <f>Paramètres!B8</f>
        <v>2017</v>
      </c>
      <c r="T6" s="487"/>
      <c r="U6" s="209" t="str">
        <f>Paramètres!B5</f>
        <v>Acomptes 2019</v>
      </c>
      <c r="V6" s="22" t="s">
        <v>88</v>
      </c>
      <c r="W6" s="22" t="s">
        <v>89</v>
      </c>
      <c r="X6" s="22" t="s">
        <v>90</v>
      </c>
      <c r="Y6" s="484"/>
      <c r="Z6" s="40" t="s">
        <v>87</v>
      </c>
      <c r="AA6" s="24">
        <f>Paramètres!B7</f>
        <v>41638</v>
      </c>
    </row>
    <row r="7" spans="1:27" x14ac:dyDescent="0.25">
      <c r="A7" s="8">
        <f>'A) Base RI'!A7</f>
        <v>5401</v>
      </c>
      <c r="B7" s="33" t="str">
        <f>'A) Base RI'!B7</f>
        <v>Aigle</v>
      </c>
      <c r="C7" s="10">
        <f>'A) Base RI'!C7+'A) Base RI'!D7</f>
        <v>13556077.510000002</v>
      </c>
      <c r="D7" s="10">
        <f>'A) Base RI'!W7</f>
        <v>-379884.16</v>
      </c>
      <c r="E7" s="32">
        <f>'A) Base RI'!X7</f>
        <v>0</v>
      </c>
      <c r="F7" s="32">
        <f>'A) Base RI'!Y7</f>
        <v>-938.52</v>
      </c>
      <c r="G7" s="2">
        <f>SUM(C7:F7)</f>
        <v>13175254.830000002</v>
      </c>
      <c r="H7" s="10">
        <f>+'A) Base RI'!E7</f>
        <v>0</v>
      </c>
      <c r="I7" s="10">
        <f>+'A) Base RI'!F7</f>
        <v>95.45</v>
      </c>
      <c r="J7" s="10">
        <f>+'A) Base RI'!G7+'A) Base RI'!H7+'A) Base RI'!I7</f>
        <v>2160899.54</v>
      </c>
      <c r="K7" s="10">
        <f>+'A) Base RI'!J7</f>
        <v>-5797.95</v>
      </c>
      <c r="L7" s="10">
        <f>+'A) Base RI'!K7</f>
        <v>663523.68000000005</v>
      </c>
      <c r="M7" s="10">
        <f>+'A) Base RI'!L7</f>
        <v>163866.4</v>
      </c>
      <c r="N7" s="10">
        <f>+'A) Base RI'!R7</f>
        <v>113134.33</v>
      </c>
      <c r="O7" s="10">
        <f>(P7/Q7)*1</f>
        <v>1539754.6666666667</v>
      </c>
      <c r="P7" s="10">
        <f>+'A) Base RI'!M7</f>
        <v>1847705.6000000001</v>
      </c>
      <c r="Q7" s="35">
        <f>'A) Base RI'!Z7</f>
        <v>1.2</v>
      </c>
      <c r="R7" s="2">
        <f>SUM(G7:O7)</f>
        <v>17810730.946666669</v>
      </c>
      <c r="S7" s="34">
        <f>+'A) Base RI'!U7</f>
        <v>67.5</v>
      </c>
      <c r="T7" s="2">
        <f>(G7+H7+J7+K7+L7+N7)</f>
        <v>16107014.430000002</v>
      </c>
      <c r="U7" s="2">
        <f>R7/S7</f>
        <v>263862.68069135805</v>
      </c>
      <c r="V7" s="10">
        <f>+'A) Base RI'!P7</f>
        <v>419888.6</v>
      </c>
      <c r="W7" s="10">
        <f>+'A) Base RI'!Q7</f>
        <v>1008208.15</v>
      </c>
      <c r="X7" s="10">
        <f>+'A) Base RI'!S7</f>
        <v>589268.35</v>
      </c>
      <c r="Y7" s="2">
        <f>SUM(V7:X7)</f>
        <v>2017365.1</v>
      </c>
      <c r="Z7" s="10">
        <f>+'A) Base RI'!O7</f>
        <v>906929.85</v>
      </c>
      <c r="AA7" s="10">
        <f>'A) Base RI'!V7</f>
        <v>10153</v>
      </c>
    </row>
    <row r="8" spans="1:27" x14ac:dyDescent="0.25">
      <c r="A8" s="8">
        <f>'A) Base RI'!A8</f>
        <v>5402</v>
      </c>
      <c r="B8" s="33" t="str">
        <f>'A) Base RI'!B8</f>
        <v>Bex</v>
      </c>
      <c r="C8" s="10">
        <f>'A) Base RI'!C8+'A) Base RI'!D8</f>
        <v>9827648.5199999996</v>
      </c>
      <c r="D8" s="10">
        <f>'A) Base RI'!W8</f>
        <v>-334358.31</v>
      </c>
      <c r="E8" s="32">
        <f>'A) Base RI'!X8</f>
        <v>0</v>
      </c>
      <c r="F8" s="32">
        <f>'A) Base RI'!Y8</f>
        <v>-721.12</v>
      </c>
      <c r="G8" s="2">
        <f t="shared" ref="G8:G71" si="0">SUM(C8:F8)</f>
        <v>9492569.0899999999</v>
      </c>
      <c r="H8" s="10">
        <f>+'A) Base RI'!E8</f>
        <v>0</v>
      </c>
      <c r="I8" s="10">
        <f>+'A) Base RI'!F8</f>
        <v>0</v>
      </c>
      <c r="J8" s="10">
        <f>+'A) Base RI'!G8+'A) Base RI'!H8+'A) Base RI'!I8</f>
        <v>884287.24</v>
      </c>
      <c r="K8" s="10">
        <f>+'A) Base RI'!J8</f>
        <v>154621.79999999999</v>
      </c>
      <c r="L8" s="10">
        <f>+'A) Base RI'!K8</f>
        <v>428504.5</v>
      </c>
      <c r="M8" s="10">
        <f>+'A) Base RI'!L8</f>
        <v>87064.65</v>
      </c>
      <c r="N8" s="10">
        <f>+'A) Base RI'!R8</f>
        <v>81151.05</v>
      </c>
      <c r="O8" s="10">
        <f t="shared" ref="O8:O71" si="1">(P8/Q8)*1</f>
        <v>1199592.3999999999</v>
      </c>
      <c r="P8" s="10">
        <f>+'A) Base RI'!M8</f>
        <v>1499490.5</v>
      </c>
      <c r="Q8" s="35">
        <f>'A) Base RI'!Z8</f>
        <v>1.25</v>
      </c>
      <c r="R8" s="2">
        <f t="shared" ref="R8:R71" si="2">SUM(G8:O8)</f>
        <v>12327790.730000002</v>
      </c>
      <c r="S8" s="34">
        <f>+'A) Base RI'!U8</f>
        <v>71</v>
      </c>
      <c r="T8" s="2">
        <f t="shared" ref="T8:T71" si="3">(G8+H8+J8+K8+L8+N8)</f>
        <v>11041133.680000002</v>
      </c>
      <c r="U8" s="2">
        <f t="shared" ref="U8:U71" si="4">R8/S8</f>
        <v>173630.8553521127</v>
      </c>
      <c r="V8" s="10">
        <f>+'A) Base RI'!P8</f>
        <v>253796.1</v>
      </c>
      <c r="W8" s="10">
        <f>+'A) Base RI'!Q8</f>
        <v>825137.25</v>
      </c>
      <c r="X8" s="10">
        <f>+'A) Base RI'!S8</f>
        <v>594534.44999999995</v>
      </c>
      <c r="Y8" s="2">
        <f t="shared" ref="Y8:Y71" si="5">SUM(V8:X8)</f>
        <v>1673467.8</v>
      </c>
      <c r="Z8" s="10">
        <f>+'A) Base RI'!O8</f>
        <v>170020.55</v>
      </c>
      <c r="AA8" s="10">
        <f>'A) Base RI'!V8</f>
        <v>7719</v>
      </c>
    </row>
    <row r="9" spans="1:27" x14ac:dyDescent="0.25">
      <c r="A9" s="8">
        <f>'A) Base RI'!A9</f>
        <v>5403</v>
      </c>
      <c r="B9" s="33" t="str">
        <f>'A) Base RI'!B9</f>
        <v>Chessel</v>
      </c>
      <c r="C9" s="10">
        <f>'A) Base RI'!C9+'A) Base RI'!D9</f>
        <v>664973.53999999992</v>
      </c>
      <c r="D9" s="10">
        <f>'A) Base RI'!W9</f>
        <v>-27848.2</v>
      </c>
      <c r="E9" s="32">
        <f>'A) Base RI'!X9</f>
        <v>0</v>
      </c>
      <c r="F9" s="32">
        <f>'A) Base RI'!Y9</f>
        <v>-0.08</v>
      </c>
      <c r="G9" s="2">
        <f t="shared" si="0"/>
        <v>637125.26</v>
      </c>
      <c r="H9" s="10">
        <f>+'A) Base RI'!E9</f>
        <v>0</v>
      </c>
      <c r="I9" s="10">
        <f>+'A) Base RI'!F9</f>
        <v>0</v>
      </c>
      <c r="J9" s="10">
        <f>+'A) Base RI'!G9+'A) Base RI'!H9+'A) Base RI'!I9</f>
        <v>7339.8799999999992</v>
      </c>
      <c r="K9" s="10">
        <f>+'A) Base RI'!J9</f>
        <v>0</v>
      </c>
      <c r="L9" s="10">
        <f>+'A) Base RI'!K9</f>
        <v>18133.919999999998</v>
      </c>
      <c r="M9" s="10">
        <f>+'A) Base RI'!L9</f>
        <v>994</v>
      </c>
      <c r="N9" s="10">
        <f>+'A) Base RI'!R9</f>
        <v>464.85</v>
      </c>
      <c r="O9" s="10">
        <f t="shared" si="1"/>
        <v>56269.25</v>
      </c>
      <c r="P9" s="10">
        <f>+'A) Base RI'!M9</f>
        <v>56269.25</v>
      </c>
      <c r="Q9" s="35">
        <f>'A) Base RI'!Z9</f>
        <v>1</v>
      </c>
      <c r="R9" s="2">
        <f t="shared" si="2"/>
        <v>720327.16</v>
      </c>
      <c r="S9" s="34">
        <f>+'A) Base RI'!U9</f>
        <v>74</v>
      </c>
      <c r="T9" s="2">
        <f t="shared" si="3"/>
        <v>663063.91</v>
      </c>
      <c r="U9" s="2">
        <f t="shared" si="4"/>
        <v>9734.1508108108119</v>
      </c>
      <c r="V9" s="10">
        <f>+'A) Base RI'!P9</f>
        <v>594</v>
      </c>
      <c r="W9" s="10">
        <f>+'A) Base RI'!Q9</f>
        <v>60544</v>
      </c>
      <c r="X9" s="10">
        <f>+'A) Base RI'!S9</f>
        <v>6502.7</v>
      </c>
      <c r="Y9" s="2">
        <f t="shared" si="5"/>
        <v>67640.7</v>
      </c>
      <c r="Z9" s="10">
        <f>+'A) Base RI'!O9</f>
        <v>6003.45</v>
      </c>
      <c r="AA9" s="10">
        <f>'A) Base RI'!V9</f>
        <v>403</v>
      </c>
    </row>
    <row r="10" spans="1:27" x14ac:dyDescent="0.25">
      <c r="A10" s="8">
        <f>'A) Base RI'!A10</f>
        <v>5404</v>
      </c>
      <c r="B10" s="33" t="str">
        <f>'A) Base RI'!B10</f>
        <v>Corbeyrier</v>
      </c>
      <c r="C10" s="10">
        <f>'A) Base RI'!C10+'A) Base RI'!D10</f>
        <v>687061.95000000007</v>
      </c>
      <c r="D10" s="10">
        <f>'A) Base RI'!W10</f>
        <v>-14194.93</v>
      </c>
      <c r="E10" s="32">
        <f>'A) Base RI'!X10</f>
        <v>0</v>
      </c>
      <c r="F10" s="32">
        <f>'A) Base RI'!Y10</f>
        <v>-0.85</v>
      </c>
      <c r="G10" s="2">
        <f t="shared" si="0"/>
        <v>672866.17</v>
      </c>
      <c r="H10" s="10">
        <f>+'A) Base RI'!E10</f>
        <v>0</v>
      </c>
      <c r="I10" s="10">
        <f>+'A) Base RI'!F10</f>
        <v>0</v>
      </c>
      <c r="J10" s="10">
        <f>+'A) Base RI'!G10+'A) Base RI'!H10+'A) Base RI'!I10</f>
        <v>7843.79</v>
      </c>
      <c r="K10" s="10">
        <f>+'A) Base RI'!J10</f>
        <v>0</v>
      </c>
      <c r="L10" s="10">
        <f>+'A) Base RI'!K10</f>
        <v>3363.46</v>
      </c>
      <c r="M10" s="10">
        <f>+'A) Base RI'!L10</f>
        <v>569.75</v>
      </c>
      <c r="N10" s="10">
        <f>+'A) Base RI'!R10</f>
        <v>466.75</v>
      </c>
      <c r="O10" s="10">
        <f t="shared" si="1"/>
        <v>75416.566666666666</v>
      </c>
      <c r="P10" s="10">
        <f>+'A) Base RI'!M10</f>
        <v>113124.85</v>
      </c>
      <c r="Q10" s="35">
        <f>'A) Base RI'!Z10</f>
        <v>1.5</v>
      </c>
      <c r="R10" s="2">
        <f t="shared" si="2"/>
        <v>760526.48666666669</v>
      </c>
      <c r="S10" s="34">
        <f>+'A) Base RI'!U10</f>
        <v>70</v>
      </c>
      <c r="T10" s="2">
        <f t="shared" si="3"/>
        <v>684540.17</v>
      </c>
      <c r="U10" s="2">
        <f t="shared" si="4"/>
        <v>10864.664095238095</v>
      </c>
      <c r="V10" s="10">
        <f>+'A) Base RI'!P10</f>
        <v>300761.7</v>
      </c>
      <c r="W10" s="10">
        <f>+'A) Base RI'!Q10</f>
        <v>66190.55</v>
      </c>
      <c r="X10" s="10">
        <f>+'A) Base RI'!S10</f>
        <v>23877.25</v>
      </c>
      <c r="Y10" s="2">
        <f t="shared" si="5"/>
        <v>390829.5</v>
      </c>
      <c r="Z10" s="10">
        <f>+'A) Base RI'!O10</f>
        <v>6541.75</v>
      </c>
      <c r="AA10" s="10">
        <f>'A) Base RI'!V10</f>
        <v>437</v>
      </c>
    </row>
    <row r="11" spans="1:27" x14ac:dyDescent="0.25">
      <c r="A11" s="8">
        <f>'A) Base RI'!A11</f>
        <v>5405</v>
      </c>
      <c r="B11" s="33" t="str">
        <f>'A) Base RI'!B11</f>
        <v>Gryon</v>
      </c>
      <c r="C11" s="10">
        <f>'A) Base RI'!C11+'A) Base RI'!D11</f>
        <v>4100729.2699999996</v>
      </c>
      <c r="D11" s="10">
        <f>'A) Base RI'!W11</f>
        <v>-49224.26</v>
      </c>
      <c r="E11" s="32">
        <f>'A) Base RI'!X11</f>
        <v>0</v>
      </c>
      <c r="F11" s="32">
        <f>'A) Base RI'!Y11</f>
        <v>-648.4</v>
      </c>
      <c r="G11" s="2">
        <f t="shared" si="0"/>
        <v>4050856.61</v>
      </c>
      <c r="H11" s="10">
        <f>+'A) Base RI'!E11</f>
        <v>0</v>
      </c>
      <c r="I11" s="10">
        <f>+'A) Base RI'!F11</f>
        <v>0</v>
      </c>
      <c r="J11" s="10">
        <f>+'A) Base RI'!G11+'A) Base RI'!H11+'A) Base RI'!I11</f>
        <v>45707.009999999995</v>
      </c>
      <c r="K11" s="10">
        <f>+'A) Base RI'!J11</f>
        <v>255090.25</v>
      </c>
      <c r="L11" s="10">
        <f>+'A) Base RI'!K11</f>
        <v>88169.29</v>
      </c>
      <c r="M11" s="10">
        <f>+'A) Base RI'!L11</f>
        <v>13487.7</v>
      </c>
      <c r="N11" s="10">
        <f>+'A) Base RI'!R11</f>
        <v>22889.98</v>
      </c>
      <c r="O11" s="10">
        <f t="shared" si="1"/>
        <v>760483.6333333333</v>
      </c>
      <c r="P11" s="10">
        <f>+'A) Base RI'!M11</f>
        <v>1140725.45</v>
      </c>
      <c r="Q11" s="35">
        <f>'A) Base RI'!Z11</f>
        <v>1.5</v>
      </c>
      <c r="R11" s="2">
        <f t="shared" si="2"/>
        <v>5236684.4733333327</v>
      </c>
      <c r="S11" s="34">
        <f>+'A) Base RI'!U11</f>
        <v>75</v>
      </c>
      <c r="T11" s="2">
        <f t="shared" si="3"/>
        <v>4462713.1399999997</v>
      </c>
      <c r="U11" s="2">
        <f t="shared" si="4"/>
        <v>69822.459644444432</v>
      </c>
      <c r="V11" s="10">
        <f>+'A) Base RI'!P11</f>
        <v>85662.5</v>
      </c>
      <c r="W11" s="10">
        <f>+'A) Base RI'!Q11</f>
        <v>291566.75</v>
      </c>
      <c r="X11" s="10">
        <f>+'A) Base RI'!S11</f>
        <v>270969.5</v>
      </c>
      <c r="Y11" s="2">
        <f t="shared" si="5"/>
        <v>648198.75</v>
      </c>
      <c r="Z11" s="10">
        <f>+'A) Base RI'!O11</f>
        <v>0</v>
      </c>
      <c r="AA11" s="10">
        <f>'A) Base RI'!V11</f>
        <v>1364</v>
      </c>
    </row>
    <row r="12" spans="1:27" x14ac:dyDescent="0.25">
      <c r="A12" s="8">
        <f>'A) Base RI'!A12</f>
        <v>5406</v>
      </c>
      <c r="B12" s="33" t="str">
        <f>'A) Base RI'!B12</f>
        <v>Lavey-Morcles</v>
      </c>
      <c r="C12" s="10">
        <f>'A) Base RI'!C12+'A) Base RI'!D12</f>
        <v>1233416.04</v>
      </c>
      <c r="D12" s="10">
        <f>'A) Base RI'!W12</f>
        <v>-29537.95</v>
      </c>
      <c r="E12" s="32">
        <f>'A) Base RI'!X12</f>
        <v>0</v>
      </c>
      <c r="F12" s="32">
        <f>'A) Base RI'!Y12</f>
        <v>0</v>
      </c>
      <c r="G12" s="2">
        <f t="shared" si="0"/>
        <v>1203878.0900000001</v>
      </c>
      <c r="H12" s="10">
        <f>+'A) Base RI'!E12</f>
        <v>0</v>
      </c>
      <c r="I12" s="10">
        <f>+'A) Base RI'!F12</f>
        <v>0</v>
      </c>
      <c r="J12" s="10">
        <f>+'A) Base RI'!G12+'A) Base RI'!H12+'A) Base RI'!I12</f>
        <v>87622.48000000001</v>
      </c>
      <c r="K12" s="10">
        <f>+'A) Base RI'!J12</f>
        <v>0</v>
      </c>
      <c r="L12" s="10">
        <f>+'A) Base RI'!K12</f>
        <v>77672.08</v>
      </c>
      <c r="M12" s="10">
        <f>+'A) Base RI'!L12</f>
        <v>8860.6</v>
      </c>
      <c r="N12" s="10">
        <f>+'A) Base RI'!R12</f>
        <v>6240.28</v>
      </c>
      <c r="O12" s="10">
        <f t="shared" si="1"/>
        <v>144280.19230769231</v>
      </c>
      <c r="P12" s="10">
        <f>+'A) Base RI'!M12</f>
        <v>187564.25</v>
      </c>
      <c r="Q12" s="35">
        <f>'A) Base RI'!Z12</f>
        <v>1.3</v>
      </c>
      <c r="R12" s="2">
        <f t="shared" si="2"/>
        <v>1528553.7223076925</v>
      </c>
      <c r="S12" s="34">
        <f>+'A) Base RI'!U12</f>
        <v>71</v>
      </c>
      <c r="T12" s="2">
        <f t="shared" si="3"/>
        <v>1375412.9300000002</v>
      </c>
      <c r="U12" s="2">
        <f t="shared" si="4"/>
        <v>21528.925666305528</v>
      </c>
      <c r="V12" s="10">
        <f>+'A) Base RI'!P12</f>
        <v>2904</v>
      </c>
      <c r="W12" s="10">
        <f>+'A) Base RI'!Q12</f>
        <v>61769.4</v>
      </c>
      <c r="X12" s="10">
        <f>+'A) Base RI'!S12</f>
        <v>88368.1</v>
      </c>
      <c r="Y12" s="2">
        <f t="shared" si="5"/>
        <v>153041.5</v>
      </c>
      <c r="Z12" s="10">
        <f>+'A) Base RI'!O12</f>
        <v>4100.5</v>
      </c>
      <c r="AA12" s="10">
        <f>'A) Base RI'!V12</f>
        <v>926</v>
      </c>
    </row>
    <row r="13" spans="1:27" x14ac:dyDescent="0.25">
      <c r="A13" s="8">
        <f>'A) Base RI'!A13</f>
        <v>5407</v>
      </c>
      <c r="B13" s="33" t="str">
        <f>'A) Base RI'!B13</f>
        <v>Leysin</v>
      </c>
      <c r="C13" s="10">
        <f>'A) Base RI'!C13+'A) Base RI'!D13</f>
        <v>5236441.49</v>
      </c>
      <c r="D13" s="10">
        <f>'A) Base RI'!W13</f>
        <v>-69786.34</v>
      </c>
      <c r="E13" s="32">
        <f>'A) Base RI'!X13</f>
        <v>0</v>
      </c>
      <c r="F13" s="32">
        <f>'A) Base RI'!Y13</f>
        <v>-2136.56</v>
      </c>
      <c r="G13" s="2">
        <f t="shared" si="0"/>
        <v>5164518.5900000008</v>
      </c>
      <c r="H13" s="10">
        <f>+'A) Base RI'!E13</f>
        <v>0</v>
      </c>
      <c r="I13" s="10">
        <f>+'A) Base RI'!F13</f>
        <v>0</v>
      </c>
      <c r="J13" s="10">
        <f>+'A) Base RI'!G13+'A) Base RI'!H13+'A) Base RI'!I13</f>
        <v>448151.61000000004</v>
      </c>
      <c r="K13" s="10">
        <f>+'A) Base RI'!J13</f>
        <v>139743.37</v>
      </c>
      <c r="L13" s="10">
        <f>+'A) Base RI'!K13</f>
        <v>430438.01</v>
      </c>
      <c r="M13" s="10">
        <f>+'A) Base RI'!L13</f>
        <v>49521.1</v>
      </c>
      <c r="N13" s="10">
        <f>+'A) Base RI'!R13</f>
        <v>34809.1</v>
      </c>
      <c r="O13" s="10">
        <f t="shared" si="1"/>
        <v>794475.1</v>
      </c>
      <c r="P13" s="10">
        <f>+'A) Base RI'!M13</f>
        <v>1191712.6499999999</v>
      </c>
      <c r="Q13" s="35">
        <f>'A) Base RI'!Z13</f>
        <v>1.5</v>
      </c>
      <c r="R13" s="2">
        <f t="shared" si="2"/>
        <v>7061656.8799999999</v>
      </c>
      <c r="S13" s="34">
        <f>+'A) Base RI'!U13</f>
        <v>78</v>
      </c>
      <c r="T13" s="2">
        <f t="shared" si="3"/>
        <v>6217660.6800000006</v>
      </c>
      <c r="U13" s="2">
        <f t="shared" si="4"/>
        <v>90534.062564102569</v>
      </c>
      <c r="V13" s="10">
        <f>+'A) Base RI'!P13</f>
        <v>100744.2</v>
      </c>
      <c r="W13" s="10">
        <f>+'A) Base RI'!Q13</f>
        <v>303301.45</v>
      </c>
      <c r="X13" s="10">
        <f>+'A) Base RI'!S13</f>
        <v>285716</v>
      </c>
      <c r="Y13" s="2">
        <f t="shared" si="5"/>
        <v>689761.65</v>
      </c>
      <c r="Z13" s="10">
        <f>+'A) Base RI'!O13</f>
        <v>20208.75</v>
      </c>
      <c r="AA13" s="10">
        <f>'A) Base RI'!V13</f>
        <v>4023</v>
      </c>
    </row>
    <row r="14" spans="1:27" x14ac:dyDescent="0.25">
      <c r="A14" s="8">
        <f>'A) Base RI'!A14</f>
        <v>5408</v>
      </c>
      <c r="B14" s="33" t="str">
        <f>'A) Base RI'!B14</f>
        <v>Noville</v>
      </c>
      <c r="C14" s="10">
        <f>'A) Base RI'!C14+'A) Base RI'!D14</f>
        <v>1995106.8</v>
      </c>
      <c r="D14" s="10">
        <f>'A) Base RI'!W14</f>
        <v>-45550.18</v>
      </c>
      <c r="E14" s="32">
        <f>'A) Base RI'!X14</f>
        <v>0</v>
      </c>
      <c r="F14" s="32">
        <f>'A) Base RI'!Y14</f>
        <v>-54.98</v>
      </c>
      <c r="G14" s="2">
        <f t="shared" si="0"/>
        <v>1949501.6400000001</v>
      </c>
      <c r="H14" s="10">
        <f>+'A) Base RI'!E14</f>
        <v>0</v>
      </c>
      <c r="I14" s="10">
        <f>+'A) Base RI'!F14</f>
        <v>0</v>
      </c>
      <c r="J14" s="10">
        <f>+'A) Base RI'!G14+'A) Base RI'!H14+'A) Base RI'!I14</f>
        <v>242750.89</v>
      </c>
      <c r="K14" s="10">
        <f>+'A) Base RI'!J14</f>
        <v>0</v>
      </c>
      <c r="L14" s="10">
        <f>+'A) Base RI'!K14</f>
        <v>90896.23</v>
      </c>
      <c r="M14" s="10">
        <f>+'A) Base RI'!L14</f>
        <v>20389.05</v>
      </c>
      <c r="N14" s="10">
        <f>+'A) Base RI'!R14</f>
        <v>16604.919999999998</v>
      </c>
      <c r="O14" s="10">
        <f t="shared" si="1"/>
        <v>171112.06666666668</v>
      </c>
      <c r="P14" s="10">
        <f>+'A) Base RI'!M14</f>
        <v>256668.1</v>
      </c>
      <c r="Q14" s="35">
        <f>'A) Base RI'!Z14</f>
        <v>1.5</v>
      </c>
      <c r="R14" s="2">
        <f t="shared" si="2"/>
        <v>2491254.7966666669</v>
      </c>
      <c r="S14" s="34">
        <f>+'A) Base RI'!U14</f>
        <v>78.5</v>
      </c>
      <c r="T14" s="2">
        <f t="shared" si="3"/>
        <v>2299753.6800000002</v>
      </c>
      <c r="U14" s="2">
        <f t="shared" si="4"/>
        <v>31735.72989384289</v>
      </c>
      <c r="V14" s="10">
        <f>+'A) Base RI'!P14</f>
        <v>113978.7</v>
      </c>
      <c r="W14" s="10">
        <f>+'A) Base RI'!Q14</f>
        <v>109789.7</v>
      </c>
      <c r="X14" s="10">
        <f>+'A) Base RI'!S14</f>
        <v>25509.200000000001</v>
      </c>
      <c r="Y14" s="2">
        <f t="shared" si="5"/>
        <v>249277.6</v>
      </c>
      <c r="Z14" s="10">
        <f>+'A) Base RI'!O14</f>
        <v>58557.25</v>
      </c>
      <c r="AA14" s="10">
        <f>'A) Base RI'!V14</f>
        <v>1055</v>
      </c>
    </row>
    <row r="15" spans="1:27" x14ac:dyDescent="0.25">
      <c r="A15" s="8">
        <f>'A) Base RI'!A15</f>
        <v>5409</v>
      </c>
      <c r="B15" s="33" t="str">
        <f>'A) Base RI'!B15</f>
        <v>Ollon</v>
      </c>
      <c r="C15" s="10">
        <f>'A) Base RI'!C15+'A) Base RI'!D15</f>
        <v>17419046.359999999</v>
      </c>
      <c r="D15" s="10">
        <f>'A) Base RI'!W15</f>
        <v>-192708.49</v>
      </c>
      <c r="E15" s="32">
        <f>'A) Base RI'!X15</f>
        <v>0</v>
      </c>
      <c r="F15" s="32">
        <f>'A) Base RI'!Y15</f>
        <v>-7247.39</v>
      </c>
      <c r="G15" s="2">
        <f t="shared" si="0"/>
        <v>17219090.48</v>
      </c>
      <c r="H15" s="10">
        <f>+'A) Base RI'!E15</f>
        <v>0</v>
      </c>
      <c r="I15" s="10">
        <f>+'A) Base RI'!F15</f>
        <v>0</v>
      </c>
      <c r="J15" s="10">
        <f>+'A) Base RI'!G15+'A) Base RI'!H15+'A) Base RI'!I15</f>
        <v>1032457.9500000001</v>
      </c>
      <c r="K15" s="10">
        <f>+'A) Base RI'!J15</f>
        <v>2828271.23</v>
      </c>
      <c r="L15" s="10">
        <f>+'A) Base RI'!K15</f>
        <v>835288.22</v>
      </c>
      <c r="M15" s="10">
        <f>+'A) Base RI'!L15</f>
        <v>111487.85</v>
      </c>
      <c r="N15" s="10">
        <f>+'A) Base RI'!R15</f>
        <v>70557.919999999998</v>
      </c>
      <c r="O15" s="10">
        <f t="shared" si="1"/>
        <v>2883728.846153846</v>
      </c>
      <c r="P15" s="10">
        <f>+'A) Base RI'!M15</f>
        <v>3748847.5</v>
      </c>
      <c r="Q15" s="35">
        <f>'A) Base RI'!Z15</f>
        <v>1.3</v>
      </c>
      <c r="R15" s="2">
        <f t="shared" si="2"/>
        <v>24980882.496153846</v>
      </c>
      <c r="S15" s="34">
        <f>+'A) Base RI'!U15</f>
        <v>68</v>
      </c>
      <c r="T15" s="2">
        <f t="shared" si="3"/>
        <v>21985665.800000001</v>
      </c>
      <c r="U15" s="2">
        <f t="shared" si="4"/>
        <v>367365.91906108597</v>
      </c>
      <c r="V15" s="10">
        <f>+'A) Base RI'!P15</f>
        <v>362681.95</v>
      </c>
      <c r="W15" s="10">
        <f>+'A) Base RI'!Q15</f>
        <v>1581032.65</v>
      </c>
      <c r="X15" s="10">
        <f>+'A) Base RI'!S15</f>
        <v>958024.5</v>
      </c>
      <c r="Y15" s="2">
        <f t="shared" si="5"/>
        <v>2901739.0999999996</v>
      </c>
      <c r="Z15" s="10">
        <f>+'A) Base RI'!O15</f>
        <v>55680.2</v>
      </c>
      <c r="AA15" s="10">
        <f>'A) Base RI'!V15</f>
        <v>7494</v>
      </c>
    </row>
    <row r="16" spans="1:27" x14ac:dyDescent="0.25">
      <c r="A16" s="8">
        <f>'A) Base RI'!A16</f>
        <v>5410</v>
      </c>
      <c r="B16" s="33" t="str">
        <f>'A) Base RI'!B16</f>
        <v>Ormont-Dessous</v>
      </c>
      <c r="C16" s="10">
        <f>'A) Base RI'!C16+'A) Base RI'!D16</f>
        <v>2408400.66</v>
      </c>
      <c r="D16" s="10">
        <f>'A) Base RI'!W16</f>
        <v>-23211.67</v>
      </c>
      <c r="E16" s="32">
        <f>'A) Base RI'!X16</f>
        <v>0</v>
      </c>
      <c r="F16" s="32">
        <f>'A) Base RI'!Y16</f>
        <v>-124.32</v>
      </c>
      <c r="G16" s="2">
        <f t="shared" si="0"/>
        <v>2385064.6700000004</v>
      </c>
      <c r="H16" s="10">
        <f>+'A) Base RI'!E16</f>
        <v>0</v>
      </c>
      <c r="I16" s="10">
        <f>+'A) Base RI'!F16</f>
        <v>0</v>
      </c>
      <c r="J16" s="10">
        <f>+'A) Base RI'!G16+'A) Base RI'!H16+'A) Base RI'!I16</f>
        <v>85465.96</v>
      </c>
      <c r="K16" s="10">
        <f>+'A) Base RI'!J16</f>
        <v>0</v>
      </c>
      <c r="L16" s="10">
        <f>+'A) Base RI'!K16</f>
        <v>92989.28</v>
      </c>
      <c r="M16" s="10">
        <f>+'A) Base RI'!L16</f>
        <v>5243.5</v>
      </c>
      <c r="N16" s="10">
        <f>+'A) Base RI'!R16</f>
        <v>15556.04</v>
      </c>
      <c r="O16" s="10">
        <f t="shared" si="1"/>
        <v>366169.83333333331</v>
      </c>
      <c r="P16" s="10">
        <f>+'A) Base RI'!M16</f>
        <v>549254.75</v>
      </c>
      <c r="Q16" s="35">
        <f>'A) Base RI'!Z16</f>
        <v>1.5</v>
      </c>
      <c r="R16" s="2">
        <f t="shared" si="2"/>
        <v>2950489.2833333337</v>
      </c>
      <c r="S16" s="34">
        <f>+'A) Base RI'!U16</f>
        <v>78.5</v>
      </c>
      <c r="T16" s="2">
        <f t="shared" si="3"/>
        <v>2579075.9500000002</v>
      </c>
      <c r="U16" s="2">
        <f t="shared" si="4"/>
        <v>37585.850743099792</v>
      </c>
      <c r="V16" s="10">
        <f>+'A) Base RI'!P16</f>
        <v>75600.5</v>
      </c>
      <c r="W16" s="10">
        <f>+'A) Base RI'!Q16</f>
        <v>153112.95000000001</v>
      </c>
      <c r="X16" s="10">
        <f>+'A) Base RI'!S16</f>
        <v>175332.8</v>
      </c>
      <c r="Y16" s="2">
        <f t="shared" si="5"/>
        <v>404046.25</v>
      </c>
      <c r="Z16" s="10">
        <f>+'A) Base RI'!O16</f>
        <v>0</v>
      </c>
      <c r="AA16" s="10">
        <f>'A) Base RI'!V16</f>
        <v>1117</v>
      </c>
    </row>
    <row r="17" spans="1:27" x14ac:dyDescent="0.25">
      <c r="A17" s="8">
        <f>'A) Base RI'!A17</f>
        <v>5411</v>
      </c>
      <c r="B17" s="33" t="str">
        <f>'A) Base RI'!B17</f>
        <v>Ormont-Dessus</v>
      </c>
      <c r="C17" s="10">
        <f>'A) Base RI'!C17+'A) Base RI'!D17</f>
        <v>4837611.76</v>
      </c>
      <c r="D17" s="10">
        <f>'A) Base RI'!W17</f>
        <v>-47883.96</v>
      </c>
      <c r="E17" s="32">
        <f>'A) Base RI'!X17</f>
        <v>0</v>
      </c>
      <c r="F17" s="32">
        <f>'A) Base RI'!Y17</f>
        <v>-1896.74</v>
      </c>
      <c r="G17" s="2">
        <f t="shared" si="0"/>
        <v>4787831.0599999996</v>
      </c>
      <c r="H17" s="10">
        <f>+'A) Base RI'!E17</f>
        <v>0</v>
      </c>
      <c r="I17" s="10">
        <f>+'A) Base RI'!F17</f>
        <v>0</v>
      </c>
      <c r="J17" s="10">
        <f>+'A) Base RI'!G17+'A) Base RI'!H17+'A) Base RI'!I17</f>
        <v>144388</v>
      </c>
      <c r="K17" s="10">
        <f>+'A) Base RI'!J17</f>
        <v>99494.21</v>
      </c>
      <c r="L17" s="10">
        <f>+'A) Base RI'!K17</f>
        <v>135976.32000000001</v>
      </c>
      <c r="M17" s="10">
        <f>+'A) Base RI'!L17</f>
        <v>21865.95</v>
      </c>
      <c r="N17" s="10">
        <f>+'A) Base RI'!R17</f>
        <v>3438.17</v>
      </c>
      <c r="O17" s="10">
        <f t="shared" si="1"/>
        <v>775557.2666666666</v>
      </c>
      <c r="P17" s="10">
        <f>+'A) Base RI'!M17</f>
        <v>1163335.8999999999</v>
      </c>
      <c r="Q17" s="35">
        <f>'A) Base RI'!Z17</f>
        <v>1.5</v>
      </c>
      <c r="R17" s="2">
        <f t="shared" si="2"/>
        <v>5968550.9766666666</v>
      </c>
      <c r="S17" s="34">
        <f>+'A) Base RI'!U17</f>
        <v>76</v>
      </c>
      <c r="T17" s="2">
        <f t="shared" si="3"/>
        <v>5171127.76</v>
      </c>
      <c r="U17" s="2">
        <f t="shared" si="4"/>
        <v>78533.565482456135</v>
      </c>
      <c r="V17" s="10">
        <f>+'A) Base RI'!P17</f>
        <v>12809.7</v>
      </c>
      <c r="W17" s="10">
        <f>+'A) Base RI'!Q17</f>
        <v>244544</v>
      </c>
      <c r="X17" s="10">
        <f>+'A) Base RI'!S17</f>
        <v>268175.09999999998</v>
      </c>
      <c r="Y17" s="2">
        <f t="shared" si="5"/>
        <v>525528.80000000005</v>
      </c>
      <c r="Z17" s="10">
        <f>+'A) Base RI'!O17</f>
        <v>0</v>
      </c>
      <c r="AA17" s="10">
        <f>'A) Base RI'!V17</f>
        <v>1467</v>
      </c>
    </row>
    <row r="18" spans="1:27" x14ac:dyDescent="0.25">
      <c r="A18" s="8">
        <f>'A) Base RI'!A18</f>
        <v>5412</v>
      </c>
      <c r="B18" s="33" t="str">
        <f>'A) Base RI'!B18</f>
        <v>Rennaz</v>
      </c>
      <c r="C18" s="10">
        <f>'A) Base RI'!C18+'A) Base RI'!D18</f>
        <v>1600251.64</v>
      </c>
      <c r="D18" s="10">
        <f>'A) Base RI'!W18</f>
        <v>-24548.02</v>
      </c>
      <c r="E18" s="32">
        <f>'A) Base RI'!X18</f>
        <v>0</v>
      </c>
      <c r="F18" s="32">
        <f>'A) Base RI'!Y18</f>
        <v>-17.829999999999998</v>
      </c>
      <c r="G18" s="2">
        <f t="shared" si="0"/>
        <v>1575685.7899999998</v>
      </c>
      <c r="H18" s="10">
        <f>+'A) Base RI'!E18</f>
        <v>0</v>
      </c>
      <c r="I18" s="10">
        <f>+'A) Base RI'!F18</f>
        <v>0</v>
      </c>
      <c r="J18" s="10">
        <f>+'A) Base RI'!G18+'A) Base RI'!H18+'A) Base RI'!I18</f>
        <v>156542.15</v>
      </c>
      <c r="K18" s="10">
        <f>+'A) Base RI'!J18</f>
        <v>24920.9</v>
      </c>
      <c r="L18" s="10">
        <f>+'A) Base RI'!K18</f>
        <v>90383.23</v>
      </c>
      <c r="M18" s="10">
        <f>+'A) Base RI'!L18</f>
        <v>20313.349999999999</v>
      </c>
      <c r="N18" s="10">
        <f>+'A) Base RI'!R18</f>
        <v>3885.64</v>
      </c>
      <c r="O18" s="10">
        <f t="shared" si="1"/>
        <v>199401.1</v>
      </c>
      <c r="P18" s="10">
        <f>+'A) Base RI'!M18</f>
        <v>199401.1</v>
      </c>
      <c r="Q18" s="35">
        <f>'A) Base RI'!Z18</f>
        <v>1</v>
      </c>
      <c r="R18" s="2">
        <f t="shared" si="2"/>
        <v>2071132.1599999997</v>
      </c>
      <c r="S18" s="34">
        <f>+'A) Base RI'!U18</f>
        <v>67.5</v>
      </c>
      <c r="T18" s="2">
        <f t="shared" si="3"/>
        <v>1851417.7099999995</v>
      </c>
      <c r="U18" s="2">
        <f t="shared" si="4"/>
        <v>30683.439407407404</v>
      </c>
      <c r="V18" s="10">
        <f>+'A) Base RI'!P18</f>
        <v>0</v>
      </c>
      <c r="W18" s="10">
        <f>+'A) Base RI'!Q18</f>
        <v>67044</v>
      </c>
      <c r="X18" s="10">
        <f>+'A) Base RI'!S18</f>
        <v>33549.9</v>
      </c>
      <c r="Y18" s="2">
        <f t="shared" si="5"/>
        <v>100593.9</v>
      </c>
      <c r="Z18" s="10">
        <f>+'A) Base RI'!O18</f>
        <v>86972.800000000003</v>
      </c>
      <c r="AA18" s="10">
        <f>'A) Base RI'!V18</f>
        <v>839</v>
      </c>
    </row>
    <row r="19" spans="1:27" x14ac:dyDescent="0.25">
      <c r="A19" s="8">
        <f>'A) Base RI'!A19</f>
        <v>5413</v>
      </c>
      <c r="B19" s="33" t="str">
        <f>'A) Base RI'!B19</f>
        <v>Roche</v>
      </c>
      <c r="C19" s="10">
        <f>'A) Base RI'!C19+'A) Base RI'!D19</f>
        <v>2081130.61</v>
      </c>
      <c r="D19" s="10">
        <f>'A) Base RI'!W19</f>
        <v>-119295.3</v>
      </c>
      <c r="E19" s="32">
        <f>'A) Base RI'!X19</f>
        <v>0</v>
      </c>
      <c r="F19" s="32">
        <f>'A) Base RI'!Y19</f>
        <v>-64.52</v>
      </c>
      <c r="G19" s="2">
        <f t="shared" si="0"/>
        <v>1961770.79</v>
      </c>
      <c r="H19" s="10">
        <f>+'A) Base RI'!E19</f>
        <v>0</v>
      </c>
      <c r="I19" s="10">
        <f>+'A) Base RI'!F19</f>
        <v>0</v>
      </c>
      <c r="J19" s="10">
        <f>+'A) Base RI'!G19+'A) Base RI'!H19+'A) Base RI'!I19</f>
        <v>157632.51</v>
      </c>
      <c r="K19" s="10">
        <f>+'A) Base RI'!J19</f>
        <v>0</v>
      </c>
      <c r="L19" s="10">
        <f>+'A) Base RI'!K19</f>
        <v>85929.22</v>
      </c>
      <c r="M19" s="10">
        <f>+'A) Base RI'!L19</f>
        <v>16972.349999999999</v>
      </c>
      <c r="N19" s="10">
        <f>+'A) Base RI'!R19</f>
        <v>40765.64</v>
      </c>
      <c r="O19" s="10">
        <f t="shared" si="1"/>
        <v>236203.4</v>
      </c>
      <c r="P19" s="10">
        <f>+'A) Base RI'!M19</f>
        <v>236203.4</v>
      </c>
      <c r="Q19" s="35">
        <f>'A) Base RI'!Z19</f>
        <v>1</v>
      </c>
      <c r="R19" s="2">
        <f t="shared" si="2"/>
        <v>2499273.91</v>
      </c>
      <c r="S19" s="34">
        <f>+'A) Base RI'!U19</f>
        <v>68</v>
      </c>
      <c r="T19" s="2">
        <f t="shared" si="3"/>
        <v>2246098.16</v>
      </c>
      <c r="U19" s="2">
        <f t="shared" si="4"/>
        <v>36754.028088235296</v>
      </c>
      <c r="V19" s="10">
        <f>+'A) Base RI'!P19</f>
        <v>3960</v>
      </c>
      <c r="W19" s="10">
        <f>+'A) Base RI'!Q19</f>
        <v>128784.45</v>
      </c>
      <c r="X19" s="10">
        <f>+'A) Base RI'!S19</f>
        <v>82385.45</v>
      </c>
      <c r="Y19" s="2">
        <f t="shared" si="5"/>
        <v>215129.90000000002</v>
      </c>
      <c r="Z19" s="10">
        <f>+'A) Base RI'!O19</f>
        <v>185237.95</v>
      </c>
      <c r="AA19" s="10">
        <f>'A) Base RI'!V19</f>
        <v>1650</v>
      </c>
    </row>
    <row r="20" spans="1:27" x14ac:dyDescent="0.25">
      <c r="A20" s="8">
        <f>'A) Base RI'!A20</f>
        <v>5414</v>
      </c>
      <c r="B20" s="33" t="str">
        <f>'A) Base RI'!B20</f>
        <v>Villeneuve</v>
      </c>
      <c r="C20" s="10">
        <f>'A) Base RI'!C20+'A) Base RI'!D20</f>
        <v>8743609.0099999998</v>
      </c>
      <c r="D20" s="10">
        <f>'A) Base RI'!W20</f>
        <v>-160281.88</v>
      </c>
      <c r="E20" s="32">
        <f>'A) Base RI'!X20</f>
        <v>0</v>
      </c>
      <c r="F20" s="32">
        <f>'A) Base RI'!Y20</f>
        <v>-1886.78</v>
      </c>
      <c r="G20" s="2">
        <f t="shared" si="0"/>
        <v>8581440.3499999996</v>
      </c>
      <c r="H20" s="10">
        <f>+'A) Base RI'!E20</f>
        <v>0</v>
      </c>
      <c r="I20" s="10">
        <f>+'A) Base RI'!F20</f>
        <v>0</v>
      </c>
      <c r="J20" s="10">
        <f>+'A) Base RI'!G20+'A) Base RI'!H20+'A) Base RI'!I20</f>
        <v>907331.19</v>
      </c>
      <c r="K20" s="10">
        <f>+'A) Base RI'!J20</f>
        <v>71077.3</v>
      </c>
      <c r="L20" s="10">
        <f>+'A) Base RI'!K20</f>
        <v>363958.32</v>
      </c>
      <c r="M20" s="10">
        <f>+'A) Base RI'!L20</f>
        <v>125496.15</v>
      </c>
      <c r="N20" s="10">
        <f>+'A) Base RI'!R20</f>
        <v>40907.5</v>
      </c>
      <c r="O20" s="10">
        <f t="shared" si="1"/>
        <v>1044601.1</v>
      </c>
      <c r="P20" s="10">
        <f>+'A) Base RI'!M20</f>
        <v>1044601.1</v>
      </c>
      <c r="Q20" s="35">
        <f>'A) Base RI'!Z20</f>
        <v>1</v>
      </c>
      <c r="R20" s="2">
        <f t="shared" si="2"/>
        <v>11134811.91</v>
      </c>
      <c r="S20" s="34">
        <f>+'A) Base RI'!U20</f>
        <v>69</v>
      </c>
      <c r="T20" s="2">
        <f t="shared" si="3"/>
        <v>9964714.6600000001</v>
      </c>
      <c r="U20" s="2">
        <f t="shared" si="4"/>
        <v>161374.0856521739</v>
      </c>
      <c r="V20" s="10">
        <f>+'A) Base RI'!P20</f>
        <v>134241.20000000001</v>
      </c>
      <c r="W20" s="10">
        <f>+'A) Base RI'!Q20</f>
        <v>838515.15</v>
      </c>
      <c r="X20" s="10">
        <f>+'A) Base RI'!S20</f>
        <v>358018.45</v>
      </c>
      <c r="Y20" s="2">
        <f t="shared" si="5"/>
        <v>1330774.8</v>
      </c>
      <c r="Z20" s="10">
        <f>+'A) Base RI'!O20</f>
        <v>992574.25</v>
      </c>
      <c r="AA20" s="10">
        <f>'A) Base RI'!V20</f>
        <v>5672</v>
      </c>
    </row>
    <row r="21" spans="1:27" x14ac:dyDescent="0.25">
      <c r="A21" s="8">
        <f>'A) Base RI'!A21</f>
        <v>5415</v>
      </c>
      <c r="B21" s="33" t="str">
        <f>'A) Base RI'!B21</f>
        <v>Yvorne</v>
      </c>
      <c r="C21" s="10">
        <f>'A) Base RI'!C21+'A) Base RI'!D21</f>
        <v>2133661.16</v>
      </c>
      <c r="D21" s="10">
        <f>'A) Base RI'!W21</f>
        <v>-38377.18</v>
      </c>
      <c r="E21" s="32">
        <f>'A) Base RI'!X21</f>
        <v>0</v>
      </c>
      <c r="F21" s="32">
        <f>'A) Base RI'!Y21</f>
        <v>-804.04</v>
      </c>
      <c r="G21" s="2">
        <f t="shared" si="0"/>
        <v>2094479.9400000002</v>
      </c>
      <c r="H21" s="10">
        <f>+'A) Base RI'!E21</f>
        <v>0</v>
      </c>
      <c r="I21" s="10">
        <f>+'A) Base RI'!F21</f>
        <v>0</v>
      </c>
      <c r="J21" s="10">
        <f>+'A) Base RI'!G21+'A) Base RI'!H21+'A) Base RI'!I21</f>
        <v>79449.62999999999</v>
      </c>
      <c r="K21" s="10">
        <f>+'A) Base RI'!J21</f>
        <v>1352.45</v>
      </c>
      <c r="L21" s="10">
        <f>+'A) Base RI'!K21</f>
        <v>60687.05</v>
      </c>
      <c r="M21" s="10">
        <f>+'A) Base RI'!L21</f>
        <v>10262.65</v>
      </c>
      <c r="N21" s="10">
        <f>+'A) Base RI'!R21</f>
        <v>1130.45</v>
      </c>
      <c r="O21" s="10">
        <f t="shared" si="1"/>
        <v>213447.23333333331</v>
      </c>
      <c r="P21" s="10">
        <f>+'A) Base RI'!M21</f>
        <v>320170.84999999998</v>
      </c>
      <c r="Q21" s="35">
        <f>'A) Base RI'!Z21</f>
        <v>1.5</v>
      </c>
      <c r="R21" s="2">
        <f t="shared" si="2"/>
        <v>2460809.4033333338</v>
      </c>
      <c r="S21" s="34">
        <f>+'A) Base RI'!U21</f>
        <v>71.5</v>
      </c>
      <c r="T21" s="2">
        <f t="shared" si="3"/>
        <v>2237099.5200000005</v>
      </c>
      <c r="U21" s="2">
        <f t="shared" si="4"/>
        <v>34416.914731934739</v>
      </c>
      <c r="V21" s="10">
        <f>+'A) Base RI'!P21</f>
        <v>30506.6</v>
      </c>
      <c r="W21" s="10">
        <f>+'A) Base RI'!Q21</f>
        <v>142133.4</v>
      </c>
      <c r="X21" s="10">
        <f>+'A) Base RI'!S21</f>
        <v>62472.25</v>
      </c>
      <c r="Y21" s="2">
        <f t="shared" si="5"/>
        <v>235112.25</v>
      </c>
      <c r="Z21" s="10">
        <f>+'A) Base RI'!O21</f>
        <v>27533.95</v>
      </c>
      <c r="AA21" s="10">
        <f>'A) Base RI'!V21</f>
        <v>1057</v>
      </c>
    </row>
    <row r="22" spans="1:27" x14ac:dyDescent="0.25">
      <c r="A22" s="8">
        <f>'A) Base RI'!A22</f>
        <v>5421</v>
      </c>
      <c r="B22" s="33" t="str">
        <f>'A) Base RI'!B22</f>
        <v>Apples</v>
      </c>
      <c r="C22" s="10">
        <f>'A) Base RI'!C22+'A) Base RI'!D22</f>
        <v>3770296.95</v>
      </c>
      <c r="D22" s="10">
        <f>'A) Base RI'!W22</f>
        <v>-75701.13</v>
      </c>
      <c r="E22" s="32">
        <f>'A) Base RI'!X22</f>
        <v>0</v>
      </c>
      <c r="F22" s="32">
        <f>'A) Base RI'!Y22</f>
        <v>-1907.12</v>
      </c>
      <c r="G22" s="2">
        <f t="shared" si="0"/>
        <v>3692688.7</v>
      </c>
      <c r="H22" s="10">
        <f>+'A) Base RI'!E22</f>
        <v>0</v>
      </c>
      <c r="I22" s="10">
        <f>+'A) Base RI'!F22</f>
        <v>0</v>
      </c>
      <c r="J22" s="10">
        <f>+'A) Base RI'!G22+'A) Base RI'!H22+'A) Base RI'!I22</f>
        <v>233539.91</v>
      </c>
      <c r="K22" s="10">
        <f>+'A) Base RI'!J22</f>
        <v>41201.5</v>
      </c>
      <c r="L22" s="10">
        <f>+'A) Base RI'!K22</f>
        <v>198869.76000000001</v>
      </c>
      <c r="M22" s="10">
        <f>+'A) Base RI'!L22</f>
        <v>11072.9</v>
      </c>
      <c r="N22" s="10">
        <f>+'A) Base RI'!R22</f>
        <v>0</v>
      </c>
      <c r="O22" s="10">
        <f t="shared" si="1"/>
        <v>277987.65000000002</v>
      </c>
      <c r="P22" s="10">
        <f>+'A) Base RI'!M22</f>
        <v>277987.65000000002</v>
      </c>
      <c r="Q22" s="35">
        <f>'A) Base RI'!Z22</f>
        <v>1</v>
      </c>
      <c r="R22" s="2">
        <f t="shared" si="2"/>
        <v>4455360.42</v>
      </c>
      <c r="S22" s="34">
        <f>+'A) Base RI'!U22</f>
        <v>76</v>
      </c>
      <c r="T22" s="2">
        <f t="shared" si="3"/>
        <v>4166299.87</v>
      </c>
      <c r="U22" s="2">
        <f t="shared" si="4"/>
        <v>58623.163421052632</v>
      </c>
      <c r="V22" s="10">
        <f>+'A) Base RI'!P22</f>
        <v>3959.6</v>
      </c>
      <c r="W22" s="10">
        <f>+'A) Base RI'!Q22</f>
        <v>119382.85</v>
      </c>
      <c r="X22" s="10">
        <f>+'A) Base RI'!S22</f>
        <v>122395.2</v>
      </c>
      <c r="Y22" s="2">
        <f t="shared" si="5"/>
        <v>245737.65000000002</v>
      </c>
      <c r="Z22" s="10">
        <f>+'A) Base RI'!O22</f>
        <v>23304.400000000001</v>
      </c>
      <c r="AA22" s="10">
        <f>'A) Base RI'!V22</f>
        <v>1437</v>
      </c>
    </row>
    <row r="23" spans="1:27" x14ac:dyDescent="0.25">
      <c r="A23" s="8">
        <f>'A) Base RI'!A23</f>
        <v>5422</v>
      </c>
      <c r="B23" s="33" t="str">
        <f>'A) Base RI'!B23</f>
        <v>Aubonne</v>
      </c>
      <c r="C23" s="10">
        <f>'A) Base RI'!C23+'A) Base RI'!D23</f>
        <v>11659970.01</v>
      </c>
      <c r="D23" s="10">
        <f>'A) Base RI'!W23</f>
        <v>-85873.98</v>
      </c>
      <c r="E23" s="32">
        <f>'A) Base RI'!X23</f>
        <v>0</v>
      </c>
      <c r="F23" s="32">
        <f>'A) Base RI'!Y23</f>
        <v>-2041.2</v>
      </c>
      <c r="G23" s="2">
        <f t="shared" si="0"/>
        <v>11572054.83</v>
      </c>
      <c r="H23" s="10">
        <f>+'A) Base RI'!E23</f>
        <v>0</v>
      </c>
      <c r="I23" s="10">
        <f>+'A) Base RI'!F23</f>
        <v>0</v>
      </c>
      <c r="J23" s="10">
        <f>+'A) Base RI'!G23+'A) Base RI'!H23+'A) Base RI'!I23</f>
        <v>2928312.99</v>
      </c>
      <c r="K23" s="10">
        <f>+'A) Base RI'!J23</f>
        <v>283152.2</v>
      </c>
      <c r="L23" s="10">
        <f>+'A) Base RI'!K23</f>
        <v>760810.8</v>
      </c>
      <c r="M23" s="10">
        <f>+'A) Base RI'!L23</f>
        <v>112652.45</v>
      </c>
      <c r="N23" s="10">
        <f>+'A) Base RI'!R23</f>
        <v>29029.33</v>
      </c>
      <c r="O23" s="10">
        <f t="shared" si="1"/>
        <v>926943.79</v>
      </c>
      <c r="P23" s="10">
        <f>+'A) Base RI'!M23</f>
        <v>926943.79</v>
      </c>
      <c r="Q23" s="35">
        <f>'A) Base RI'!Z23</f>
        <v>1</v>
      </c>
      <c r="R23" s="2">
        <f t="shared" si="2"/>
        <v>16612956.390000001</v>
      </c>
      <c r="S23" s="34">
        <f>+'A) Base RI'!U23</f>
        <v>68</v>
      </c>
      <c r="T23" s="2">
        <f t="shared" si="3"/>
        <v>15573360.15</v>
      </c>
      <c r="U23" s="2">
        <f t="shared" si="4"/>
        <v>244308.18220588236</v>
      </c>
      <c r="V23" s="10">
        <f>+'A) Base RI'!P23</f>
        <v>327874.40000000002</v>
      </c>
      <c r="W23" s="10">
        <f>+'A) Base RI'!Q23</f>
        <v>334602.75</v>
      </c>
      <c r="X23" s="10">
        <f>+'A) Base RI'!S23</f>
        <v>276044.05</v>
      </c>
      <c r="Y23" s="2">
        <f t="shared" si="5"/>
        <v>938521.2</v>
      </c>
      <c r="Z23" s="10">
        <f>+'A) Base RI'!O23</f>
        <v>773580.6</v>
      </c>
      <c r="AA23" s="10">
        <f>'A) Base RI'!V23</f>
        <v>3269</v>
      </c>
    </row>
    <row r="24" spans="1:27" x14ac:dyDescent="0.25">
      <c r="A24" s="8">
        <f>'A) Base RI'!A24</f>
        <v>5423</v>
      </c>
      <c r="B24" s="33" t="str">
        <f>'A) Base RI'!B24</f>
        <v>Ballens</v>
      </c>
      <c r="C24" s="10">
        <f>'A) Base RI'!C24+'A) Base RI'!D24</f>
        <v>1020027.25</v>
      </c>
      <c r="D24" s="10">
        <f>'A) Base RI'!W24</f>
        <v>-1484.62</v>
      </c>
      <c r="E24" s="32">
        <f>'A) Base RI'!X24</f>
        <v>0</v>
      </c>
      <c r="F24" s="32">
        <f>'A) Base RI'!Y24</f>
        <v>-5.25</v>
      </c>
      <c r="G24" s="2">
        <f t="shared" si="0"/>
        <v>1018537.38</v>
      </c>
      <c r="H24" s="10">
        <f>+'A) Base RI'!E24</f>
        <v>0</v>
      </c>
      <c r="I24" s="10">
        <f>+'A) Base RI'!F24</f>
        <v>2620</v>
      </c>
      <c r="J24" s="10">
        <f>+'A) Base RI'!G24+'A) Base RI'!H24+'A) Base RI'!I24</f>
        <v>-1989.5999999999995</v>
      </c>
      <c r="K24" s="10">
        <f>+'A) Base RI'!J24</f>
        <v>0</v>
      </c>
      <c r="L24" s="10">
        <f>+'A) Base RI'!K24</f>
        <v>52834.98</v>
      </c>
      <c r="M24" s="10">
        <f>+'A) Base RI'!L24</f>
        <v>1591.55</v>
      </c>
      <c r="N24" s="10">
        <f>+'A) Base RI'!R24</f>
        <v>13390.08</v>
      </c>
      <c r="O24" s="10">
        <f t="shared" si="1"/>
        <v>74164.7</v>
      </c>
      <c r="P24" s="10">
        <f>+'A) Base RI'!M24</f>
        <v>37082.35</v>
      </c>
      <c r="Q24" s="35">
        <f>'A) Base RI'!Z24</f>
        <v>0.5</v>
      </c>
      <c r="R24" s="2">
        <f t="shared" si="2"/>
        <v>1161149.0900000001</v>
      </c>
      <c r="S24" s="34">
        <f>+'A) Base RI'!U24</f>
        <v>69</v>
      </c>
      <c r="T24" s="2">
        <f t="shared" si="3"/>
        <v>1082772.8400000001</v>
      </c>
      <c r="U24" s="2">
        <f t="shared" si="4"/>
        <v>16828.247681159421</v>
      </c>
      <c r="V24" s="10">
        <f>+'A) Base RI'!P24</f>
        <v>0</v>
      </c>
      <c r="W24" s="10">
        <f>+'A) Base RI'!Q24</f>
        <v>64207.35</v>
      </c>
      <c r="X24" s="10">
        <f>+'A) Base RI'!S24</f>
        <v>64617.45</v>
      </c>
      <c r="Y24" s="2">
        <f t="shared" si="5"/>
        <v>128824.79999999999</v>
      </c>
      <c r="Z24" s="10">
        <f>+'A) Base RI'!O24</f>
        <v>19697.25</v>
      </c>
      <c r="AA24" s="10">
        <f>'A) Base RI'!V24</f>
        <v>527</v>
      </c>
    </row>
    <row r="25" spans="1:27" x14ac:dyDescent="0.25">
      <c r="A25" s="8">
        <f>'A) Base RI'!A25</f>
        <v>5424</v>
      </c>
      <c r="B25" s="33" t="str">
        <f>'A) Base RI'!B25</f>
        <v>Berolle</v>
      </c>
      <c r="C25" s="10">
        <f>'A) Base RI'!C25+'A) Base RI'!D25</f>
        <v>749848.41</v>
      </c>
      <c r="D25" s="10">
        <f>'A) Base RI'!W25</f>
        <v>-10774.12</v>
      </c>
      <c r="E25" s="32">
        <f>'A) Base RI'!X25</f>
        <v>0</v>
      </c>
      <c r="F25" s="32">
        <f>'A) Base RI'!Y25</f>
        <v>0</v>
      </c>
      <c r="G25" s="2">
        <f t="shared" si="0"/>
        <v>739074.29</v>
      </c>
      <c r="H25" s="10">
        <f>+'A) Base RI'!E25</f>
        <v>0</v>
      </c>
      <c r="I25" s="10">
        <f>+'A) Base RI'!F25</f>
        <v>0</v>
      </c>
      <c r="J25" s="10">
        <f>+'A) Base RI'!G25+'A) Base RI'!H25+'A) Base RI'!I25</f>
        <v>1152.42</v>
      </c>
      <c r="K25" s="10">
        <f>+'A) Base RI'!J25</f>
        <v>30741.05</v>
      </c>
      <c r="L25" s="10">
        <f>+'A) Base RI'!K25</f>
        <v>46159.78</v>
      </c>
      <c r="M25" s="10">
        <f>+'A) Base RI'!L25</f>
        <v>764.9</v>
      </c>
      <c r="N25" s="10">
        <f>+'A) Base RI'!R25</f>
        <v>5814.15</v>
      </c>
      <c r="O25" s="10">
        <f t="shared" si="1"/>
        <v>49019</v>
      </c>
      <c r="P25" s="10">
        <f>+'A) Base RI'!M25</f>
        <v>49019</v>
      </c>
      <c r="Q25" s="35">
        <f>'A) Base RI'!Z25</f>
        <v>1</v>
      </c>
      <c r="R25" s="2">
        <f t="shared" si="2"/>
        <v>872725.5900000002</v>
      </c>
      <c r="S25" s="34">
        <f>+'A) Base RI'!U25</f>
        <v>77</v>
      </c>
      <c r="T25" s="2">
        <f t="shared" si="3"/>
        <v>822941.69000000018</v>
      </c>
      <c r="U25" s="2">
        <f t="shared" si="4"/>
        <v>11334.098571428574</v>
      </c>
      <c r="V25" s="10">
        <f>+'A) Base RI'!P25</f>
        <v>0</v>
      </c>
      <c r="W25" s="10">
        <f>+'A) Base RI'!Q25</f>
        <v>1500.95</v>
      </c>
      <c r="X25" s="10">
        <f>+'A) Base RI'!S25</f>
        <v>38918.699999999997</v>
      </c>
      <c r="Y25" s="2">
        <f t="shared" si="5"/>
        <v>40419.649999999994</v>
      </c>
      <c r="Z25" s="10">
        <f>+'A) Base RI'!O25</f>
        <v>0</v>
      </c>
      <c r="AA25" s="10">
        <f>'A) Base RI'!V25</f>
        <v>301</v>
      </c>
    </row>
    <row r="26" spans="1:27" x14ac:dyDescent="0.25">
      <c r="A26" s="8">
        <f>'A) Base RI'!A26</f>
        <v>5425</v>
      </c>
      <c r="B26" s="33" t="str">
        <f>'A) Base RI'!B26</f>
        <v>Bière</v>
      </c>
      <c r="C26" s="10">
        <f>'A) Base RI'!C26+'A) Base RI'!D26</f>
        <v>2323837.77</v>
      </c>
      <c r="D26" s="10">
        <f>'A) Base RI'!W26</f>
        <v>-45980.23</v>
      </c>
      <c r="E26" s="32">
        <f>'A) Base RI'!X26</f>
        <v>0</v>
      </c>
      <c r="F26" s="32">
        <f>'A) Base RI'!Y26</f>
        <v>-31.71</v>
      </c>
      <c r="G26" s="2">
        <f t="shared" si="0"/>
        <v>2277825.83</v>
      </c>
      <c r="H26" s="10">
        <f>+'A) Base RI'!E26</f>
        <v>0</v>
      </c>
      <c r="I26" s="10">
        <f>+'A) Base RI'!F26</f>
        <v>0</v>
      </c>
      <c r="J26" s="10">
        <f>+'A) Base RI'!G26+'A) Base RI'!H26+'A) Base RI'!I26</f>
        <v>95827.739999999991</v>
      </c>
      <c r="K26" s="10">
        <f>+'A) Base RI'!J26</f>
        <v>0</v>
      </c>
      <c r="L26" s="10">
        <f>+'A) Base RI'!K26</f>
        <v>159714.74</v>
      </c>
      <c r="M26" s="10">
        <f>+'A) Base RI'!L26</f>
        <v>11227.3</v>
      </c>
      <c r="N26" s="10">
        <f>+'A) Base RI'!R26</f>
        <v>19967.150000000001</v>
      </c>
      <c r="O26" s="10">
        <f t="shared" si="1"/>
        <v>194842.41379310348</v>
      </c>
      <c r="P26" s="10">
        <f>+'A) Base RI'!M26</f>
        <v>113008.6</v>
      </c>
      <c r="Q26" s="35">
        <f>'A) Base RI'!Z26</f>
        <v>0.57999999999999996</v>
      </c>
      <c r="R26" s="2">
        <f t="shared" si="2"/>
        <v>2759405.1737931035</v>
      </c>
      <c r="S26" s="34">
        <f>+'A) Base RI'!U26</f>
        <v>68</v>
      </c>
      <c r="T26" s="2">
        <f t="shared" si="3"/>
        <v>2553335.4600000004</v>
      </c>
      <c r="U26" s="2">
        <f t="shared" si="4"/>
        <v>40579.487849898578</v>
      </c>
      <c r="V26" s="10">
        <f>+'A) Base RI'!P26</f>
        <v>59714.8</v>
      </c>
      <c r="W26" s="10">
        <f>+'A) Base RI'!Q26</f>
        <v>62248.35</v>
      </c>
      <c r="X26" s="10">
        <f>+'A) Base RI'!S26</f>
        <v>20096.75</v>
      </c>
      <c r="Y26" s="2">
        <f t="shared" si="5"/>
        <v>142059.9</v>
      </c>
      <c r="Z26" s="10">
        <f>+'A) Base RI'!O26</f>
        <v>22240.45</v>
      </c>
      <c r="AA26" s="10">
        <f>'A) Base RI'!V26</f>
        <v>1577</v>
      </c>
    </row>
    <row r="27" spans="1:27" x14ac:dyDescent="0.25">
      <c r="A27" s="8">
        <f>'A) Base RI'!A27</f>
        <v>5426</v>
      </c>
      <c r="B27" s="33" t="str">
        <f>'A) Base RI'!B27</f>
        <v>Bougy-Villars</v>
      </c>
      <c r="C27" s="10">
        <f>'A) Base RI'!C27+'A) Base RI'!D27</f>
        <v>2247502.6100000003</v>
      </c>
      <c r="D27" s="10">
        <f>'A) Base RI'!W27</f>
        <v>-17717.45</v>
      </c>
      <c r="E27" s="32">
        <f>'A) Base RI'!X27</f>
        <v>0</v>
      </c>
      <c r="F27" s="32">
        <f>'A) Base RI'!Y27</f>
        <v>-1505.5</v>
      </c>
      <c r="G27" s="2">
        <f t="shared" si="0"/>
        <v>2228279.66</v>
      </c>
      <c r="H27" s="10">
        <f>+'A) Base RI'!E27</f>
        <v>0</v>
      </c>
      <c r="I27" s="10">
        <f>+'A) Base RI'!F27</f>
        <v>0</v>
      </c>
      <c r="J27" s="10">
        <f>+'A) Base RI'!G27+'A) Base RI'!H27+'A) Base RI'!I27</f>
        <v>20662.240000000002</v>
      </c>
      <c r="K27" s="10">
        <f>+'A) Base RI'!J27</f>
        <v>660903</v>
      </c>
      <c r="L27" s="10">
        <f>+'A) Base RI'!K27</f>
        <v>7700.55</v>
      </c>
      <c r="M27" s="10">
        <f>+'A) Base RI'!L27</f>
        <v>6577.3</v>
      </c>
      <c r="N27" s="10">
        <f>+'A) Base RI'!R27</f>
        <v>0</v>
      </c>
      <c r="O27" s="10">
        <f t="shared" si="1"/>
        <v>232865.16666666669</v>
      </c>
      <c r="P27" s="10">
        <f>+'A) Base RI'!M27</f>
        <v>279438.2</v>
      </c>
      <c r="Q27" s="35">
        <f>'A) Base RI'!Z27</f>
        <v>1.2</v>
      </c>
      <c r="R27" s="2">
        <f t="shared" si="2"/>
        <v>3156987.9166666665</v>
      </c>
      <c r="S27" s="34">
        <f>+'A) Base RI'!U27</f>
        <v>66</v>
      </c>
      <c r="T27" s="2">
        <f t="shared" si="3"/>
        <v>2917545.45</v>
      </c>
      <c r="U27" s="2">
        <f t="shared" si="4"/>
        <v>47833.150252525251</v>
      </c>
      <c r="V27" s="10">
        <f>+'A) Base RI'!P27</f>
        <v>337043.7</v>
      </c>
      <c r="W27" s="10">
        <f>+'A) Base RI'!Q27</f>
        <v>325800.65000000002</v>
      </c>
      <c r="X27" s="10">
        <f>+'A) Base RI'!S27</f>
        <v>164649.95000000001</v>
      </c>
      <c r="Y27" s="2">
        <f t="shared" si="5"/>
        <v>827494.3</v>
      </c>
      <c r="Z27" s="10">
        <f>+'A) Base RI'!O27</f>
        <v>15905.95</v>
      </c>
      <c r="AA27" s="10">
        <f>'A) Base RI'!V27</f>
        <v>483</v>
      </c>
    </row>
    <row r="28" spans="1:27" x14ac:dyDescent="0.25">
      <c r="A28" s="8">
        <f>'A) Base RI'!A28</f>
        <v>5427</v>
      </c>
      <c r="B28" s="33" t="str">
        <f>'A) Base RI'!B28</f>
        <v>Féchy</v>
      </c>
      <c r="C28" s="10">
        <f>'A) Base RI'!C28+'A) Base RI'!D28</f>
        <v>4247717.84</v>
      </c>
      <c r="D28" s="10">
        <f>'A) Base RI'!W28</f>
        <v>-1283.01</v>
      </c>
      <c r="E28" s="32">
        <f>'A) Base RI'!X28</f>
        <v>0</v>
      </c>
      <c r="F28" s="32">
        <f>'A) Base RI'!Y28</f>
        <v>0</v>
      </c>
      <c r="G28" s="2">
        <f t="shared" si="0"/>
        <v>4246434.83</v>
      </c>
      <c r="H28" s="10">
        <f>+'A) Base RI'!E28</f>
        <v>0</v>
      </c>
      <c r="I28" s="10">
        <f>+'A) Base RI'!F28</f>
        <v>0</v>
      </c>
      <c r="J28" s="10">
        <f>+'A) Base RI'!G28+'A) Base RI'!H28+'A) Base RI'!I28</f>
        <v>44095.9</v>
      </c>
      <c r="K28" s="10">
        <f>+'A) Base RI'!J28</f>
        <v>358463.1</v>
      </c>
      <c r="L28" s="10">
        <f>+'A) Base RI'!K28</f>
        <v>88309.94</v>
      </c>
      <c r="M28" s="10">
        <f>+'A) Base RI'!L28</f>
        <v>2764.7</v>
      </c>
      <c r="N28" s="10">
        <f>+'A) Base RI'!R28</f>
        <v>0</v>
      </c>
      <c r="O28" s="10">
        <f t="shared" si="1"/>
        <v>335693.69230769231</v>
      </c>
      <c r="P28" s="10">
        <f>+'A) Base RI'!M28</f>
        <v>436401.8</v>
      </c>
      <c r="Q28" s="35">
        <f>'A) Base RI'!Z28</f>
        <v>1.3</v>
      </c>
      <c r="R28" s="2">
        <f t="shared" si="2"/>
        <v>5075762.1623076927</v>
      </c>
      <c r="S28" s="34">
        <f>+'A) Base RI'!U28</f>
        <v>64</v>
      </c>
      <c r="T28" s="2">
        <f t="shared" si="3"/>
        <v>4737303.7700000005</v>
      </c>
      <c r="U28" s="2">
        <f t="shared" si="4"/>
        <v>79308.783786057698</v>
      </c>
      <c r="V28" s="10">
        <f>+'A) Base RI'!P28</f>
        <v>16532.8</v>
      </c>
      <c r="W28" s="10">
        <f>+'A) Base RI'!Q28</f>
        <v>245218.45</v>
      </c>
      <c r="X28" s="10">
        <f>+'A) Base RI'!S28</f>
        <v>220813.8</v>
      </c>
      <c r="Y28" s="2">
        <f t="shared" si="5"/>
        <v>482565.05</v>
      </c>
      <c r="Z28" s="10">
        <f>+'A) Base RI'!O28</f>
        <v>11699.5</v>
      </c>
      <c r="AA28" s="10">
        <f>'A) Base RI'!V28</f>
        <v>895</v>
      </c>
    </row>
    <row r="29" spans="1:27" x14ac:dyDescent="0.25">
      <c r="A29" s="8">
        <f>'A) Base RI'!A29</f>
        <v>5428</v>
      </c>
      <c r="B29" s="33" t="str">
        <f>'A) Base RI'!B29</f>
        <v>Gimel</v>
      </c>
      <c r="C29" s="10">
        <f>'A) Base RI'!C29+'A) Base RI'!D29</f>
        <v>3777244.11</v>
      </c>
      <c r="D29" s="10">
        <f>'A) Base RI'!W29</f>
        <v>-56595.8</v>
      </c>
      <c r="E29" s="32">
        <f>'A) Base RI'!X29</f>
        <v>0</v>
      </c>
      <c r="F29" s="32">
        <f>'A) Base RI'!Y29</f>
        <v>-67.41</v>
      </c>
      <c r="G29" s="2">
        <f t="shared" si="0"/>
        <v>3720580.9</v>
      </c>
      <c r="H29" s="10">
        <f>+'A) Base RI'!E29</f>
        <v>0</v>
      </c>
      <c r="I29" s="10">
        <f>+'A) Base RI'!F29</f>
        <v>0</v>
      </c>
      <c r="J29" s="10">
        <f>+'A) Base RI'!G29+'A) Base RI'!H29+'A) Base RI'!I29</f>
        <v>110353.79000000001</v>
      </c>
      <c r="K29" s="10">
        <f>+'A) Base RI'!J29</f>
        <v>42710.2</v>
      </c>
      <c r="L29" s="10">
        <f>+'A) Base RI'!K29</f>
        <v>199789.47</v>
      </c>
      <c r="M29" s="10">
        <f>+'A) Base RI'!L29</f>
        <v>13021.65</v>
      </c>
      <c r="N29" s="10">
        <f>+'A) Base RI'!R29</f>
        <v>7605.41</v>
      </c>
      <c r="O29" s="10">
        <f t="shared" si="1"/>
        <v>319528.25000000006</v>
      </c>
      <c r="P29" s="10">
        <f>+'A) Base RI'!M29</f>
        <v>383433.9</v>
      </c>
      <c r="Q29" s="35">
        <f>'A) Base RI'!Z29</f>
        <v>1.2</v>
      </c>
      <c r="R29" s="2">
        <f t="shared" si="2"/>
        <v>4413589.6700000009</v>
      </c>
      <c r="S29" s="34">
        <f>+'A) Base RI'!U29</f>
        <v>71.5</v>
      </c>
      <c r="T29" s="2">
        <f t="shared" si="3"/>
        <v>4081039.7700000005</v>
      </c>
      <c r="U29" s="2">
        <f t="shared" si="4"/>
        <v>61728.526853146868</v>
      </c>
      <c r="V29" s="10">
        <f>+'A) Base RI'!P29</f>
        <v>336921.1</v>
      </c>
      <c r="W29" s="10">
        <f>+'A) Base RI'!Q29</f>
        <v>240264.8</v>
      </c>
      <c r="X29" s="10">
        <f>+'A) Base RI'!S29</f>
        <v>154451</v>
      </c>
      <c r="Y29" s="2">
        <f t="shared" si="5"/>
        <v>731636.89999999991</v>
      </c>
      <c r="Z29" s="10">
        <f>+'A) Base RI'!O29</f>
        <v>186981.25</v>
      </c>
      <c r="AA29" s="10">
        <f>'A) Base RI'!V29</f>
        <v>2016</v>
      </c>
    </row>
    <row r="30" spans="1:27" x14ac:dyDescent="0.25">
      <c r="A30" s="8">
        <f>'A) Base RI'!A30</f>
        <v>5429</v>
      </c>
      <c r="B30" s="33" t="str">
        <f>'A) Base RI'!B30</f>
        <v>Longirod</v>
      </c>
      <c r="C30" s="10">
        <f>'A) Base RI'!C30+'A) Base RI'!D30</f>
        <v>1093427.3999999999</v>
      </c>
      <c r="D30" s="10">
        <f>'A) Base RI'!W30</f>
        <v>-9605.93</v>
      </c>
      <c r="E30" s="32">
        <f>'A) Base RI'!X30</f>
        <v>0</v>
      </c>
      <c r="F30" s="32">
        <f>'A) Base RI'!Y30</f>
        <v>0</v>
      </c>
      <c r="G30" s="2">
        <f t="shared" si="0"/>
        <v>1083821.47</v>
      </c>
      <c r="H30" s="10">
        <f>+'A) Base RI'!E30</f>
        <v>0</v>
      </c>
      <c r="I30" s="10">
        <f>+'A) Base RI'!F30</f>
        <v>0</v>
      </c>
      <c r="J30" s="10">
        <f>+'A) Base RI'!G30+'A) Base RI'!H30+'A) Base RI'!I30</f>
        <v>11546.730000000001</v>
      </c>
      <c r="K30" s="10">
        <f>+'A) Base RI'!J30</f>
        <v>0</v>
      </c>
      <c r="L30" s="10">
        <f>+'A) Base RI'!K30</f>
        <v>21013.1</v>
      </c>
      <c r="M30" s="10">
        <f>+'A) Base RI'!L30</f>
        <v>671.4</v>
      </c>
      <c r="N30" s="10">
        <f>+'A) Base RI'!R30</f>
        <v>0</v>
      </c>
      <c r="O30" s="10">
        <f t="shared" si="1"/>
        <v>93069.7</v>
      </c>
      <c r="P30" s="10">
        <f>+'A) Base RI'!M30</f>
        <v>93069.7</v>
      </c>
      <c r="Q30" s="35">
        <f>'A) Base RI'!Z30</f>
        <v>1</v>
      </c>
      <c r="R30" s="2">
        <f t="shared" si="2"/>
        <v>1210122.3999999999</v>
      </c>
      <c r="S30" s="34">
        <f>+'A) Base RI'!U30</f>
        <v>81</v>
      </c>
      <c r="T30" s="2">
        <f t="shared" si="3"/>
        <v>1116381.3</v>
      </c>
      <c r="U30" s="2">
        <f t="shared" si="4"/>
        <v>14939.782716049382</v>
      </c>
      <c r="V30" s="10">
        <f>+'A) Base RI'!P30</f>
        <v>0</v>
      </c>
      <c r="W30" s="10">
        <f>+'A) Base RI'!Q30</f>
        <v>62517.95</v>
      </c>
      <c r="X30" s="10">
        <f>+'A) Base RI'!S30</f>
        <v>20559.349999999999</v>
      </c>
      <c r="Y30" s="2">
        <f t="shared" si="5"/>
        <v>83077.299999999988</v>
      </c>
      <c r="Z30" s="10">
        <f>+'A) Base RI'!O30</f>
        <v>0</v>
      </c>
      <c r="AA30" s="10">
        <f>'A) Base RI'!V30</f>
        <v>469</v>
      </c>
    </row>
    <row r="31" spans="1:27" x14ac:dyDescent="0.25">
      <c r="A31" s="8">
        <f>'A) Base RI'!A31</f>
        <v>5430</v>
      </c>
      <c r="B31" s="33" t="str">
        <f>'A) Base RI'!B31</f>
        <v>Marchissy</v>
      </c>
      <c r="C31" s="10">
        <f>'A) Base RI'!C31+'A) Base RI'!D31</f>
        <v>990904.24</v>
      </c>
      <c r="D31" s="10">
        <f>'A) Base RI'!W31</f>
        <v>-5111.91</v>
      </c>
      <c r="E31" s="32">
        <f>'A) Base RI'!X31</f>
        <v>0</v>
      </c>
      <c r="F31" s="32">
        <f>'A) Base RI'!Y31</f>
        <v>-85.02</v>
      </c>
      <c r="G31" s="2">
        <f t="shared" si="0"/>
        <v>985707.30999999994</v>
      </c>
      <c r="H31" s="10">
        <f>+'A) Base RI'!E31</f>
        <v>0</v>
      </c>
      <c r="I31" s="10">
        <f>+'A) Base RI'!F31</f>
        <v>0</v>
      </c>
      <c r="J31" s="10">
        <f>+'A) Base RI'!G31+'A) Base RI'!H31+'A) Base RI'!I31</f>
        <v>3166.63</v>
      </c>
      <c r="K31" s="10">
        <f>+'A) Base RI'!J31</f>
        <v>0</v>
      </c>
      <c r="L31" s="10">
        <f>+'A) Base RI'!K31</f>
        <v>2446.94</v>
      </c>
      <c r="M31" s="10">
        <f>+'A) Base RI'!L31</f>
        <v>1302.5</v>
      </c>
      <c r="N31" s="10">
        <f>+'A) Base RI'!R31</f>
        <v>3091.35</v>
      </c>
      <c r="O31" s="10">
        <f t="shared" si="1"/>
        <v>79770.05</v>
      </c>
      <c r="P31" s="10">
        <f>+'A) Base RI'!M31</f>
        <v>79770.05</v>
      </c>
      <c r="Q31" s="35">
        <f>'A) Base RI'!Z31</f>
        <v>1</v>
      </c>
      <c r="R31" s="2">
        <f t="shared" si="2"/>
        <v>1075484.7799999998</v>
      </c>
      <c r="S31" s="34">
        <f>+'A) Base RI'!U31</f>
        <v>79</v>
      </c>
      <c r="T31" s="2">
        <f t="shared" si="3"/>
        <v>994412.22999999986</v>
      </c>
      <c r="U31" s="2">
        <f t="shared" si="4"/>
        <v>13613.731392405061</v>
      </c>
      <c r="V31" s="10">
        <f>+'A) Base RI'!P31</f>
        <v>0</v>
      </c>
      <c r="W31" s="10">
        <f>+'A) Base RI'!Q31</f>
        <v>56643.45</v>
      </c>
      <c r="X31" s="10">
        <f>+'A) Base RI'!S31</f>
        <v>42203.199999999997</v>
      </c>
      <c r="Y31" s="2">
        <f t="shared" si="5"/>
        <v>98846.65</v>
      </c>
      <c r="Z31" s="10">
        <f>+'A) Base RI'!O31</f>
        <v>8851.6</v>
      </c>
      <c r="AA31" s="10">
        <f>'A) Base RI'!V31</f>
        <v>455</v>
      </c>
    </row>
    <row r="32" spans="1:27" x14ac:dyDescent="0.25">
      <c r="A32" s="8">
        <f>'A) Base RI'!A32</f>
        <v>5431</v>
      </c>
      <c r="B32" s="33" t="str">
        <f>'A) Base RI'!B32</f>
        <v>Mollens</v>
      </c>
      <c r="C32" s="10">
        <f>'A) Base RI'!C32+'A) Base RI'!D32</f>
        <v>601770.67000000004</v>
      </c>
      <c r="D32" s="10">
        <f>'A) Base RI'!W32</f>
        <v>-272.85000000000002</v>
      </c>
      <c r="E32" s="32">
        <f>'A) Base RI'!X32</f>
        <v>0</v>
      </c>
      <c r="F32" s="32">
        <f>'A) Base RI'!Y32</f>
        <v>-303.58</v>
      </c>
      <c r="G32" s="2">
        <f t="shared" si="0"/>
        <v>601194.24000000011</v>
      </c>
      <c r="H32" s="10">
        <f>+'A) Base RI'!E32</f>
        <v>0</v>
      </c>
      <c r="I32" s="10">
        <f>+'A) Base RI'!F32</f>
        <v>0</v>
      </c>
      <c r="J32" s="10">
        <f>+'A) Base RI'!G32+'A) Base RI'!H32+'A) Base RI'!I32</f>
        <v>822.46</v>
      </c>
      <c r="K32" s="10">
        <f>+'A) Base RI'!J32</f>
        <v>0</v>
      </c>
      <c r="L32" s="10">
        <f>+'A) Base RI'!K32</f>
        <v>10309.379999999999</v>
      </c>
      <c r="M32" s="10">
        <f>+'A) Base RI'!L32</f>
        <v>300.85000000000002</v>
      </c>
      <c r="N32" s="10">
        <f>+'A) Base RI'!R32</f>
        <v>3314.88</v>
      </c>
      <c r="O32" s="10">
        <f t="shared" si="1"/>
        <v>48132.800000000003</v>
      </c>
      <c r="P32" s="10">
        <f>+'A) Base RI'!M32</f>
        <v>48132.800000000003</v>
      </c>
      <c r="Q32" s="35">
        <f>'A) Base RI'!Z32</f>
        <v>1</v>
      </c>
      <c r="R32" s="2">
        <f t="shared" si="2"/>
        <v>664074.6100000001</v>
      </c>
      <c r="S32" s="34">
        <f>+'A) Base RI'!U32</f>
        <v>74</v>
      </c>
      <c r="T32" s="2">
        <f t="shared" si="3"/>
        <v>615640.96000000008</v>
      </c>
      <c r="U32" s="2">
        <f t="shared" si="4"/>
        <v>8973.9812162162179</v>
      </c>
      <c r="V32" s="10">
        <f>+'A) Base RI'!P32</f>
        <v>1318</v>
      </c>
      <c r="W32" s="10">
        <f>+'A) Base RI'!Q32</f>
        <v>15198.9</v>
      </c>
      <c r="X32" s="10">
        <f>+'A) Base RI'!S32</f>
        <v>12470.7</v>
      </c>
      <c r="Y32" s="2">
        <f t="shared" si="5"/>
        <v>28987.600000000002</v>
      </c>
      <c r="Z32" s="10">
        <f>+'A) Base RI'!O32</f>
        <v>0</v>
      </c>
      <c r="AA32" s="10">
        <f>'A) Base RI'!V32</f>
        <v>301</v>
      </c>
    </row>
    <row r="33" spans="1:27" x14ac:dyDescent="0.25">
      <c r="A33" s="8">
        <f>'A) Base RI'!A33</f>
        <v>5432</v>
      </c>
      <c r="B33" s="33" t="str">
        <f>'A) Base RI'!B33</f>
        <v>Montherod</v>
      </c>
      <c r="C33" s="10">
        <f>'A) Base RI'!C33+'A) Base RI'!D33</f>
        <v>1221762.96</v>
      </c>
      <c r="D33" s="10">
        <f>'A) Base RI'!W33</f>
        <v>-11123.61</v>
      </c>
      <c r="E33" s="32">
        <f>'A) Base RI'!X33</f>
        <v>0</v>
      </c>
      <c r="F33" s="32">
        <f>'A) Base RI'!Y33</f>
        <v>-59.86</v>
      </c>
      <c r="G33" s="2">
        <f t="shared" si="0"/>
        <v>1210579.4899999998</v>
      </c>
      <c r="H33" s="10">
        <f>+'A) Base RI'!E33</f>
        <v>0</v>
      </c>
      <c r="I33" s="10">
        <f>+'A) Base RI'!F33</f>
        <v>0</v>
      </c>
      <c r="J33" s="10">
        <f>+'A) Base RI'!G33+'A) Base RI'!H33+'A) Base RI'!I33</f>
        <v>24649.800000000003</v>
      </c>
      <c r="K33" s="10">
        <f>+'A) Base RI'!J33</f>
        <v>0</v>
      </c>
      <c r="L33" s="10">
        <f>+'A) Base RI'!K33</f>
        <v>61747.09</v>
      </c>
      <c r="M33" s="10">
        <f>+'A) Base RI'!L33</f>
        <v>5106.8</v>
      </c>
      <c r="N33" s="10">
        <f>+'A) Base RI'!R33</f>
        <v>391.87</v>
      </c>
      <c r="O33" s="10">
        <f t="shared" si="1"/>
        <v>92731.4</v>
      </c>
      <c r="P33" s="10">
        <f>+'A) Base RI'!M33</f>
        <v>92731.4</v>
      </c>
      <c r="Q33" s="35">
        <f>'A) Base RI'!Z33</f>
        <v>1</v>
      </c>
      <c r="R33" s="2">
        <f t="shared" si="2"/>
        <v>1395206.45</v>
      </c>
      <c r="S33" s="34">
        <f>+'A) Base RI'!U33</f>
        <v>78</v>
      </c>
      <c r="T33" s="2">
        <f t="shared" si="3"/>
        <v>1297368.25</v>
      </c>
      <c r="U33" s="2">
        <f t="shared" si="4"/>
        <v>17887.262179487177</v>
      </c>
      <c r="V33" s="10">
        <f>+'A) Base RI'!P33</f>
        <v>0</v>
      </c>
      <c r="W33" s="10">
        <f>+'A) Base RI'!Q33</f>
        <v>51422.55</v>
      </c>
      <c r="X33" s="10">
        <f>+'A) Base RI'!S33</f>
        <v>59758.35</v>
      </c>
      <c r="Y33" s="2">
        <f t="shared" si="5"/>
        <v>111180.9</v>
      </c>
      <c r="Z33" s="10">
        <f>+'A) Base RI'!O33</f>
        <v>15156.3</v>
      </c>
      <c r="AA33" s="10">
        <f>'A) Base RI'!V33</f>
        <v>534</v>
      </c>
    </row>
    <row r="34" spans="1:27" x14ac:dyDescent="0.25">
      <c r="A34" s="8">
        <f>'A) Base RI'!A34</f>
        <v>5434</v>
      </c>
      <c r="B34" s="33" t="str">
        <f>'A) Base RI'!B34</f>
        <v>Saint-George</v>
      </c>
      <c r="C34" s="10">
        <f>'A) Base RI'!C34+'A) Base RI'!D34</f>
        <v>2445269.73</v>
      </c>
      <c r="D34" s="10">
        <f>'A) Base RI'!W34</f>
        <v>-33279.21</v>
      </c>
      <c r="E34" s="32">
        <f>'A) Base RI'!X34</f>
        <v>0</v>
      </c>
      <c r="F34" s="32">
        <f>'A) Base RI'!Y34</f>
        <v>0</v>
      </c>
      <c r="G34" s="2">
        <f t="shared" si="0"/>
        <v>2411990.52</v>
      </c>
      <c r="H34" s="10">
        <f>+'A) Base RI'!E34</f>
        <v>0</v>
      </c>
      <c r="I34" s="10">
        <f>+'A) Base RI'!F34</f>
        <v>0</v>
      </c>
      <c r="J34" s="10">
        <f>+'A) Base RI'!G34+'A) Base RI'!H34+'A) Base RI'!I34</f>
        <v>17359.02</v>
      </c>
      <c r="K34" s="10">
        <f>+'A) Base RI'!J34</f>
        <v>0</v>
      </c>
      <c r="L34" s="10">
        <f>+'A) Base RI'!K34</f>
        <v>-7793.03</v>
      </c>
      <c r="M34" s="10">
        <f>+'A) Base RI'!L34</f>
        <v>1605.7</v>
      </c>
      <c r="N34" s="10">
        <f>+'A) Base RI'!R34</f>
        <v>883.71</v>
      </c>
      <c r="O34" s="10">
        <f t="shared" si="1"/>
        <v>212425.8</v>
      </c>
      <c r="P34" s="10">
        <f>+'A) Base RI'!M34</f>
        <v>212425.8</v>
      </c>
      <c r="Q34" s="35">
        <f>'A) Base RI'!Z34</f>
        <v>1</v>
      </c>
      <c r="R34" s="2">
        <f t="shared" si="2"/>
        <v>2636471.7200000002</v>
      </c>
      <c r="S34" s="34">
        <f>+'A) Base RI'!U34</f>
        <v>71</v>
      </c>
      <c r="T34" s="2">
        <f t="shared" si="3"/>
        <v>2422440.2200000002</v>
      </c>
      <c r="U34" s="2">
        <f t="shared" si="4"/>
        <v>37133.404507042258</v>
      </c>
      <c r="V34" s="10">
        <f>+'A) Base RI'!P34</f>
        <v>129977.8</v>
      </c>
      <c r="W34" s="10">
        <f>+'A) Base RI'!Q34</f>
        <v>172672.95</v>
      </c>
      <c r="X34" s="10">
        <f>+'A) Base RI'!S34</f>
        <v>126249.4</v>
      </c>
      <c r="Y34" s="2">
        <f t="shared" si="5"/>
        <v>428900.15</v>
      </c>
      <c r="Z34" s="10">
        <f>+'A) Base RI'!O34</f>
        <v>34774.9</v>
      </c>
      <c r="AA34" s="10">
        <f>'A) Base RI'!V34</f>
        <v>1031</v>
      </c>
    </row>
    <row r="35" spans="1:27" x14ac:dyDescent="0.25">
      <c r="A35" s="8">
        <f>'A) Base RI'!A35</f>
        <v>5435</v>
      </c>
      <c r="B35" s="33" t="str">
        <f>'A) Base RI'!B35</f>
        <v>Saint-Livres</v>
      </c>
      <c r="C35" s="10">
        <f>'A) Base RI'!C35+'A) Base RI'!D35</f>
        <v>1649266.9</v>
      </c>
      <c r="D35" s="10">
        <f>'A) Base RI'!W35</f>
        <v>-37786.370000000003</v>
      </c>
      <c r="E35" s="32">
        <f>'A) Base RI'!X35</f>
        <v>0</v>
      </c>
      <c r="F35" s="32">
        <f>'A) Base RI'!Y35</f>
        <v>-7.99</v>
      </c>
      <c r="G35" s="2">
        <f t="shared" si="0"/>
        <v>1611472.5399999998</v>
      </c>
      <c r="H35" s="10">
        <f>+'A) Base RI'!E35</f>
        <v>0</v>
      </c>
      <c r="I35" s="10">
        <f>+'A) Base RI'!F35</f>
        <v>0</v>
      </c>
      <c r="J35" s="10">
        <f>+'A) Base RI'!G35+'A) Base RI'!H35+'A) Base RI'!I35</f>
        <v>13877.27</v>
      </c>
      <c r="K35" s="10">
        <f>+'A) Base RI'!J35</f>
        <v>0</v>
      </c>
      <c r="L35" s="10">
        <f>+'A) Base RI'!K35</f>
        <v>18331.5</v>
      </c>
      <c r="M35" s="10">
        <f>+'A) Base RI'!L35</f>
        <v>0</v>
      </c>
      <c r="N35" s="10">
        <f>+'A) Base RI'!R35</f>
        <v>4584.68</v>
      </c>
      <c r="O35" s="10">
        <f t="shared" si="1"/>
        <v>120872</v>
      </c>
      <c r="P35" s="10">
        <f>+'A) Base RI'!M35</f>
        <v>120872</v>
      </c>
      <c r="Q35" s="35">
        <f>'A) Base RI'!Z35</f>
        <v>1</v>
      </c>
      <c r="R35" s="2">
        <f t="shared" si="2"/>
        <v>1769137.9899999998</v>
      </c>
      <c r="S35" s="34">
        <f>+'A) Base RI'!U35</f>
        <v>69</v>
      </c>
      <c r="T35" s="2">
        <f t="shared" si="3"/>
        <v>1648265.9899999998</v>
      </c>
      <c r="U35" s="2">
        <f t="shared" si="4"/>
        <v>25639.681014492751</v>
      </c>
      <c r="V35" s="10">
        <f>+'A) Base RI'!P35</f>
        <v>0</v>
      </c>
      <c r="W35" s="10">
        <f>+'A) Base RI'!Q35</f>
        <v>3203.75</v>
      </c>
      <c r="X35" s="10">
        <f>+'A) Base RI'!S35</f>
        <v>3202.5</v>
      </c>
      <c r="Y35" s="2">
        <f t="shared" si="5"/>
        <v>6406.25</v>
      </c>
      <c r="Z35" s="10">
        <f>+'A) Base RI'!O35</f>
        <v>4006.05</v>
      </c>
      <c r="AA35" s="10">
        <f>'A) Base RI'!V35</f>
        <v>683</v>
      </c>
    </row>
    <row r="36" spans="1:27" x14ac:dyDescent="0.25">
      <c r="A36" s="8">
        <f>'A) Base RI'!A36</f>
        <v>5436</v>
      </c>
      <c r="B36" s="33" t="str">
        <f>'A) Base RI'!B36</f>
        <v>Saint-Oyens</v>
      </c>
      <c r="C36" s="10">
        <f>'A) Base RI'!C36+'A) Base RI'!D36</f>
        <v>843352.95000000007</v>
      </c>
      <c r="D36" s="10">
        <f>'A) Base RI'!W36</f>
        <v>-4639.53</v>
      </c>
      <c r="E36" s="32">
        <f>'A) Base RI'!X36</f>
        <v>0</v>
      </c>
      <c r="F36" s="32">
        <f>'A) Base RI'!Y36</f>
        <v>-542.07000000000005</v>
      </c>
      <c r="G36" s="2">
        <f t="shared" si="0"/>
        <v>838171.35000000009</v>
      </c>
      <c r="H36" s="10">
        <f>+'A) Base RI'!E36</f>
        <v>0</v>
      </c>
      <c r="I36" s="10">
        <f>+'A) Base RI'!F36</f>
        <v>0</v>
      </c>
      <c r="J36" s="10">
        <f>+'A) Base RI'!G36+'A) Base RI'!H36+'A) Base RI'!I36</f>
        <v>642.12</v>
      </c>
      <c r="K36" s="10">
        <f>+'A) Base RI'!J36</f>
        <v>0</v>
      </c>
      <c r="L36" s="10">
        <f>+'A) Base RI'!K36</f>
        <v>17617.02</v>
      </c>
      <c r="M36" s="10">
        <f>+'A) Base RI'!L36</f>
        <v>0</v>
      </c>
      <c r="N36" s="10">
        <f>+'A) Base RI'!R36</f>
        <v>0</v>
      </c>
      <c r="O36" s="10">
        <f t="shared" si="1"/>
        <v>61024.125</v>
      </c>
      <c r="P36" s="10">
        <f>+'A) Base RI'!M36</f>
        <v>48819.3</v>
      </c>
      <c r="Q36" s="35">
        <f>'A) Base RI'!Z36</f>
        <v>0.8</v>
      </c>
      <c r="R36" s="2">
        <f t="shared" si="2"/>
        <v>917454.61500000011</v>
      </c>
      <c r="S36" s="34">
        <f>+'A) Base RI'!U36</f>
        <v>81</v>
      </c>
      <c r="T36" s="2">
        <f t="shared" si="3"/>
        <v>856430.49000000011</v>
      </c>
      <c r="U36" s="2">
        <f t="shared" si="4"/>
        <v>11326.600185185187</v>
      </c>
      <c r="V36" s="10">
        <f>+'A) Base RI'!P36</f>
        <v>0</v>
      </c>
      <c r="W36" s="10">
        <f>+'A) Base RI'!Q36</f>
        <v>162246.85</v>
      </c>
      <c r="X36" s="10">
        <f>+'A) Base RI'!S36</f>
        <v>10321.6</v>
      </c>
      <c r="Y36" s="2">
        <f t="shared" si="5"/>
        <v>172568.45</v>
      </c>
      <c r="Z36" s="10">
        <f>+'A) Base RI'!O36</f>
        <v>0</v>
      </c>
      <c r="AA36" s="10">
        <f>'A) Base RI'!V36</f>
        <v>366</v>
      </c>
    </row>
    <row r="37" spans="1:27" x14ac:dyDescent="0.25">
      <c r="A37" s="8">
        <f>'A) Base RI'!A37</f>
        <v>5437</v>
      </c>
      <c r="B37" s="33" t="str">
        <f>'A) Base RI'!B37</f>
        <v>Saubraz</v>
      </c>
      <c r="C37" s="10">
        <f>'A) Base RI'!C37+'A) Base RI'!D37</f>
        <v>710147.24</v>
      </c>
      <c r="D37" s="10">
        <f>'A) Base RI'!W37</f>
        <v>-42993.87</v>
      </c>
      <c r="E37" s="32">
        <f>'A) Base RI'!X37</f>
        <v>0</v>
      </c>
      <c r="F37" s="32">
        <f>'A) Base RI'!Y37</f>
        <v>-1.31</v>
      </c>
      <c r="G37" s="2">
        <f t="shared" si="0"/>
        <v>667152.05999999994</v>
      </c>
      <c r="H37" s="10">
        <f>+'A) Base RI'!E37</f>
        <v>0</v>
      </c>
      <c r="I37" s="10">
        <f>+'A) Base RI'!F37</f>
        <v>0</v>
      </c>
      <c r="J37" s="10">
        <f>+'A) Base RI'!G37+'A) Base RI'!H37+'A) Base RI'!I37</f>
        <v>4658.43</v>
      </c>
      <c r="K37" s="10">
        <f>+'A) Base RI'!J37</f>
        <v>0</v>
      </c>
      <c r="L37" s="10">
        <f>+'A) Base RI'!K37</f>
        <v>56625.17</v>
      </c>
      <c r="M37" s="10">
        <f>+'A) Base RI'!L37</f>
        <v>733.85</v>
      </c>
      <c r="N37" s="10">
        <f>+'A) Base RI'!R37</f>
        <v>0</v>
      </c>
      <c r="O37" s="10">
        <f t="shared" si="1"/>
        <v>63943.15</v>
      </c>
      <c r="P37" s="10">
        <f>+'A) Base RI'!M37</f>
        <v>63943.15</v>
      </c>
      <c r="Q37" s="35">
        <f>'A) Base RI'!Z37</f>
        <v>1</v>
      </c>
      <c r="R37" s="2">
        <f t="shared" si="2"/>
        <v>793112.66</v>
      </c>
      <c r="S37" s="34">
        <f>+'A) Base RI'!U37</f>
        <v>80</v>
      </c>
      <c r="T37" s="2">
        <f t="shared" si="3"/>
        <v>728435.66</v>
      </c>
      <c r="U37" s="2">
        <f t="shared" si="4"/>
        <v>9913.9082500000004</v>
      </c>
      <c r="V37" s="10">
        <f>+'A) Base RI'!P37</f>
        <v>50115.6</v>
      </c>
      <c r="W37" s="10">
        <f>+'A) Base RI'!Q37</f>
        <v>1870</v>
      </c>
      <c r="X37" s="10">
        <f>+'A) Base RI'!S37</f>
        <v>-7384.4</v>
      </c>
      <c r="Y37" s="2">
        <f t="shared" si="5"/>
        <v>44601.2</v>
      </c>
      <c r="Z37" s="10">
        <f>+'A) Base RI'!O37</f>
        <v>0</v>
      </c>
      <c r="AA37" s="10">
        <f>'A) Base RI'!V37</f>
        <v>420</v>
      </c>
    </row>
    <row r="38" spans="1:27" x14ac:dyDescent="0.25">
      <c r="A38" s="8">
        <f>'A) Base RI'!A38</f>
        <v>5451</v>
      </c>
      <c r="B38" s="33" t="str">
        <f>'A) Base RI'!B38</f>
        <v>Avenches</v>
      </c>
      <c r="C38" s="10">
        <f>'A) Base RI'!C38+'A) Base RI'!D38</f>
        <v>5104860.53</v>
      </c>
      <c r="D38" s="10">
        <f>'A) Base RI'!W38</f>
        <v>-477003.92</v>
      </c>
      <c r="E38" s="32">
        <f>'A) Base RI'!X38</f>
        <v>0</v>
      </c>
      <c r="F38" s="32">
        <f>'A) Base RI'!Y38</f>
        <v>-92.12</v>
      </c>
      <c r="G38" s="2">
        <f t="shared" si="0"/>
        <v>4627764.49</v>
      </c>
      <c r="H38" s="10">
        <f>+'A) Base RI'!E38</f>
        <v>0</v>
      </c>
      <c r="I38" s="10">
        <f>+'A) Base RI'!F38</f>
        <v>0</v>
      </c>
      <c r="J38" s="10">
        <f>+'A) Base RI'!G38+'A) Base RI'!H38+'A) Base RI'!I38</f>
        <v>310315.43</v>
      </c>
      <c r="K38" s="10">
        <f>+'A) Base RI'!J38</f>
        <v>0</v>
      </c>
      <c r="L38" s="10">
        <f>+'A) Base RI'!K38</f>
        <v>447793.38</v>
      </c>
      <c r="M38" s="10">
        <f>+'A) Base RI'!L38</f>
        <v>105454.45</v>
      </c>
      <c r="N38" s="10">
        <f>+'A) Base RI'!R38</f>
        <v>203005.3</v>
      </c>
      <c r="O38" s="10">
        <f t="shared" si="1"/>
        <v>802215.33333333337</v>
      </c>
      <c r="P38" s="10">
        <f>+'A) Base RI'!M38</f>
        <v>1203323</v>
      </c>
      <c r="Q38" s="35">
        <f>'A) Base RI'!Z38</f>
        <v>1.5</v>
      </c>
      <c r="R38" s="2">
        <f t="shared" si="2"/>
        <v>6496548.3833333328</v>
      </c>
      <c r="S38" s="34">
        <f>+'A) Base RI'!U38</f>
        <v>68</v>
      </c>
      <c r="T38" s="2">
        <f t="shared" si="3"/>
        <v>5588878.5999999996</v>
      </c>
      <c r="U38" s="2">
        <f t="shared" si="4"/>
        <v>95537.476225490187</v>
      </c>
      <c r="V38" s="10">
        <f>+'A) Base RI'!P38</f>
        <v>48706.7</v>
      </c>
      <c r="W38" s="10">
        <f>+'A) Base RI'!Q38</f>
        <v>466125.65</v>
      </c>
      <c r="X38" s="10">
        <f>+'A) Base RI'!S38</f>
        <v>71538.100000000006</v>
      </c>
      <c r="Y38" s="2">
        <f t="shared" si="5"/>
        <v>586370.45000000007</v>
      </c>
      <c r="Z38" s="10">
        <f>+'A) Base RI'!O38</f>
        <v>533739.30000000005</v>
      </c>
      <c r="AA38" s="10">
        <f>'A) Base RI'!V38</f>
        <v>4210</v>
      </c>
    </row>
    <row r="39" spans="1:27" x14ac:dyDescent="0.25">
      <c r="A39" s="8">
        <f>'A) Base RI'!A39</f>
        <v>5456</v>
      </c>
      <c r="B39" s="33" t="str">
        <f>'A) Base RI'!B39</f>
        <v>Cudrefin</v>
      </c>
      <c r="C39" s="10">
        <f>'A) Base RI'!C39+'A) Base RI'!D39</f>
        <v>2842826.99</v>
      </c>
      <c r="D39" s="10">
        <f>'A) Base RI'!W39</f>
        <v>-32330.28</v>
      </c>
      <c r="E39" s="32">
        <f>'A) Base RI'!X39</f>
        <v>0</v>
      </c>
      <c r="F39" s="32">
        <f>'A) Base RI'!Y39</f>
        <v>-16.29</v>
      </c>
      <c r="G39" s="2">
        <f t="shared" si="0"/>
        <v>2810480.4200000004</v>
      </c>
      <c r="H39" s="10">
        <f>+'A) Base RI'!E39</f>
        <v>0</v>
      </c>
      <c r="I39" s="10">
        <f>+'A) Base RI'!F39</f>
        <v>0</v>
      </c>
      <c r="J39" s="10">
        <f>+'A) Base RI'!G39+'A) Base RI'!H39+'A) Base RI'!I39</f>
        <v>90126.12999999999</v>
      </c>
      <c r="K39" s="10">
        <f>+'A) Base RI'!J39</f>
        <v>0</v>
      </c>
      <c r="L39" s="10">
        <f>+'A) Base RI'!K39</f>
        <v>21989.02</v>
      </c>
      <c r="M39" s="10">
        <f>+'A) Base RI'!L39</f>
        <v>11428.05</v>
      </c>
      <c r="N39" s="10">
        <f>+'A) Base RI'!R39</f>
        <v>5354.97</v>
      </c>
      <c r="O39" s="10">
        <f t="shared" si="1"/>
        <v>289451.96666666667</v>
      </c>
      <c r="P39" s="10">
        <f>+'A) Base RI'!M39</f>
        <v>434177.95</v>
      </c>
      <c r="Q39" s="35">
        <f>'A) Base RI'!Z39</f>
        <v>1.5</v>
      </c>
      <c r="R39" s="2">
        <f t="shared" si="2"/>
        <v>3228830.5566666671</v>
      </c>
      <c r="S39" s="34">
        <f>+'A) Base RI'!U39</f>
        <v>59</v>
      </c>
      <c r="T39" s="2">
        <f t="shared" si="3"/>
        <v>2927950.5400000005</v>
      </c>
      <c r="U39" s="2">
        <f t="shared" si="4"/>
        <v>54725.941638418088</v>
      </c>
      <c r="V39" s="10">
        <f>+'A) Base RI'!P39</f>
        <v>50669.8</v>
      </c>
      <c r="W39" s="10">
        <f>+'A) Base RI'!Q39</f>
        <v>195817.60000000001</v>
      </c>
      <c r="X39" s="10">
        <f>+'A) Base RI'!S39</f>
        <v>128094.2</v>
      </c>
      <c r="Y39" s="2">
        <f t="shared" si="5"/>
        <v>374581.60000000003</v>
      </c>
      <c r="Z39" s="10">
        <f>+'A) Base RI'!O39</f>
        <v>4370.3</v>
      </c>
      <c r="AA39" s="10">
        <f>'A) Base RI'!V39</f>
        <v>1589</v>
      </c>
    </row>
    <row r="40" spans="1:27" x14ac:dyDescent="0.25">
      <c r="A40" s="8">
        <f>'A) Base RI'!A40</f>
        <v>5458</v>
      </c>
      <c r="B40" s="33" t="str">
        <f>'A) Base RI'!B40</f>
        <v>Faoug</v>
      </c>
      <c r="C40" s="10">
        <f>'A) Base RI'!C40+'A) Base RI'!D40</f>
        <v>2039605.01</v>
      </c>
      <c r="D40" s="10">
        <f>'A) Base RI'!W40</f>
        <v>-56984.93</v>
      </c>
      <c r="E40" s="32">
        <f>'A) Base RI'!X40</f>
        <v>0</v>
      </c>
      <c r="F40" s="32">
        <f>'A) Base RI'!Y40</f>
        <v>-58.53</v>
      </c>
      <c r="G40" s="2">
        <f t="shared" si="0"/>
        <v>1982561.55</v>
      </c>
      <c r="H40" s="10">
        <f>+'A) Base RI'!E40</f>
        <v>0</v>
      </c>
      <c r="I40" s="10">
        <f>+'A) Base RI'!F40</f>
        <v>0</v>
      </c>
      <c r="J40" s="10">
        <f>+'A) Base RI'!G40+'A) Base RI'!H40+'A) Base RI'!I40</f>
        <v>26207.07</v>
      </c>
      <c r="K40" s="10">
        <f>+'A) Base RI'!J40</f>
        <v>0</v>
      </c>
      <c r="L40" s="10">
        <f>+'A) Base RI'!K40</f>
        <v>29448.880000000001</v>
      </c>
      <c r="M40" s="10">
        <f>+'A) Base RI'!L40</f>
        <v>7920.95</v>
      </c>
      <c r="N40" s="10">
        <f>+'A) Base RI'!R40</f>
        <v>7896.36</v>
      </c>
      <c r="O40" s="10">
        <f t="shared" si="1"/>
        <v>160851.20000000001</v>
      </c>
      <c r="P40" s="10">
        <f>+'A) Base RI'!M40</f>
        <v>160851.20000000001</v>
      </c>
      <c r="Q40" s="35">
        <f>'A) Base RI'!Z40</f>
        <v>1</v>
      </c>
      <c r="R40" s="2">
        <f t="shared" si="2"/>
        <v>2214886.0100000002</v>
      </c>
      <c r="S40" s="34">
        <f>+'A) Base RI'!U40</f>
        <v>64</v>
      </c>
      <c r="T40" s="2">
        <f t="shared" si="3"/>
        <v>2046113.86</v>
      </c>
      <c r="U40" s="2">
        <f t="shared" si="4"/>
        <v>34607.593906250004</v>
      </c>
      <c r="V40" s="10">
        <f>+'A) Base RI'!P40</f>
        <v>31243.599999999999</v>
      </c>
      <c r="W40" s="10">
        <f>+'A) Base RI'!Q40</f>
        <v>153893.20000000001</v>
      </c>
      <c r="X40" s="10">
        <f>+'A) Base RI'!S40</f>
        <v>74247.100000000006</v>
      </c>
      <c r="Y40" s="2">
        <f t="shared" si="5"/>
        <v>259383.90000000002</v>
      </c>
      <c r="Z40" s="10">
        <f>+'A) Base RI'!O40</f>
        <v>0</v>
      </c>
      <c r="AA40" s="10">
        <f>'A) Base RI'!V40</f>
        <v>893</v>
      </c>
    </row>
    <row r="41" spans="1:27" x14ac:dyDescent="0.25">
      <c r="A41" s="8">
        <f>'A) Base RI'!A41</f>
        <v>5464</v>
      </c>
      <c r="B41" s="33" t="str">
        <f>'A) Base RI'!B41</f>
        <v>Vully-les-Lacs</v>
      </c>
      <c r="C41" s="10">
        <f>'A) Base RI'!C41+'A) Base RI'!D41</f>
        <v>5934718.2800000003</v>
      </c>
      <c r="D41" s="10">
        <f>'A) Base RI'!W41</f>
        <v>-120830.2</v>
      </c>
      <c r="E41" s="32">
        <f>'A) Base RI'!X41</f>
        <v>0</v>
      </c>
      <c r="F41" s="32">
        <f>'A) Base RI'!Y41</f>
        <v>-1341.12</v>
      </c>
      <c r="G41" s="2">
        <f t="shared" si="0"/>
        <v>5812546.96</v>
      </c>
      <c r="H41" s="10">
        <f>+'A) Base RI'!E41</f>
        <v>0</v>
      </c>
      <c r="I41" s="10">
        <f>+'A) Base RI'!F41</f>
        <v>0</v>
      </c>
      <c r="J41" s="10">
        <f>+'A) Base RI'!G41+'A) Base RI'!H41+'A) Base RI'!I41</f>
        <v>39427.96</v>
      </c>
      <c r="K41" s="10">
        <f>+'A) Base RI'!J41</f>
        <v>0</v>
      </c>
      <c r="L41" s="10">
        <f>+'A) Base RI'!K41</f>
        <v>125033.72</v>
      </c>
      <c r="M41" s="10">
        <f>+'A) Base RI'!L41</f>
        <v>20149.7</v>
      </c>
      <c r="N41" s="10">
        <f>+'A) Base RI'!R41</f>
        <v>37535.269999999997</v>
      </c>
      <c r="O41" s="10">
        <f t="shared" si="1"/>
        <v>580035.20000000007</v>
      </c>
      <c r="P41" s="10">
        <f>+'A) Base RI'!M41</f>
        <v>870052.8</v>
      </c>
      <c r="Q41" s="35">
        <f>'A) Base RI'!Z41</f>
        <v>1.5</v>
      </c>
      <c r="R41" s="2">
        <f t="shared" si="2"/>
        <v>6614728.8099999996</v>
      </c>
      <c r="S41" s="34">
        <f>+'A) Base RI'!U41</f>
        <v>67</v>
      </c>
      <c r="T41" s="2">
        <f t="shared" si="3"/>
        <v>6014543.9099999992</v>
      </c>
      <c r="U41" s="2">
        <f t="shared" si="4"/>
        <v>98727.295671641783</v>
      </c>
      <c r="V41" s="10">
        <f>+'A) Base RI'!P41</f>
        <v>83236.899999999994</v>
      </c>
      <c r="W41" s="10">
        <f>+'A) Base RI'!Q41</f>
        <v>315629.7</v>
      </c>
      <c r="X41" s="10">
        <f>+'A) Base RI'!S41</f>
        <v>202902.5</v>
      </c>
      <c r="Y41" s="2">
        <f t="shared" si="5"/>
        <v>601769.1</v>
      </c>
      <c r="Z41" s="10">
        <f>+'A) Base RI'!O41</f>
        <v>0</v>
      </c>
      <c r="AA41" s="10">
        <f>'A) Base RI'!V41</f>
        <v>3080</v>
      </c>
    </row>
    <row r="42" spans="1:27" x14ac:dyDescent="0.25">
      <c r="A42" s="8">
        <f>'A) Base RI'!A42</f>
        <v>5471</v>
      </c>
      <c r="B42" s="33" t="str">
        <f>'A) Base RI'!B42</f>
        <v>Bettens</v>
      </c>
      <c r="C42" s="10">
        <f>'A) Base RI'!C42+'A) Base RI'!D42</f>
        <v>1193945.73</v>
      </c>
      <c r="D42" s="10">
        <f>'A) Base RI'!W42</f>
        <v>-4722.03</v>
      </c>
      <c r="E42" s="32">
        <f>'A) Base RI'!X42</f>
        <v>0</v>
      </c>
      <c r="F42" s="32">
        <f>'A) Base RI'!Y42</f>
        <v>-6.83</v>
      </c>
      <c r="G42" s="2">
        <f t="shared" si="0"/>
        <v>1189216.8699999999</v>
      </c>
      <c r="H42" s="10">
        <f>+'A) Base RI'!E42</f>
        <v>0</v>
      </c>
      <c r="I42" s="10">
        <f>+'A) Base RI'!F42</f>
        <v>0</v>
      </c>
      <c r="J42" s="10">
        <f>+'A) Base RI'!G42+'A) Base RI'!H42+'A) Base RI'!I42</f>
        <v>19352.88</v>
      </c>
      <c r="K42" s="10">
        <f>+'A) Base RI'!J42</f>
        <v>0</v>
      </c>
      <c r="L42" s="10">
        <f>+'A) Base RI'!K42</f>
        <v>19109.66</v>
      </c>
      <c r="M42" s="10">
        <f>+'A) Base RI'!L42</f>
        <v>524</v>
      </c>
      <c r="N42" s="10">
        <f>+'A) Base RI'!R42</f>
        <v>0</v>
      </c>
      <c r="O42" s="10">
        <f t="shared" si="1"/>
        <v>112012.5</v>
      </c>
      <c r="P42" s="10">
        <f>+'A) Base RI'!M42</f>
        <v>100811.25</v>
      </c>
      <c r="Q42" s="35">
        <f>'A) Base RI'!Z42</f>
        <v>0.9</v>
      </c>
      <c r="R42" s="2">
        <f t="shared" si="2"/>
        <v>1340215.9099999997</v>
      </c>
      <c r="S42" s="34">
        <f>+'A) Base RI'!U42</f>
        <v>70</v>
      </c>
      <c r="T42" s="2">
        <f t="shared" si="3"/>
        <v>1227679.4099999997</v>
      </c>
      <c r="U42" s="2">
        <f t="shared" si="4"/>
        <v>19145.941571428568</v>
      </c>
      <c r="V42" s="10">
        <f>+'A) Base RI'!P42</f>
        <v>0</v>
      </c>
      <c r="W42" s="10">
        <f>+'A) Base RI'!Q42</f>
        <v>110053.1</v>
      </c>
      <c r="X42" s="10">
        <f>+'A) Base RI'!S42</f>
        <v>103743.15</v>
      </c>
      <c r="Y42" s="2">
        <f t="shared" si="5"/>
        <v>213796.25</v>
      </c>
      <c r="Z42" s="10">
        <f>+'A) Base RI'!O42</f>
        <v>1531.2</v>
      </c>
      <c r="AA42" s="10">
        <f>'A) Base RI'!V42</f>
        <v>574</v>
      </c>
    </row>
    <row r="43" spans="1:27" x14ac:dyDescent="0.25">
      <c r="A43" s="8">
        <f>'A) Base RI'!A43</f>
        <v>5472</v>
      </c>
      <c r="B43" s="33" t="str">
        <f>'A) Base RI'!B43</f>
        <v>Bournens</v>
      </c>
      <c r="C43" s="10">
        <f>'A) Base RI'!C43+'A) Base RI'!D43</f>
        <v>1058852.57</v>
      </c>
      <c r="D43" s="10">
        <f>'A) Base RI'!W43</f>
        <v>-17674.82</v>
      </c>
      <c r="E43" s="32">
        <f>'A) Base RI'!X43</f>
        <v>0</v>
      </c>
      <c r="F43" s="32">
        <f>'A) Base RI'!Y43</f>
        <v>-85.95</v>
      </c>
      <c r="G43" s="2">
        <f t="shared" si="0"/>
        <v>1041091.8000000002</v>
      </c>
      <c r="H43" s="10">
        <f>+'A) Base RI'!E43</f>
        <v>0</v>
      </c>
      <c r="I43" s="10">
        <f>+'A) Base RI'!F43</f>
        <v>0</v>
      </c>
      <c r="J43" s="10">
        <f>+'A) Base RI'!G43+'A) Base RI'!H43+'A) Base RI'!I43</f>
        <v>31416.969999999998</v>
      </c>
      <c r="K43" s="10">
        <f>+'A) Base RI'!J43</f>
        <v>0</v>
      </c>
      <c r="L43" s="10">
        <f>+'A) Base RI'!K43</f>
        <v>31341.52</v>
      </c>
      <c r="M43" s="10">
        <f>+'A) Base RI'!L43</f>
        <v>522.25</v>
      </c>
      <c r="N43" s="10">
        <f>+'A) Base RI'!R43</f>
        <v>0</v>
      </c>
      <c r="O43" s="10">
        <f t="shared" si="1"/>
        <v>77228.45</v>
      </c>
      <c r="P43" s="10">
        <f>+'A) Base RI'!M43</f>
        <v>77228.45</v>
      </c>
      <c r="Q43" s="35">
        <f>'A) Base RI'!Z43</f>
        <v>1</v>
      </c>
      <c r="R43" s="2">
        <f t="shared" si="2"/>
        <v>1181600.9900000002</v>
      </c>
      <c r="S43" s="34">
        <f>+'A) Base RI'!U43</f>
        <v>80</v>
      </c>
      <c r="T43" s="2">
        <f t="shared" si="3"/>
        <v>1103850.2900000003</v>
      </c>
      <c r="U43" s="2">
        <f t="shared" si="4"/>
        <v>14770.012375000002</v>
      </c>
      <c r="V43" s="10">
        <f>+'A) Base RI'!P43</f>
        <v>0</v>
      </c>
      <c r="W43" s="10">
        <f>+'A) Base RI'!Q43</f>
        <v>16502.3</v>
      </c>
      <c r="X43" s="10">
        <f>+'A) Base RI'!S43</f>
        <v>34189.800000000003</v>
      </c>
      <c r="Y43" s="2">
        <f t="shared" si="5"/>
        <v>50692.100000000006</v>
      </c>
      <c r="Z43" s="10">
        <f>+'A) Base RI'!O43</f>
        <v>0</v>
      </c>
      <c r="AA43" s="10">
        <f>'A) Base RI'!V43</f>
        <v>419</v>
      </c>
    </row>
    <row r="44" spans="1:27" x14ac:dyDescent="0.25">
      <c r="A44" s="8">
        <f>'A) Base RI'!A44</f>
        <v>5473</v>
      </c>
      <c r="B44" s="33" t="str">
        <f>'A) Base RI'!B44</f>
        <v>Boussens</v>
      </c>
      <c r="C44" s="10">
        <f>'A) Base RI'!C44+'A) Base RI'!D44</f>
        <v>2068989.36</v>
      </c>
      <c r="D44" s="10">
        <f>'A) Base RI'!W44</f>
        <v>-20901.330000000002</v>
      </c>
      <c r="E44" s="32">
        <f>'A) Base RI'!X44</f>
        <v>0</v>
      </c>
      <c r="F44" s="32">
        <f>'A) Base RI'!Y44</f>
        <v>-28</v>
      </c>
      <c r="G44" s="2">
        <f t="shared" si="0"/>
        <v>2048060.03</v>
      </c>
      <c r="H44" s="10">
        <f>+'A) Base RI'!E44</f>
        <v>0</v>
      </c>
      <c r="I44" s="10">
        <f>+'A) Base RI'!F44</f>
        <v>0</v>
      </c>
      <c r="J44" s="10">
        <f>+'A) Base RI'!G44+'A) Base RI'!H44+'A) Base RI'!I44</f>
        <v>32610.219999999998</v>
      </c>
      <c r="K44" s="10">
        <f>+'A) Base RI'!J44</f>
        <v>0</v>
      </c>
      <c r="L44" s="10">
        <f>+'A) Base RI'!K44</f>
        <v>28567.74</v>
      </c>
      <c r="M44" s="10">
        <f>+'A) Base RI'!L44</f>
        <v>4388.2</v>
      </c>
      <c r="N44" s="10">
        <f>+'A) Base RI'!R44</f>
        <v>0</v>
      </c>
      <c r="O44" s="10">
        <f t="shared" si="1"/>
        <v>163551.1</v>
      </c>
      <c r="P44" s="10">
        <f>+'A) Base RI'!M44</f>
        <v>163551.1</v>
      </c>
      <c r="Q44" s="35">
        <f>'A) Base RI'!Z44</f>
        <v>1</v>
      </c>
      <c r="R44" s="2">
        <f t="shared" si="2"/>
        <v>2277177.2900000005</v>
      </c>
      <c r="S44" s="34">
        <f>+'A) Base RI'!U44</f>
        <v>69</v>
      </c>
      <c r="T44" s="2">
        <f t="shared" si="3"/>
        <v>2109237.9900000002</v>
      </c>
      <c r="U44" s="2">
        <f t="shared" si="4"/>
        <v>33002.569420289859</v>
      </c>
      <c r="V44" s="10">
        <f>+'A) Base RI'!P44</f>
        <v>0</v>
      </c>
      <c r="W44" s="10">
        <f>+'A) Base RI'!Q44</f>
        <v>52510.5</v>
      </c>
      <c r="X44" s="10">
        <f>+'A) Base RI'!S44</f>
        <v>41232</v>
      </c>
      <c r="Y44" s="2">
        <f t="shared" si="5"/>
        <v>93742.5</v>
      </c>
      <c r="Z44" s="10">
        <f>+'A) Base RI'!O44</f>
        <v>0</v>
      </c>
      <c r="AA44" s="10">
        <f>'A) Base RI'!V44</f>
        <v>982</v>
      </c>
    </row>
    <row r="45" spans="1:27" x14ac:dyDescent="0.25">
      <c r="A45" s="8">
        <f>'A) Base RI'!A45</f>
        <v>5474</v>
      </c>
      <c r="B45" s="33" t="str">
        <f>'A) Base RI'!B45</f>
        <v>La Chaux (Cossonay)</v>
      </c>
      <c r="C45" s="10">
        <f>'A) Base RI'!C45+'A) Base RI'!D45</f>
        <v>919491.79</v>
      </c>
      <c r="D45" s="10">
        <f>'A) Base RI'!W45</f>
        <v>-2262.0300000000002</v>
      </c>
      <c r="E45" s="32">
        <f>'A) Base RI'!X45</f>
        <v>0</v>
      </c>
      <c r="F45" s="32">
        <f>'A) Base RI'!Y45</f>
        <v>-44.92</v>
      </c>
      <c r="G45" s="2">
        <f t="shared" si="0"/>
        <v>917184.84</v>
      </c>
      <c r="H45" s="10">
        <f>+'A) Base RI'!E45</f>
        <v>0</v>
      </c>
      <c r="I45" s="10">
        <f>+'A) Base RI'!F45</f>
        <v>0</v>
      </c>
      <c r="J45" s="10">
        <f>+'A) Base RI'!G45+'A) Base RI'!H45+'A) Base RI'!I45</f>
        <v>3444.2</v>
      </c>
      <c r="K45" s="10">
        <f>+'A) Base RI'!J45</f>
        <v>35177.050000000003</v>
      </c>
      <c r="L45" s="10">
        <f>+'A) Base RI'!K45</f>
        <v>-379.03</v>
      </c>
      <c r="M45" s="10">
        <f>+'A) Base RI'!L45</f>
        <v>617.5</v>
      </c>
      <c r="N45" s="10">
        <f>+'A) Base RI'!R45</f>
        <v>6628.6</v>
      </c>
      <c r="O45" s="10">
        <f t="shared" si="1"/>
        <v>68206.333333333343</v>
      </c>
      <c r="P45" s="10">
        <f>+'A) Base RI'!M45</f>
        <v>81847.600000000006</v>
      </c>
      <c r="Q45" s="35">
        <f>'A) Base RI'!Z45</f>
        <v>1.2</v>
      </c>
      <c r="R45" s="2">
        <f t="shared" si="2"/>
        <v>1030879.4933333333</v>
      </c>
      <c r="S45" s="34">
        <f>+'A) Base RI'!U45</f>
        <v>77</v>
      </c>
      <c r="T45" s="2">
        <f t="shared" si="3"/>
        <v>962055.65999999992</v>
      </c>
      <c r="U45" s="2">
        <f t="shared" si="4"/>
        <v>13388.045367965367</v>
      </c>
      <c r="V45" s="10">
        <f>+'A) Base RI'!P45</f>
        <v>160359.9</v>
      </c>
      <c r="W45" s="10">
        <f>+'A) Base RI'!Q45</f>
        <v>20321.45</v>
      </c>
      <c r="X45" s="10">
        <f>+'A) Base RI'!S45</f>
        <v>31545.9</v>
      </c>
      <c r="Y45" s="2">
        <f t="shared" si="5"/>
        <v>212227.25</v>
      </c>
      <c r="Z45" s="10">
        <f>+'A) Base RI'!O45</f>
        <v>5919.6</v>
      </c>
      <c r="AA45" s="10">
        <f>'A) Base RI'!V45</f>
        <v>420</v>
      </c>
    </row>
    <row r="46" spans="1:27" x14ac:dyDescent="0.25">
      <c r="A46" s="8">
        <f>'A) Base RI'!A46</f>
        <v>5475</v>
      </c>
      <c r="B46" s="33" t="str">
        <f>'A) Base RI'!B46</f>
        <v>Chavannes-le-Veyron</v>
      </c>
      <c r="C46" s="10">
        <f>'A) Base RI'!C46+'A) Base RI'!D46</f>
        <v>261701.42</v>
      </c>
      <c r="D46" s="10">
        <f>'A) Base RI'!W46</f>
        <v>-4390.1400000000003</v>
      </c>
      <c r="E46" s="32">
        <f>'A) Base RI'!X46</f>
        <v>0</v>
      </c>
      <c r="F46" s="32">
        <f>'A) Base RI'!Y46</f>
        <v>0</v>
      </c>
      <c r="G46" s="2">
        <f t="shared" si="0"/>
        <v>257311.28</v>
      </c>
      <c r="H46" s="10">
        <f>+'A) Base RI'!E46</f>
        <v>0</v>
      </c>
      <c r="I46" s="10">
        <f>+'A) Base RI'!F46</f>
        <v>0</v>
      </c>
      <c r="J46" s="10">
        <f>+'A) Base RI'!G46+'A) Base RI'!H46+'A) Base RI'!I46</f>
        <v>1091.7299999999998</v>
      </c>
      <c r="K46" s="10">
        <f>+'A) Base RI'!J46</f>
        <v>0</v>
      </c>
      <c r="L46" s="10">
        <f>+'A) Base RI'!K46</f>
        <v>9747.01</v>
      </c>
      <c r="M46" s="10">
        <f>+'A) Base RI'!L46</f>
        <v>0</v>
      </c>
      <c r="N46" s="10">
        <f>+'A) Base RI'!R46</f>
        <v>0</v>
      </c>
      <c r="O46" s="10">
        <f t="shared" si="1"/>
        <v>22577.3</v>
      </c>
      <c r="P46" s="10">
        <f>+'A) Base RI'!M46</f>
        <v>22577.3</v>
      </c>
      <c r="Q46" s="35">
        <f>'A) Base RI'!Z46</f>
        <v>1</v>
      </c>
      <c r="R46" s="2">
        <f t="shared" si="2"/>
        <v>290727.32</v>
      </c>
      <c r="S46" s="34">
        <f>+'A) Base RI'!U46</f>
        <v>77</v>
      </c>
      <c r="T46" s="2">
        <f t="shared" si="3"/>
        <v>268150.02</v>
      </c>
      <c r="U46" s="2">
        <f t="shared" si="4"/>
        <v>3775.6794805194804</v>
      </c>
      <c r="V46" s="10">
        <f>+'A) Base RI'!P46</f>
        <v>0</v>
      </c>
      <c r="W46" s="10">
        <f>+'A) Base RI'!Q46</f>
        <v>5500</v>
      </c>
      <c r="X46" s="10">
        <f>+'A) Base RI'!S46</f>
        <v>0</v>
      </c>
      <c r="Y46" s="2">
        <f t="shared" si="5"/>
        <v>5500</v>
      </c>
      <c r="Z46" s="10">
        <f>+'A) Base RI'!O46</f>
        <v>0</v>
      </c>
      <c r="AA46" s="10">
        <f>'A) Base RI'!V46</f>
        <v>141</v>
      </c>
    </row>
    <row r="47" spans="1:27" x14ac:dyDescent="0.25">
      <c r="A47" s="8">
        <f>'A) Base RI'!A47</f>
        <v>5476</v>
      </c>
      <c r="B47" s="33" t="str">
        <f>'A) Base RI'!B47</f>
        <v>Chevilly</v>
      </c>
      <c r="C47" s="10">
        <f>'A) Base RI'!C47+'A) Base RI'!D47</f>
        <v>679796.18</v>
      </c>
      <c r="D47" s="10">
        <f>'A) Base RI'!W47</f>
        <v>-3774.47</v>
      </c>
      <c r="E47" s="32">
        <f>'A) Base RI'!X47</f>
        <v>0</v>
      </c>
      <c r="F47" s="32">
        <f>'A) Base RI'!Y47</f>
        <v>-3.16</v>
      </c>
      <c r="G47" s="2">
        <f t="shared" si="0"/>
        <v>676018.55</v>
      </c>
      <c r="H47" s="10">
        <f>+'A) Base RI'!E47</f>
        <v>0</v>
      </c>
      <c r="I47" s="10">
        <f>+'A) Base RI'!F47</f>
        <v>0</v>
      </c>
      <c r="J47" s="10">
        <f>+'A) Base RI'!G47+'A) Base RI'!H47+'A) Base RI'!I47</f>
        <v>7326.28</v>
      </c>
      <c r="K47" s="10">
        <f>+'A) Base RI'!J47</f>
        <v>0</v>
      </c>
      <c r="L47" s="10">
        <f>+'A) Base RI'!K47</f>
        <v>5679.14</v>
      </c>
      <c r="M47" s="10">
        <f>+'A) Base RI'!L47</f>
        <v>0</v>
      </c>
      <c r="N47" s="10">
        <f>+'A) Base RI'!R47</f>
        <v>0</v>
      </c>
      <c r="O47" s="10">
        <f t="shared" si="1"/>
        <v>56716.266666666663</v>
      </c>
      <c r="P47" s="10">
        <f>+'A) Base RI'!M47</f>
        <v>85074.4</v>
      </c>
      <c r="Q47" s="35">
        <f>'A) Base RI'!Z47</f>
        <v>1.5</v>
      </c>
      <c r="R47" s="2">
        <f t="shared" si="2"/>
        <v>745740.23666666681</v>
      </c>
      <c r="S47" s="34">
        <f>+'A) Base RI'!U47</f>
        <v>74</v>
      </c>
      <c r="T47" s="2">
        <f t="shared" si="3"/>
        <v>689023.97000000009</v>
      </c>
      <c r="U47" s="2">
        <f t="shared" si="4"/>
        <v>10077.570765765768</v>
      </c>
      <c r="V47" s="10">
        <f>+'A) Base RI'!P47</f>
        <v>4409.2</v>
      </c>
      <c r="W47" s="10">
        <f>+'A) Base RI'!Q47</f>
        <v>0</v>
      </c>
      <c r="X47" s="10">
        <f>+'A) Base RI'!S47</f>
        <v>0</v>
      </c>
      <c r="Y47" s="2">
        <f t="shared" si="5"/>
        <v>4409.2</v>
      </c>
      <c r="Z47" s="10">
        <f>+'A) Base RI'!O47</f>
        <v>0</v>
      </c>
      <c r="AA47" s="10">
        <f>'A) Base RI'!V47</f>
        <v>298</v>
      </c>
    </row>
    <row r="48" spans="1:27" x14ac:dyDescent="0.25">
      <c r="A48" s="8">
        <f>'A) Base RI'!A48</f>
        <v>5477</v>
      </c>
      <c r="B48" s="33" t="str">
        <f>'A) Base RI'!B48</f>
        <v>Cossonay</v>
      </c>
      <c r="C48" s="10">
        <f>'A) Base RI'!C48+'A) Base RI'!D48</f>
        <v>7670838.4500000002</v>
      </c>
      <c r="D48" s="10">
        <f>'A) Base RI'!W48</f>
        <v>-113022.57</v>
      </c>
      <c r="E48" s="32">
        <f>'A) Base RI'!X48</f>
        <v>0</v>
      </c>
      <c r="F48" s="32">
        <f>'A) Base RI'!Y48</f>
        <v>-221.81</v>
      </c>
      <c r="G48" s="2">
        <f t="shared" si="0"/>
        <v>7557594.0700000003</v>
      </c>
      <c r="H48" s="10">
        <f>+'A) Base RI'!E48</f>
        <v>0</v>
      </c>
      <c r="I48" s="10">
        <f>+'A) Base RI'!F48</f>
        <v>0</v>
      </c>
      <c r="J48" s="10">
        <f>+'A) Base RI'!G48+'A) Base RI'!H48+'A) Base RI'!I48</f>
        <v>355021.44999999995</v>
      </c>
      <c r="K48" s="10">
        <f>+'A) Base RI'!J48</f>
        <v>0</v>
      </c>
      <c r="L48" s="10">
        <f>+'A) Base RI'!K48</f>
        <v>246620</v>
      </c>
      <c r="M48" s="10">
        <f>+'A) Base RI'!L48</f>
        <v>7568.9</v>
      </c>
      <c r="N48" s="10">
        <f>+'A) Base RI'!R48</f>
        <v>11175.26</v>
      </c>
      <c r="O48" s="10">
        <f t="shared" si="1"/>
        <v>593419.69999999995</v>
      </c>
      <c r="P48" s="10">
        <f>+'A) Base RI'!M48</f>
        <v>593419.69999999995</v>
      </c>
      <c r="Q48" s="35">
        <f>'A) Base RI'!Z48</f>
        <v>1</v>
      </c>
      <c r="R48" s="2">
        <f t="shared" si="2"/>
        <v>8771399.3800000008</v>
      </c>
      <c r="S48" s="34">
        <f>+'A) Base RI'!U48</f>
        <v>71</v>
      </c>
      <c r="T48" s="2">
        <f t="shared" si="3"/>
        <v>8170410.7800000003</v>
      </c>
      <c r="U48" s="2">
        <f t="shared" si="4"/>
        <v>123540.83633802818</v>
      </c>
      <c r="V48" s="10">
        <f>+'A) Base RI'!P48</f>
        <v>160803</v>
      </c>
      <c r="W48" s="10">
        <f>+'A) Base RI'!Q48</f>
        <v>757341.75</v>
      </c>
      <c r="X48" s="10">
        <f>+'A) Base RI'!S48</f>
        <v>211688</v>
      </c>
      <c r="Y48" s="2">
        <f t="shared" si="5"/>
        <v>1129832.75</v>
      </c>
      <c r="Z48" s="10">
        <f>+'A) Base RI'!O48</f>
        <v>77640.55</v>
      </c>
      <c r="AA48" s="10">
        <f>'A) Base RI'!V48</f>
        <v>3808</v>
      </c>
    </row>
    <row r="49" spans="1:27" x14ac:dyDescent="0.25">
      <c r="A49" s="8">
        <f>'A) Base RI'!A49</f>
        <v>5478</v>
      </c>
      <c r="B49" s="33" t="str">
        <f>'A) Base RI'!B49</f>
        <v>Cottens</v>
      </c>
      <c r="C49" s="10">
        <f>'A) Base RI'!C49+'A) Base RI'!D49</f>
        <v>1140197.6400000001</v>
      </c>
      <c r="D49" s="10">
        <f>'A) Base RI'!W49</f>
        <v>-6580.48</v>
      </c>
      <c r="E49" s="32">
        <f>'A) Base RI'!X49</f>
        <v>0</v>
      </c>
      <c r="F49" s="32">
        <f>'A) Base RI'!Y49</f>
        <v>0</v>
      </c>
      <c r="G49" s="2">
        <f t="shared" si="0"/>
        <v>1133617.1600000001</v>
      </c>
      <c r="H49" s="10">
        <f>+'A) Base RI'!E49</f>
        <v>0</v>
      </c>
      <c r="I49" s="10">
        <f>+'A) Base RI'!F49</f>
        <v>0</v>
      </c>
      <c r="J49" s="10">
        <f>+'A) Base RI'!G49+'A) Base RI'!H49+'A) Base RI'!I49</f>
        <v>17941.64</v>
      </c>
      <c r="K49" s="10">
        <f>+'A) Base RI'!J49</f>
        <v>0</v>
      </c>
      <c r="L49" s="10">
        <f>+'A) Base RI'!K49</f>
        <v>12728.5</v>
      </c>
      <c r="M49" s="10">
        <f>+'A) Base RI'!L49</f>
        <v>250</v>
      </c>
      <c r="N49" s="10">
        <f>+'A) Base RI'!R49</f>
        <v>5986.15</v>
      </c>
      <c r="O49" s="10">
        <f t="shared" si="1"/>
        <v>78073.25</v>
      </c>
      <c r="P49" s="10">
        <f>+'A) Base RI'!M49</f>
        <v>78073.25</v>
      </c>
      <c r="Q49" s="35">
        <f>'A) Base RI'!Z49</f>
        <v>1</v>
      </c>
      <c r="R49" s="2">
        <f t="shared" si="2"/>
        <v>1248596.7</v>
      </c>
      <c r="S49" s="34">
        <f>+'A) Base RI'!U49</f>
        <v>74</v>
      </c>
      <c r="T49" s="2">
        <f t="shared" si="3"/>
        <v>1170273.45</v>
      </c>
      <c r="U49" s="2">
        <f t="shared" si="4"/>
        <v>16872.928378378379</v>
      </c>
      <c r="V49" s="10">
        <f>+'A) Base RI'!P49</f>
        <v>0</v>
      </c>
      <c r="W49" s="10">
        <f>+'A) Base RI'!Q49</f>
        <v>40801.449999999997</v>
      </c>
      <c r="X49" s="10">
        <f>+'A) Base RI'!S49</f>
        <v>39907.449999999997</v>
      </c>
      <c r="Y49" s="2">
        <f t="shared" si="5"/>
        <v>80708.899999999994</v>
      </c>
      <c r="Z49" s="10">
        <f>+'A) Base RI'!O49</f>
        <v>0</v>
      </c>
      <c r="AA49" s="10">
        <f>'A) Base RI'!V49</f>
        <v>477</v>
      </c>
    </row>
    <row r="50" spans="1:27" x14ac:dyDescent="0.25">
      <c r="A50" s="8">
        <f>'A) Base RI'!A50</f>
        <v>5479</v>
      </c>
      <c r="B50" s="33" t="str">
        <f>'A) Base RI'!B50</f>
        <v>Cuarnens</v>
      </c>
      <c r="C50" s="10">
        <f>'A) Base RI'!C50+'A) Base RI'!D50</f>
        <v>904891.1</v>
      </c>
      <c r="D50" s="10">
        <f>'A) Base RI'!W50</f>
        <v>-11975.34</v>
      </c>
      <c r="E50" s="32">
        <f>'A) Base RI'!X50</f>
        <v>0</v>
      </c>
      <c r="F50" s="32">
        <f>'A) Base RI'!Y50</f>
        <v>0</v>
      </c>
      <c r="G50" s="2">
        <f t="shared" si="0"/>
        <v>892915.76</v>
      </c>
      <c r="H50" s="10">
        <f>+'A) Base RI'!E50</f>
        <v>0</v>
      </c>
      <c r="I50" s="10">
        <f>+'A) Base RI'!F50</f>
        <v>0</v>
      </c>
      <c r="J50" s="10">
        <f>+'A) Base RI'!G50+'A) Base RI'!H50+'A) Base RI'!I50</f>
        <v>14695.29</v>
      </c>
      <c r="K50" s="10">
        <f>+'A) Base RI'!J50</f>
        <v>150000</v>
      </c>
      <c r="L50" s="10">
        <f>+'A) Base RI'!K50</f>
        <v>13301.04</v>
      </c>
      <c r="M50" s="10">
        <f>+'A) Base RI'!L50</f>
        <v>2397.5</v>
      </c>
      <c r="N50" s="10">
        <f>+'A) Base RI'!R50</f>
        <v>2314.04</v>
      </c>
      <c r="O50" s="10">
        <f t="shared" si="1"/>
        <v>86947.25</v>
      </c>
      <c r="P50" s="10">
        <f>+'A) Base RI'!M50</f>
        <v>86947.25</v>
      </c>
      <c r="Q50" s="35">
        <f>'A) Base RI'!Z50</f>
        <v>1</v>
      </c>
      <c r="R50" s="2">
        <f t="shared" si="2"/>
        <v>1162570.8800000001</v>
      </c>
      <c r="S50" s="34">
        <f>+'A) Base RI'!U50</f>
        <v>77</v>
      </c>
      <c r="T50" s="2">
        <f t="shared" si="3"/>
        <v>1073226.1300000001</v>
      </c>
      <c r="U50" s="2">
        <f t="shared" si="4"/>
        <v>15098.323116883119</v>
      </c>
      <c r="V50" s="10">
        <f>+'A) Base RI'!P50</f>
        <v>5678.8</v>
      </c>
      <c r="W50" s="10">
        <f>+'A) Base RI'!Q50</f>
        <v>63136.3</v>
      </c>
      <c r="X50" s="10">
        <f>+'A) Base RI'!S50</f>
        <v>50667.85</v>
      </c>
      <c r="Y50" s="2">
        <f t="shared" si="5"/>
        <v>119482.95000000001</v>
      </c>
      <c r="Z50" s="10">
        <f>+'A) Base RI'!O50</f>
        <v>9702.0499999999993</v>
      </c>
      <c r="AA50" s="10">
        <f>'A) Base RI'!V50</f>
        <v>479</v>
      </c>
    </row>
    <row r="51" spans="1:27" x14ac:dyDescent="0.25">
      <c r="A51" s="8">
        <f>'A) Base RI'!A51</f>
        <v>5480</v>
      </c>
      <c r="B51" s="33" t="str">
        <f>'A) Base RI'!B51</f>
        <v>Daillens</v>
      </c>
      <c r="C51" s="10">
        <f>'A) Base RI'!C51+'A) Base RI'!D51</f>
        <v>2512556.54</v>
      </c>
      <c r="D51" s="10">
        <f>'A) Base RI'!W51</f>
        <v>-25645.24</v>
      </c>
      <c r="E51" s="32">
        <f>'A) Base RI'!X51</f>
        <v>0</v>
      </c>
      <c r="F51" s="32">
        <f>'A) Base RI'!Y51</f>
        <v>-205.82</v>
      </c>
      <c r="G51" s="2">
        <f t="shared" si="0"/>
        <v>2486705.48</v>
      </c>
      <c r="H51" s="10">
        <f>+'A) Base RI'!E51</f>
        <v>0</v>
      </c>
      <c r="I51" s="10">
        <f>+'A) Base RI'!F51</f>
        <v>0</v>
      </c>
      <c r="J51" s="10">
        <f>+'A) Base RI'!G51+'A) Base RI'!H51+'A) Base RI'!I51</f>
        <v>88103.05</v>
      </c>
      <c r="K51" s="10">
        <f>+'A) Base RI'!J51</f>
        <v>0</v>
      </c>
      <c r="L51" s="10">
        <f>+'A) Base RI'!K51</f>
        <v>39113.39</v>
      </c>
      <c r="M51" s="10">
        <f>+'A) Base RI'!L51</f>
        <v>8743.65</v>
      </c>
      <c r="N51" s="10">
        <f>+'A) Base RI'!R51</f>
        <v>17470.11</v>
      </c>
      <c r="O51" s="10">
        <f t="shared" si="1"/>
        <v>278373.2</v>
      </c>
      <c r="P51" s="10">
        <f>+'A) Base RI'!M51</f>
        <v>278373.2</v>
      </c>
      <c r="Q51" s="35">
        <f>'A) Base RI'!Z51</f>
        <v>1</v>
      </c>
      <c r="R51" s="2">
        <f t="shared" si="2"/>
        <v>2918508.88</v>
      </c>
      <c r="S51" s="34">
        <f>+'A) Base RI'!U51</f>
        <v>71</v>
      </c>
      <c r="T51" s="2">
        <f t="shared" si="3"/>
        <v>2631392.0299999998</v>
      </c>
      <c r="U51" s="2">
        <f t="shared" si="4"/>
        <v>41105.758873239436</v>
      </c>
      <c r="V51" s="10">
        <f>+'A) Base RI'!P51</f>
        <v>3313.6</v>
      </c>
      <c r="W51" s="10">
        <f>+'A) Base RI'!Q51</f>
        <v>58611.25</v>
      </c>
      <c r="X51" s="10">
        <f>+'A) Base RI'!S51</f>
        <v>13602.25</v>
      </c>
      <c r="Y51" s="2">
        <f t="shared" si="5"/>
        <v>75527.100000000006</v>
      </c>
      <c r="Z51" s="10">
        <f>+'A) Base RI'!O51</f>
        <v>129347.4</v>
      </c>
      <c r="AA51" s="10">
        <f>'A) Base RI'!V51</f>
        <v>998</v>
      </c>
    </row>
    <row r="52" spans="1:27" x14ac:dyDescent="0.25">
      <c r="A52" s="8">
        <f>'A) Base RI'!A52</f>
        <v>5481</v>
      </c>
      <c r="B52" s="33" t="str">
        <f>'A) Base RI'!B52</f>
        <v>Dizy</v>
      </c>
      <c r="C52" s="10">
        <f>'A) Base RI'!C52+'A) Base RI'!D52</f>
        <v>616439.93000000005</v>
      </c>
      <c r="D52" s="10">
        <f>'A) Base RI'!W52</f>
        <v>-3090.26</v>
      </c>
      <c r="E52" s="32">
        <f>'A) Base RI'!X52</f>
        <v>0</v>
      </c>
      <c r="F52" s="32">
        <f>'A) Base RI'!Y52</f>
        <v>-6.15</v>
      </c>
      <c r="G52" s="2">
        <f t="shared" si="0"/>
        <v>613343.52</v>
      </c>
      <c r="H52" s="10">
        <f>+'A) Base RI'!E52</f>
        <v>0</v>
      </c>
      <c r="I52" s="10">
        <f>+'A) Base RI'!F52</f>
        <v>0</v>
      </c>
      <c r="J52" s="10">
        <f>+'A) Base RI'!G52+'A) Base RI'!H52+'A) Base RI'!I52</f>
        <v>9781.01</v>
      </c>
      <c r="K52" s="10">
        <f>+'A) Base RI'!J52</f>
        <v>0</v>
      </c>
      <c r="L52" s="10">
        <f>+'A) Base RI'!K52</f>
        <v>1796.6</v>
      </c>
      <c r="M52" s="10">
        <f>+'A) Base RI'!L52</f>
        <v>0</v>
      </c>
      <c r="N52" s="10">
        <f>+'A) Base RI'!R52</f>
        <v>2883.95</v>
      </c>
      <c r="O52" s="10">
        <f t="shared" si="1"/>
        <v>37185.599999999999</v>
      </c>
      <c r="P52" s="10">
        <f>+'A) Base RI'!M52</f>
        <v>37185.599999999999</v>
      </c>
      <c r="Q52" s="35">
        <f>'A) Base RI'!Z52</f>
        <v>1</v>
      </c>
      <c r="R52" s="2">
        <f t="shared" si="2"/>
        <v>664990.67999999993</v>
      </c>
      <c r="S52" s="34">
        <f>+'A) Base RI'!U52</f>
        <v>79</v>
      </c>
      <c r="T52" s="2">
        <f t="shared" si="3"/>
        <v>627805.07999999996</v>
      </c>
      <c r="U52" s="2">
        <f t="shared" si="4"/>
        <v>8417.6035443037963</v>
      </c>
      <c r="V52" s="10">
        <f>+'A) Base RI'!P52</f>
        <v>486.6</v>
      </c>
      <c r="W52" s="10">
        <f>+'A) Base RI'!Q52</f>
        <v>8580</v>
      </c>
      <c r="X52" s="10">
        <f>+'A) Base RI'!S52</f>
        <v>8556.85</v>
      </c>
      <c r="Y52" s="2">
        <f t="shared" si="5"/>
        <v>17623.45</v>
      </c>
      <c r="Z52" s="10">
        <f>+'A) Base RI'!O52</f>
        <v>0</v>
      </c>
      <c r="AA52" s="10">
        <f>'A) Base RI'!V52</f>
        <v>229</v>
      </c>
    </row>
    <row r="53" spans="1:27" x14ac:dyDescent="0.25">
      <c r="A53" s="8">
        <f>'A) Base RI'!A53</f>
        <v>5482</v>
      </c>
      <c r="B53" s="33" t="str">
        <f>'A) Base RI'!B53</f>
        <v>Eclépens</v>
      </c>
      <c r="C53" s="10">
        <f>'A) Base RI'!C53+'A) Base RI'!D53</f>
        <v>1555783.42</v>
      </c>
      <c r="D53" s="10">
        <f>'A) Base RI'!W53</f>
        <v>-16784.3</v>
      </c>
      <c r="E53" s="32">
        <f>'A) Base RI'!X53</f>
        <v>0</v>
      </c>
      <c r="F53" s="32">
        <f>'A) Base RI'!Y53</f>
        <v>-72.56</v>
      </c>
      <c r="G53" s="2">
        <f t="shared" si="0"/>
        <v>1538926.5599999998</v>
      </c>
      <c r="H53" s="10">
        <f>+'A) Base RI'!E53</f>
        <v>0</v>
      </c>
      <c r="I53" s="10">
        <f>+'A) Base RI'!F53</f>
        <v>0</v>
      </c>
      <c r="J53" s="10">
        <f>+'A) Base RI'!G53+'A) Base RI'!H53+'A) Base RI'!I53</f>
        <v>190230.18</v>
      </c>
      <c r="K53" s="10">
        <f>+'A) Base RI'!J53</f>
        <v>0</v>
      </c>
      <c r="L53" s="10">
        <f>+'A) Base RI'!K53</f>
        <v>86158.32</v>
      </c>
      <c r="M53" s="10">
        <f>+'A) Base RI'!L53</f>
        <v>39820.300000000003</v>
      </c>
      <c r="N53" s="10">
        <f>+'A) Base RI'!R53</f>
        <v>6101.33</v>
      </c>
      <c r="O53" s="10">
        <f t="shared" si="1"/>
        <v>389150.65</v>
      </c>
      <c r="P53" s="10">
        <f>+'A) Base RI'!M53</f>
        <v>389150.65</v>
      </c>
      <c r="Q53" s="35">
        <f>'A) Base RI'!Z53</f>
        <v>1</v>
      </c>
      <c r="R53" s="2">
        <f t="shared" si="2"/>
        <v>2250387.34</v>
      </c>
      <c r="S53" s="34">
        <f>+'A) Base RI'!U53</f>
        <v>46</v>
      </c>
      <c r="T53" s="2">
        <f t="shared" si="3"/>
        <v>1821416.39</v>
      </c>
      <c r="U53" s="2">
        <f t="shared" si="4"/>
        <v>48921.463913043473</v>
      </c>
      <c r="V53" s="10">
        <f>+'A) Base RI'!P53</f>
        <v>142602.79999999999</v>
      </c>
      <c r="W53" s="10">
        <f>+'A) Base RI'!Q53</f>
        <v>60602.5</v>
      </c>
      <c r="X53" s="10">
        <f>+'A) Base RI'!S53</f>
        <v>53855.8</v>
      </c>
      <c r="Y53" s="2">
        <f t="shared" si="5"/>
        <v>257061.09999999998</v>
      </c>
      <c r="Z53" s="10">
        <f>+'A) Base RI'!O53</f>
        <v>456709</v>
      </c>
      <c r="AA53" s="10">
        <f>'A) Base RI'!V53</f>
        <v>1091</v>
      </c>
    </row>
    <row r="54" spans="1:27" x14ac:dyDescent="0.25">
      <c r="A54" s="8">
        <f>'A) Base RI'!A54</f>
        <v>5483</v>
      </c>
      <c r="B54" s="33" t="str">
        <f>'A) Base RI'!B54</f>
        <v>Ferreyres</v>
      </c>
      <c r="C54" s="10">
        <f>'A) Base RI'!C54+'A) Base RI'!D54</f>
        <v>881373.2</v>
      </c>
      <c r="D54" s="10">
        <f>'A) Base RI'!W54</f>
        <v>-2427.13</v>
      </c>
      <c r="E54" s="32">
        <f>'A) Base RI'!X54</f>
        <v>0</v>
      </c>
      <c r="F54" s="32">
        <f>'A) Base RI'!Y54</f>
        <v>0</v>
      </c>
      <c r="G54" s="2">
        <f t="shared" si="0"/>
        <v>878946.07</v>
      </c>
      <c r="H54" s="10">
        <f>+'A) Base RI'!E54</f>
        <v>0</v>
      </c>
      <c r="I54" s="10">
        <f>+'A) Base RI'!F54</f>
        <v>0</v>
      </c>
      <c r="J54" s="10">
        <f>+'A) Base RI'!G54+'A) Base RI'!H54+'A) Base RI'!I54</f>
        <v>1598.96</v>
      </c>
      <c r="K54" s="10">
        <f>+'A) Base RI'!J54</f>
        <v>0</v>
      </c>
      <c r="L54" s="10">
        <f>+'A) Base RI'!K54</f>
        <v>4377.05</v>
      </c>
      <c r="M54" s="10">
        <f>+'A) Base RI'!L54</f>
        <v>0</v>
      </c>
      <c r="N54" s="10">
        <f>+'A) Base RI'!R54</f>
        <v>667.56</v>
      </c>
      <c r="O54" s="10">
        <f t="shared" si="1"/>
        <v>52168.15</v>
      </c>
      <c r="P54" s="10">
        <f>+'A) Base RI'!M54</f>
        <v>52168.15</v>
      </c>
      <c r="Q54" s="35">
        <f>'A) Base RI'!Z54</f>
        <v>1</v>
      </c>
      <c r="R54" s="2">
        <f t="shared" si="2"/>
        <v>937757.79</v>
      </c>
      <c r="S54" s="34">
        <f>+'A) Base RI'!U54</f>
        <v>76</v>
      </c>
      <c r="T54" s="2">
        <f t="shared" si="3"/>
        <v>885589.64</v>
      </c>
      <c r="U54" s="2">
        <f t="shared" si="4"/>
        <v>12338.918289473684</v>
      </c>
      <c r="V54" s="10">
        <f>+'A) Base RI'!P54</f>
        <v>0</v>
      </c>
      <c r="W54" s="10">
        <f>+'A) Base RI'!Q54</f>
        <v>20900</v>
      </c>
      <c r="X54" s="10">
        <f>+'A) Base RI'!S54</f>
        <v>5202.6000000000004</v>
      </c>
      <c r="Y54" s="2">
        <f t="shared" si="5"/>
        <v>26102.6</v>
      </c>
      <c r="Z54" s="10">
        <f>+'A) Base RI'!O54</f>
        <v>163.95</v>
      </c>
      <c r="AA54" s="10">
        <f>'A) Base RI'!V54</f>
        <v>322</v>
      </c>
    </row>
    <row r="55" spans="1:27" x14ac:dyDescent="0.25">
      <c r="A55" s="8">
        <f>'A) Base RI'!A55</f>
        <v>5484</v>
      </c>
      <c r="B55" s="33" t="str">
        <f>'A) Base RI'!B55</f>
        <v>Gollion</v>
      </c>
      <c r="C55" s="10">
        <f>'A) Base RI'!C55+'A) Base RI'!D55</f>
        <v>2190613.48</v>
      </c>
      <c r="D55" s="10">
        <f>'A) Base RI'!W55</f>
        <v>-9379.25</v>
      </c>
      <c r="E55" s="32">
        <f>'A) Base RI'!X55</f>
        <v>0</v>
      </c>
      <c r="F55" s="32">
        <f>'A) Base RI'!Y55</f>
        <v>-11.11</v>
      </c>
      <c r="G55" s="2">
        <f t="shared" si="0"/>
        <v>2181223.12</v>
      </c>
      <c r="H55" s="10">
        <f>+'A) Base RI'!E55</f>
        <v>0</v>
      </c>
      <c r="I55" s="10">
        <f>+'A) Base RI'!F55</f>
        <v>0</v>
      </c>
      <c r="J55" s="10">
        <f>+'A) Base RI'!G55+'A) Base RI'!H55+'A) Base RI'!I55</f>
        <v>89622.65</v>
      </c>
      <c r="K55" s="10">
        <f>+'A) Base RI'!J55</f>
        <v>0</v>
      </c>
      <c r="L55" s="10">
        <f>+'A) Base RI'!K55</f>
        <v>59064.97</v>
      </c>
      <c r="M55" s="10">
        <f>+'A) Base RI'!L55</f>
        <v>5732.15</v>
      </c>
      <c r="N55" s="10">
        <f>+'A) Base RI'!R55</f>
        <v>18606.099999999999</v>
      </c>
      <c r="O55" s="10">
        <f t="shared" si="1"/>
        <v>159223.29999999999</v>
      </c>
      <c r="P55" s="10">
        <f>+'A) Base RI'!M55</f>
        <v>159223.29999999999</v>
      </c>
      <c r="Q55" s="35">
        <f>'A) Base RI'!Z55</f>
        <v>1</v>
      </c>
      <c r="R55" s="2">
        <f t="shared" si="2"/>
        <v>2513472.29</v>
      </c>
      <c r="S55" s="34">
        <f>+'A) Base RI'!U55</f>
        <v>74</v>
      </c>
      <c r="T55" s="2">
        <f t="shared" si="3"/>
        <v>2348516.8400000003</v>
      </c>
      <c r="U55" s="2">
        <f t="shared" si="4"/>
        <v>33965.841756756759</v>
      </c>
      <c r="V55" s="10">
        <f>+'A) Base RI'!P55</f>
        <v>0</v>
      </c>
      <c r="W55" s="10">
        <f>+'A) Base RI'!Q55</f>
        <v>195789.25</v>
      </c>
      <c r="X55" s="10">
        <f>+'A) Base RI'!S55</f>
        <v>139036.15</v>
      </c>
      <c r="Y55" s="2">
        <f t="shared" si="5"/>
        <v>334825.40000000002</v>
      </c>
      <c r="Z55" s="10">
        <f>+'A) Base RI'!O55</f>
        <v>26602.55</v>
      </c>
      <c r="AA55" s="10">
        <f>'A) Base RI'!V55</f>
        <v>918</v>
      </c>
    </row>
    <row r="56" spans="1:27" x14ac:dyDescent="0.25">
      <c r="A56" s="8">
        <f>'A) Base RI'!A56</f>
        <v>5485</v>
      </c>
      <c r="B56" s="33" t="str">
        <f>'A) Base RI'!B56</f>
        <v>Grancy</v>
      </c>
      <c r="C56" s="10">
        <f>'A) Base RI'!C56+'A) Base RI'!D56</f>
        <v>1135160.24</v>
      </c>
      <c r="D56" s="10">
        <f>'A) Base RI'!W56</f>
        <v>-5119.3</v>
      </c>
      <c r="E56" s="32">
        <f>'A) Base RI'!X56</f>
        <v>0</v>
      </c>
      <c r="F56" s="32">
        <f>'A) Base RI'!Y56</f>
        <v>-56.4</v>
      </c>
      <c r="G56" s="2">
        <f t="shared" si="0"/>
        <v>1129984.54</v>
      </c>
      <c r="H56" s="10">
        <f>+'A) Base RI'!E56</f>
        <v>0</v>
      </c>
      <c r="I56" s="10">
        <f>+'A) Base RI'!F56</f>
        <v>0</v>
      </c>
      <c r="J56" s="10">
        <f>+'A) Base RI'!G56+'A) Base RI'!H56+'A) Base RI'!I56</f>
        <v>14103.570000000002</v>
      </c>
      <c r="K56" s="10">
        <f>+'A) Base RI'!J56</f>
        <v>0</v>
      </c>
      <c r="L56" s="10">
        <f>+'A) Base RI'!K56</f>
        <v>27318.61</v>
      </c>
      <c r="M56" s="10">
        <f>+'A) Base RI'!L56</f>
        <v>0</v>
      </c>
      <c r="N56" s="10">
        <f>+'A) Base RI'!R56</f>
        <v>0</v>
      </c>
      <c r="O56" s="10">
        <f t="shared" si="1"/>
        <v>70419.55</v>
      </c>
      <c r="P56" s="10">
        <f>+'A) Base RI'!M56</f>
        <v>70419.55</v>
      </c>
      <c r="Q56" s="35">
        <f>'A) Base RI'!Z56</f>
        <v>1</v>
      </c>
      <c r="R56" s="2">
        <f t="shared" si="2"/>
        <v>1241826.2700000003</v>
      </c>
      <c r="S56" s="34">
        <f>+'A) Base RI'!U56</f>
        <v>70</v>
      </c>
      <c r="T56" s="2">
        <f t="shared" si="3"/>
        <v>1171406.7200000002</v>
      </c>
      <c r="U56" s="2">
        <f t="shared" si="4"/>
        <v>17740.37528571429</v>
      </c>
      <c r="V56" s="10">
        <f>+'A) Base RI'!P56</f>
        <v>0</v>
      </c>
      <c r="W56" s="10">
        <f>+'A) Base RI'!Q56</f>
        <v>28930</v>
      </c>
      <c r="X56" s="10">
        <f>+'A) Base RI'!S56</f>
        <v>53920.15</v>
      </c>
      <c r="Y56" s="2">
        <f t="shared" si="5"/>
        <v>82850.149999999994</v>
      </c>
      <c r="Z56" s="10">
        <f>+'A) Base RI'!O56</f>
        <v>9944.15</v>
      </c>
      <c r="AA56" s="10">
        <f>'A) Base RI'!V56</f>
        <v>403</v>
      </c>
    </row>
    <row r="57" spans="1:27" x14ac:dyDescent="0.25">
      <c r="A57" s="8">
        <f>'A) Base RI'!A57</f>
        <v>5486</v>
      </c>
      <c r="B57" s="33" t="str">
        <f>'A) Base RI'!B57</f>
        <v>L'Isle</v>
      </c>
      <c r="C57" s="10">
        <f>'A) Base RI'!C57+'A) Base RI'!D57</f>
        <v>1703065.98</v>
      </c>
      <c r="D57" s="10">
        <f>'A) Base RI'!W57</f>
        <v>-63805.34</v>
      </c>
      <c r="E57" s="32">
        <f>'A) Base RI'!X57</f>
        <v>0</v>
      </c>
      <c r="F57" s="32">
        <f>'A) Base RI'!Y57</f>
        <v>0</v>
      </c>
      <c r="G57" s="2">
        <f t="shared" si="0"/>
        <v>1639260.64</v>
      </c>
      <c r="H57" s="10">
        <f>+'A) Base RI'!E57</f>
        <v>0</v>
      </c>
      <c r="I57" s="10">
        <f>+'A) Base RI'!F57</f>
        <v>0</v>
      </c>
      <c r="J57" s="10">
        <f>+'A) Base RI'!G57+'A) Base RI'!H57+'A) Base RI'!I57</f>
        <v>57305.369999999995</v>
      </c>
      <c r="K57" s="10">
        <f>+'A) Base RI'!J57</f>
        <v>34494.85</v>
      </c>
      <c r="L57" s="10">
        <f>+'A) Base RI'!K57</f>
        <v>30992.86</v>
      </c>
      <c r="M57" s="10">
        <f>+'A) Base RI'!L57</f>
        <v>5736.3</v>
      </c>
      <c r="N57" s="10">
        <f>+'A) Base RI'!R57</f>
        <v>3736.62</v>
      </c>
      <c r="O57" s="10">
        <f t="shared" si="1"/>
        <v>181422.25</v>
      </c>
      <c r="P57" s="10">
        <f>+'A) Base RI'!M57</f>
        <v>181422.25</v>
      </c>
      <c r="Q57" s="35">
        <f>'A) Base RI'!Z57</f>
        <v>1</v>
      </c>
      <c r="R57" s="2">
        <f t="shared" si="2"/>
        <v>1952948.8900000001</v>
      </c>
      <c r="S57" s="34">
        <f>+'A) Base RI'!U57</f>
        <v>76</v>
      </c>
      <c r="T57" s="2">
        <f t="shared" si="3"/>
        <v>1765790.34</v>
      </c>
      <c r="U57" s="2">
        <f t="shared" si="4"/>
        <v>25696.695921052633</v>
      </c>
      <c r="V57" s="10">
        <f>+'A) Base RI'!P57</f>
        <v>8787.2000000000007</v>
      </c>
      <c r="W57" s="10">
        <f>+'A) Base RI'!Q57</f>
        <v>61561.15</v>
      </c>
      <c r="X57" s="10">
        <f>+'A) Base RI'!S57</f>
        <v>117078.25</v>
      </c>
      <c r="Y57" s="2">
        <f t="shared" si="5"/>
        <v>187426.6</v>
      </c>
      <c r="Z57" s="10">
        <f>+'A) Base RI'!O57</f>
        <v>45799.5</v>
      </c>
      <c r="AA57" s="10">
        <f>'A) Base RI'!V57</f>
        <v>1005</v>
      </c>
    </row>
    <row r="58" spans="1:27" x14ac:dyDescent="0.25">
      <c r="A58" s="8">
        <f>'A) Base RI'!A58</f>
        <v>5487</v>
      </c>
      <c r="B58" s="33" t="str">
        <f>'A) Base RI'!B58</f>
        <v>Lussery-Villars</v>
      </c>
      <c r="C58" s="10">
        <f>'A) Base RI'!C58+'A) Base RI'!D58</f>
        <v>945964.54</v>
      </c>
      <c r="D58" s="10">
        <f>'A) Base RI'!W58</f>
        <v>-15190.53</v>
      </c>
      <c r="E58" s="32">
        <f>'A) Base RI'!X58</f>
        <v>0</v>
      </c>
      <c r="F58" s="32">
        <f>'A) Base RI'!Y58</f>
        <v>-47.16</v>
      </c>
      <c r="G58" s="2">
        <f t="shared" si="0"/>
        <v>930726.85</v>
      </c>
      <c r="H58" s="10">
        <f>+'A) Base RI'!E58</f>
        <v>0</v>
      </c>
      <c r="I58" s="10">
        <f>+'A) Base RI'!F58</f>
        <v>0</v>
      </c>
      <c r="J58" s="10">
        <f>+'A) Base RI'!G58+'A) Base RI'!H58+'A) Base RI'!I58</f>
        <v>3742.02</v>
      </c>
      <c r="K58" s="10">
        <f>+'A) Base RI'!J58</f>
        <v>0</v>
      </c>
      <c r="L58" s="10">
        <f>+'A) Base RI'!K58</f>
        <v>13296.17</v>
      </c>
      <c r="M58" s="10">
        <f>+'A) Base RI'!L58</f>
        <v>446.25</v>
      </c>
      <c r="N58" s="10">
        <f>+'A) Base RI'!R58</f>
        <v>12200.82</v>
      </c>
      <c r="O58" s="10">
        <f t="shared" si="1"/>
        <v>72580.3</v>
      </c>
      <c r="P58" s="10">
        <f>+'A) Base RI'!M58</f>
        <v>72580.3</v>
      </c>
      <c r="Q58" s="35">
        <f>'A) Base RI'!Z58</f>
        <v>1</v>
      </c>
      <c r="R58" s="2">
        <f t="shared" si="2"/>
        <v>1032992.41</v>
      </c>
      <c r="S58" s="34">
        <f>+'A) Base RI'!U58</f>
        <v>72</v>
      </c>
      <c r="T58" s="2">
        <f t="shared" si="3"/>
        <v>959965.86</v>
      </c>
      <c r="U58" s="2">
        <f t="shared" si="4"/>
        <v>14347.116805555555</v>
      </c>
      <c r="V58" s="10">
        <f>+'A) Base RI'!P58</f>
        <v>0</v>
      </c>
      <c r="W58" s="10">
        <f>+'A) Base RI'!Q58</f>
        <v>70491.199999999997</v>
      </c>
      <c r="X58" s="10">
        <f>+'A) Base RI'!S58</f>
        <v>18136.900000000001</v>
      </c>
      <c r="Y58" s="2">
        <f t="shared" si="5"/>
        <v>88628.1</v>
      </c>
      <c r="Z58" s="10">
        <f>+'A) Base RI'!O58</f>
        <v>2834.85</v>
      </c>
      <c r="AA58" s="10">
        <f>'A) Base RI'!V58</f>
        <v>459</v>
      </c>
    </row>
    <row r="59" spans="1:27" x14ac:dyDescent="0.25">
      <c r="A59" s="8">
        <f>'A) Base RI'!A59</f>
        <v>5488</v>
      </c>
      <c r="B59" s="33" t="str">
        <f>'A) Base RI'!B59</f>
        <v>Mauraz</v>
      </c>
      <c r="C59" s="10">
        <f>'A) Base RI'!C59+'A) Base RI'!D59</f>
        <v>112142.09</v>
      </c>
      <c r="D59" s="10">
        <f>'A) Base RI'!W59</f>
        <v>-17.93</v>
      </c>
      <c r="E59" s="32">
        <f>'A) Base RI'!X59</f>
        <v>0</v>
      </c>
      <c r="F59" s="32">
        <f>'A) Base RI'!Y59</f>
        <v>0</v>
      </c>
      <c r="G59" s="2">
        <f t="shared" si="0"/>
        <v>112124.16</v>
      </c>
      <c r="H59" s="10">
        <f>+'A) Base RI'!E59</f>
        <v>0</v>
      </c>
      <c r="I59" s="10">
        <f>+'A) Base RI'!F59</f>
        <v>0</v>
      </c>
      <c r="J59" s="10">
        <f>+'A) Base RI'!G59+'A) Base RI'!H59+'A) Base RI'!I59</f>
        <v>483.31</v>
      </c>
      <c r="K59" s="10">
        <f>+'A) Base RI'!J59</f>
        <v>0</v>
      </c>
      <c r="L59" s="10">
        <f>+'A) Base RI'!K59</f>
        <v>0</v>
      </c>
      <c r="M59" s="10">
        <f>+'A) Base RI'!L59</f>
        <v>0</v>
      </c>
      <c r="N59" s="10">
        <f>+'A) Base RI'!R59</f>
        <v>0</v>
      </c>
      <c r="O59" s="10">
        <f t="shared" si="1"/>
        <v>8474</v>
      </c>
      <c r="P59" s="10">
        <f>+'A) Base RI'!M59</f>
        <v>8474</v>
      </c>
      <c r="Q59" s="35">
        <f>'A) Base RI'!Z59</f>
        <v>1</v>
      </c>
      <c r="R59" s="2">
        <f t="shared" si="2"/>
        <v>121081.47</v>
      </c>
      <c r="S59" s="34">
        <f>+'A) Base RI'!U59</f>
        <v>74</v>
      </c>
      <c r="T59" s="2">
        <f t="shared" si="3"/>
        <v>112607.47</v>
      </c>
      <c r="U59" s="2">
        <f t="shared" si="4"/>
        <v>1636.236081081081</v>
      </c>
      <c r="V59" s="10">
        <f>+'A) Base RI'!P59</f>
        <v>0</v>
      </c>
      <c r="W59" s="10">
        <f>+'A) Base RI'!Q59</f>
        <v>0</v>
      </c>
      <c r="X59" s="10">
        <f>+'A) Base RI'!S59</f>
        <v>0</v>
      </c>
      <c r="Y59" s="2">
        <f t="shared" si="5"/>
        <v>0</v>
      </c>
      <c r="Z59" s="10">
        <f>+'A) Base RI'!O59</f>
        <v>0</v>
      </c>
      <c r="AA59" s="10">
        <f>'A) Base RI'!V59</f>
        <v>60</v>
      </c>
    </row>
    <row r="60" spans="1:27" x14ac:dyDescent="0.25">
      <c r="A60" s="8">
        <f>'A) Base RI'!A60</f>
        <v>5489</v>
      </c>
      <c r="B60" s="33" t="str">
        <f>'A) Base RI'!B60</f>
        <v>Mex</v>
      </c>
      <c r="C60" s="10">
        <f>'A) Base RI'!C60+'A) Base RI'!D60</f>
        <v>2569110.5300000003</v>
      </c>
      <c r="D60" s="10">
        <f>'A) Base RI'!W60</f>
        <v>-20474.150000000001</v>
      </c>
      <c r="E60" s="32">
        <f>'A) Base RI'!X60</f>
        <v>0</v>
      </c>
      <c r="F60" s="32">
        <f>'A) Base RI'!Y60</f>
        <v>-110.62</v>
      </c>
      <c r="G60" s="2">
        <f t="shared" si="0"/>
        <v>2548525.7600000002</v>
      </c>
      <c r="H60" s="10">
        <f>+'A) Base RI'!E60</f>
        <v>0</v>
      </c>
      <c r="I60" s="10">
        <f>+'A) Base RI'!F60</f>
        <v>0</v>
      </c>
      <c r="J60" s="10">
        <f>+'A) Base RI'!G60+'A) Base RI'!H60+'A) Base RI'!I60</f>
        <v>352707.02999999997</v>
      </c>
      <c r="K60" s="10">
        <f>+'A) Base RI'!J60</f>
        <v>0</v>
      </c>
      <c r="L60" s="10">
        <f>+'A) Base RI'!K60</f>
        <v>39694.85</v>
      </c>
      <c r="M60" s="10">
        <f>+'A) Base RI'!L60</f>
        <v>5861</v>
      </c>
      <c r="N60" s="10">
        <f>+'A) Base RI'!R60</f>
        <v>5985.85</v>
      </c>
      <c r="O60" s="10">
        <f t="shared" si="1"/>
        <v>275851.34999999998</v>
      </c>
      <c r="P60" s="10">
        <f>+'A) Base RI'!M60</f>
        <v>275851.34999999998</v>
      </c>
      <c r="Q60" s="35">
        <f>'A) Base RI'!Z60</f>
        <v>1</v>
      </c>
      <c r="R60" s="2">
        <f t="shared" si="2"/>
        <v>3228625.8400000003</v>
      </c>
      <c r="S60" s="34">
        <f>+'A) Base RI'!U60</f>
        <v>61</v>
      </c>
      <c r="T60" s="2">
        <f t="shared" si="3"/>
        <v>2946913.49</v>
      </c>
      <c r="U60" s="2">
        <f t="shared" si="4"/>
        <v>52928.292459016397</v>
      </c>
      <c r="V60" s="10">
        <f>+'A) Base RI'!P60</f>
        <v>0</v>
      </c>
      <c r="W60" s="10">
        <f>+'A) Base RI'!Q60</f>
        <v>28736.400000000001</v>
      </c>
      <c r="X60" s="10">
        <f>+'A) Base RI'!S60</f>
        <v>168803.9</v>
      </c>
      <c r="Y60" s="2">
        <f t="shared" si="5"/>
        <v>197540.3</v>
      </c>
      <c r="Z60" s="10">
        <f>+'A) Base RI'!O60</f>
        <v>193594.5</v>
      </c>
      <c r="AA60" s="10">
        <f>'A) Base RI'!V60</f>
        <v>718</v>
      </c>
    </row>
    <row r="61" spans="1:27" x14ac:dyDescent="0.25">
      <c r="A61" s="8">
        <f>'A) Base RI'!A61</f>
        <v>5490</v>
      </c>
      <c r="B61" s="33" t="str">
        <f>'A) Base RI'!B61</f>
        <v>Moiry</v>
      </c>
      <c r="C61" s="10">
        <f>'A) Base RI'!C61+'A) Base RI'!D61</f>
        <v>637090.43000000005</v>
      </c>
      <c r="D61" s="10">
        <f>'A) Base RI'!W61</f>
        <v>-20303.77</v>
      </c>
      <c r="E61" s="32">
        <f>'A) Base RI'!X61</f>
        <v>0</v>
      </c>
      <c r="F61" s="32">
        <f>'A) Base RI'!Y61</f>
        <v>-77.66</v>
      </c>
      <c r="G61" s="2">
        <f t="shared" si="0"/>
        <v>616709</v>
      </c>
      <c r="H61" s="10">
        <f>+'A) Base RI'!E61</f>
        <v>0</v>
      </c>
      <c r="I61" s="10">
        <f>+'A) Base RI'!F61</f>
        <v>0</v>
      </c>
      <c r="J61" s="10">
        <f>+'A) Base RI'!G61+'A) Base RI'!H61+'A) Base RI'!I61</f>
        <v>1255.99</v>
      </c>
      <c r="K61" s="10">
        <f>+'A) Base RI'!J61</f>
        <v>0</v>
      </c>
      <c r="L61" s="10">
        <f>+'A) Base RI'!K61</f>
        <v>2489.36</v>
      </c>
      <c r="M61" s="10">
        <f>+'A) Base RI'!L61</f>
        <v>0</v>
      </c>
      <c r="N61" s="10">
        <f>+'A) Base RI'!R61</f>
        <v>0</v>
      </c>
      <c r="O61" s="10">
        <f t="shared" si="1"/>
        <v>41796.449999999997</v>
      </c>
      <c r="P61" s="10">
        <f>+'A) Base RI'!M61</f>
        <v>41796.449999999997</v>
      </c>
      <c r="Q61" s="35">
        <f>'A) Base RI'!Z61</f>
        <v>1</v>
      </c>
      <c r="R61" s="2">
        <f t="shared" si="2"/>
        <v>662250.79999999993</v>
      </c>
      <c r="S61" s="34">
        <f>+'A) Base RI'!U61</f>
        <v>81</v>
      </c>
      <c r="T61" s="2">
        <f t="shared" si="3"/>
        <v>620454.35</v>
      </c>
      <c r="U61" s="2">
        <f t="shared" si="4"/>
        <v>8175.9358024691346</v>
      </c>
      <c r="V61" s="10">
        <f>+'A) Base RI'!P61</f>
        <v>0</v>
      </c>
      <c r="W61" s="10">
        <f>+'A) Base RI'!Q61</f>
        <v>16025.35</v>
      </c>
      <c r="X61" s="10">
        <f>+'A) Base RI'!S61</f>
        <v>-2822.6</v>
      </c>
      <c r="Y61" s="2">
        <f t="shared" si="5"/>
        <v>13202.75</v>
      </c>
      <c r="Z61" s="10">
        <f>+'A) Base RI'!O61</f>
        <v>0</v>
      </c>
      <c r="AA61" s="10">
        <f>'A) Base RI'!V61</f>
        <v>316</v>
      </c>
    </row>
    <row r="62" spans="1:27" x14ac:dyDescent="0.25">
      <c r="A62" s="8">
        <f>'A) Base RI'!A62</f>
        <v>5491</v>
      </c>
      <c r="B62" s="33" t="str">
        <f>'A) Base RI'!B62</f>
        <v>Mont-la-Ville</v>
      </c>
      <c r="C62" s="10">
        <f>'A) Base RI'!C62+'A) Base RI'!D62</f>
        <v>725712.54</v>
      </c>
      <c r="D62" s="10">
        <f>'A) Base RI'!W62</f>
        <v>-9003.11</v>
      </c>
      <c r="E62" s="32">
        <f>'A) Base RI'!X62</f>
        <v>0</v>
      </c>
      <c r="F62" s="32">
        <f>'A) Base RI'!Y62</f>
        <v>0</v>
      </c>
      <c r="G62" s="2">
        <f t="shared" si="0"/>
        <v>716709.43</v>
      </c>
      <c r="H62" s="10">
        <f>+'A) Base RI'!E62</f>
        <v>0</v>
      </c>
      <c r="I62" s="10">
        <f>+'A) Base RI'!F62</f>
        <v>2210</v>
      </c>
      <c r="J62" s="10">
        <f>+'A) Base RI'!G62+'A) Base RI'!H62+'A) Base RI'!I62</f>
        <v>3409.7500000000005</v>
      </c>
      <c r="K62" s="10">
        <f>+'A) Base RI'!J62</f>
        <v>0</v>
      </c>
      <c r="L62" s="10">
        <f>+'A) Base RI'!K62</f>
        <v>10911.39</v>
      </c>
      <c r="M62" s="10">
        <f>+'A) Base RI'!L62</f>
        <v>518.25</v>
      </c>
      <c r="N62" s="10">
        <f>+'A) Base RI'!R62</f>
        <v>270.54000000000002</v>
      </c>
      <c r="O62" s="10">
        <f t="shared" si="1"/>
        <v>67375.850000000006</v>
      </c>
      <c r="P62" s="10">
        <f>+'A) Base RI'!M62</f>
        <v>67375.850000000006</v>
      </c>
      <c r="Q62" s="35">
        <f>'A) Base RI'!Z62</f>
        <v>1</v>
      </c>
      <c r="R62" s="2">
        <f t="shared" si="2"/>
        <v>801405.21000000008</v>
      </c>
      <c r="S62" s="34">
        <f>+'A) Base RI'!U62</f>
        <v>76</v>
      </c>
      <c r="T62" s="2">
        <f t="shared" si="3"/>
        <v>731301.1100000001</v>
      </c>
      <c r="U62" s="2">
        <f t="shared" si="4"/>
        <v>10544.805394736843</v>
      </c>
      <c r="V62" s="10">
        <f>+'A) Base RI'!P62</f>
        <v>0</v>
      </c>
      <c r="W62" s="10">
        <f>+'A) Base RI'!Q62</f>
        <v>33585.199999999997</v>
      </c>
      <c r="X62" s="10">
        <f>+'A) Base RI'!S62</f>
        <v>12264.35</v>
      </c>
      <c r="Y62" s="2">
        <f t="shared" si="5"/>
        <v>45849.549999999996</v>
      </c>
      <c r="Z62" s="10">
        <f>+'A) Base RI'!O62</f>
        <v>2655.6</v>
      </c>
      <c r="AA62" s="10">
        <f>'A) Base RI'!V62</f>
        <v>417</v>
      </c>
    </row>
    <row r="63" spans="1:27" x14ac:dyDescent="0.25">
      <c r="A63" s="8">
        <f>'A) Base RI'!A63</f>
        <v>5492</v>
      </c>
      <c r="B63" s="33" t="str">
        <f>'A) Base RI'!B63</f>
        <v>Montricher</v>
      </c>
      <c r="C63" s="10">
        <f>'A) Base RI'!C63+'A) Base RI'!D63</f>
        <v>13927798.32</v>
      </c>
      <c r="D63" s="10">
        <f>'A) Base RI'!W63</f>
        <v>-24262.1</v>
      </c>
      <c r="E63" s="32">
        <f>'A) Base RI'!X63</f>
        <v>0</v>
      </c>
      <c r="F63" s="32">
        <f>'A) Base RI'!Y63</f>
        <v>-1131.31</v>
      </c>
      <c r="G63" s="2">
        <f t="shared" si="0"/>
        <v>13902404.91</v>
      </c>
      <c r="H63" s="10">
        <f>+'A) Base RI'!E63</f>
        <v>0</v>
      </c>
      <c r="I63" s="10">
        <f>+'A) Base RI'!F63</f>
        <v>0</v>
      </c>
      <c r="J63" s="10">
        <f>+'A) Base RI'!G63+'A) Base RI'!H63+'A) Base RI'!I63</f>
        <v>90261.959999999992</v>
      </c>
      <c r="K63" s="10">
        <f>+'A) Base RI'!J63</f>
        <v>0</v>
      </c>
      <c r="L63" s="10">
        <f>+'A) Base RI'!K63</f>
        <v>26178.76</v>
      </c>
      <c r="M63" s="10">
        <f>+'A) Base RI'!L63</f>
        <v>3439.95</v>
      </c>
      <c r="N63" s="10">
        <f>+'A) Base RI'!R63</f>
        <v>7974.71</v>
      </c>
      <c r="O63" s="10">
        <f t="shared" si="1"/>
        <v>233656.66666666669</v>
      </c>
      <c r="P63" s="10">
        <f>+'A) Base RI'!M63</f>
        <v>70097</v>
      </c>
      <c r="Q63" s="35">
        <f>'A) Base RI'!Z63</f>
        <v>0.3</v>
      </c>
      <c r="R63" s="2">
        <f t="shared" si="2"/>
        <v>14263916.956666667</v>
      </c>
      <c r="S63" s="34">
        <f>+'A) Base RI'!U63</f>
        <v>64</v>
      </c>
      <c r="T63" s="2">
        <f t="shared" si="3"/>
        <v>14026820.340000002</v>
      </c>
      <c r="U63" s="2">
        <f t="shared" si="4"/>
        <v>222873.70244791667</v>
      </c>
      <c r="V63" s="10">
        <f>+'A) Base RI'!P63</f>
        <v>105271.8</v>
      </c>
      <c r="W63" s="10">
        <f>+'A) Base RI'!Q63</f>
        <v>24403.599999999999</v>
      </c>
      <c r="X63" s="10">
        <f>+'A) Base RI'!S63</f>
        <v>31716.75</v>
      </c>
      <c r="Y63" s="2">
        <f t="shared" si="5"/>
        <v>161392.15</v>
      </c>
      <c r="Z63" s="10">
        <f>+'A) Base RI'!O63</f>
        <v>3107.05</v>
      </c>
      <c r="AA63" s="10">
        <f>'A) Base RI'!V63</f>
        <v>986</v>
      </c>
    </row>
    <row r="64" spans="1:27" x14ac:dyDescent="0.25">
      <c r="A64" s="8">
        <f>'A) Base RI'!A64</f>
        <v>5493</v>
      </c>
      <c r="B64" s="33" t="str">
        <f>'A) Base RI'!B64</f>
        <v>Orny</v>
      </c>
      <c r="C64" s="10">
        <f>'A) Base RI'!C64+'A) Base RI'!D64</f>
        <v>624657.44999999995</v>
      </c>
      <c r="D64" s="10">
        <f>'A) Base RI'!W64</f>
        <v>-23831.54</v>
      </c>
      <c r="E64" s="32">
        <f>'A) Base RI'!X64</f>
        <v>0</v>
      </c>
      <c r="F64" s="32">
        <f>'A) Base RI'!Y64</f>
        <v>0</v>
      </c>
      <c r="G64" s="2">
        <f t="shared" si="0"/>
        <v>600825.90999999992</v>
      </c>
      <c r="H64" s="10">
        <f>+'A) Base RI'!E64</f>
        <v>0</v>
      </c>
      <c r="I64" s="10">
        <f>+'A) Base RI'!F64</f>
        <v>0</v>
      </c>
      <c r="J64" s="10">
        <f>+'A) Base RI'!G64+'A) Base RI'!H64+'A) Base RI'!I64</f>
        <v>2945.4799999999996</v>
      </c>
      <c r="K64" s="10">
        <f>+'A) Base RI'!J64</f>
        <v>0</v>
      </c>
      <c r="L64" s="10">
        <f>+'A) Base RI'!K64</f>
        <v>30811.8</v>
      </c>
      <c r="M64" s="10">
        <f>+'A) Base RI'!L64</f>
        <v>133.75</v>
      </c>
      <c r="N64" s="10">
        <f>+'A) Base RI'!R64</f>
        <v>33149.67</v>
      </c>
      <c r="O64" s="10">
        <f t="shared" si="1"/>
        <v>54567.615384615376</v>
      </c>
      <c r="P64" s="10">
        <f>+'A) Base RI'!M64</f>
        <v>35468.949999999997</v>
      </c>
      <c r="Q64" s="35">
        <f>'A) Base RI'!Z64</f>
        <v>0.65</v>
      </c>
      <c r="R64" s="2">
        <f t="shared" si="2"/>
        <v>722434.22538461536</v>
      </c>
      <c r="S64" s="34">
        <f>+'A) Base RI'!U64</f>
        <v>73</v>
      </c>
      <c r="T64" s="2">
        <f t="shared" si="3"/>
        <v>667732.86</v>
      </c>
      <c r="U64" s="2">
        <f t="shared" si="4"/>
        <v>9896.3592518440455</v>
      </c>
      <c r="V64" s="10">
        <f>+'A) Base RI'!P64</f>
        <v>65378.6</v>
      </c>
      <c r="W64" s="10">
        <f>+'A) Base RI'!Q64</f>
        <v>3014</v>
      </c>
      <c r="X64" s="10">
        <f>+'A) Base RI'!S64</f>
        <v>3261.65</v>
      </c>
      <c r="Y64" s="2">
        <f t="shared" si="5"/>
        <v>71654.25</v>
      </c>
      <c r="Z64" s="10">
        <f>+'A) Base RI'!O64</f>
        <v>65376.6</v>
      </c>
      <c r="AA64" s="10">
        <f>'A) Base RI'!V64</f>
        <v>356</v>
      </c>
    </row>
    <row r="65" spans="1:27" x14ac:dyDescent="0.25">
      <c r="A65" s="8">
        <f>'A) Base RI'!A65</f>
        <v>5494</v>
      </c>
      <c r="B65" s="33" t="str">
        <f>'A) Base RI'!B65</f>
        <v>Pampigny</v>
      </c>
      <c r="C65" s="10">
        <f>'A) Base RI'!C65+'A) Base RI'!D65</f>
        <v>2493998.9400000004</v>
      </c>
      <c r="D65" s="10">
        <f>'A) Base RI'!W65</f>
        <v>-52673.67</v>
      </c>
      <c r="E65" s="32">
        <f>'A) Base RI'!X65</f>
        <v>0</v>
      </c>
      <c r="F65" s="32">
        <f>'A) Base RI'!Y65</f>
        <v>-158.27000000000001</v>
      </c>
      <c r="G65" s="2">
        <f t="shared" si="0"/>
        <v>2441167.0000000005</v>
      </c>
      <c r="H65" s="10">
        <f>+'A) Base RI'!E65</f>
        <v>0</v>
      </c>
      <c r="I65" s="10">
        <f>+'A) Base RI'!F65</f>
        <v>0</v>
      </c>
      <c r="J65" s="10">
        <f>+'A) Base RI'!G65+'A) Base RI'!H65+'A) Base RI'!I65</f>
        <v>27597.75</v>
      </c>
      <c r="K65" s="10">
        <f>+'A) Base RI'!J65</f>
        <v>0</v>
      </c>
      <c r="L65" s="10">
        <f>+'A) Base RI'!K65</f>
        <v>76473.31</v>
      </c>
      <c r="M65" s="10">
        <f>+'A) Base RI'!L65</f>
        <v>1185.6500000000001</v>
      </c>
      <c r="N65" s="10">
        <f>+'A) Base RI'!R65</f>
        <v>14133.46</v>
      </c>
      <c r="O65" s="10">
        <f t="shared" si="1"/>
        <v>214321.19047619047</v>
      </c>
      <c r="P65" s="10">
        <f>+'A) Base RI'!M65</f>
        <v>225037.25</v>
      </c>
      <c r="Q65" s="35">
        <f>'A) Base RI'!Z65</f>
        <v>1.05</v>
      </c>
      <c r="R65" s="2">
        <f t="shared" si="2"/>
        <v>2774878.3604761907</v>
      </c>
      <c r="S65" s="34">
        <f>+'A) Base RI'!U65</f>
        <v>75</v>
      </c>
      <c r="T65" s="2">
        <f t="shared" si="3"/>
        <v>2559371.5200000005</v>
      </c>
      <c r="U65" s="2">
        <f t="shared" si="4"/>
        <v>36998.378139682543</v>
      </c>
      <c r="V65" s="10">
        <f>+'A) Base RI'!P65</f>
        <v>0</v>
      </c>
      <c r="W65" s="10">
        <f>+'A) Base RI'!Q65</f>
        <v>33154</v>
      </c>
      <c r="X65" s="10">
        <f>+'A) Base RI'!S65</f>
        <v>3585.65</v>
      </c>
      <c r="Y65" s="2">
        <f t="shared" si="5"/>
        <v>36739.65</v>
      </c>
      <c r="Z65" s="10">
        <f>+'A) Base RI'!O65</f>
        <v>37615.550000000003</v>
      </c>
      <c r="AA65" s="10">
        <f>'A) Base RI'!V65</f>
        <v>1124</v>
      </c>
    </row>
    <row r="66" spans="1:27" x14ac:dyDescent="0.25">
      <c r="A66" s="8">
        <f>'A) Base RI'!A66</f>
        <v>5495</v>
      </c>
      <c r="B66" s="33" t="str">
        <f>'A) Base RI'!B66</f>
        <v>Penthalaz</v>
      </c>
      <c r="C66" s="10">
        <f>'A) Base RI'!C66+'A) Base RI'!D66</f>
        <v>5972795.54</v>
      </c>
      <c r="D66" s="10">
        <f>'A) Base RI'!W66</f>
        <v>-123470.05</v>
      </c>
      <c r="E66" s="32">
        <f>'A) Base RI'!X66</f>
        <v>0</v>
      </c>
      <c r="F66" s="32">
        <f>'A) Base RI'!Y66</f>
        <v>-201.39</v>
      </c>
      <c r="G66" s="2">
        <f t="shared" si="0"/>
        <v>5849124.1000000006</v>
      </c>
      <c r="H66" s="10">
        <f>+'A) Base RI'!E66</f>
        <v>0</v>
      </c>
      <c r="I66" s="10">
        <f>+'A) Base RI'!F66</f>
        <v>0</v>
      </c>
      <c r="J66" s="10">
        <f>+'A) Base RI'!G66+'A) Base RI'!H66+'A) Base RI'!I66</f>
        <v>105242.76</v>
      </c>
      <c r="K66" s="10">
        <f>+'A) Base RI'!J66</f>
        <v>77536.600000000006</v>
      </c>
      <c r="L66" s="10">
        <f>+'A) Base RI'!K66</f>
        <v>214964.94</v>
      </c>
      <c r="M66" s="10">
        <f>+'A) Base RI'!L66</f>
        <v>89743</v>
      </c>
      <c r="N66" s="10">
        <f>+'A) Base RI'!R66</f>
        <v>41109.46</v>
      </c>
      <c r="O66" s="10">
        <f t="shared" si="1"/>
        <v>494298.95</v>
      </c>
      <c r="P66" s="10">
        <f>+'A) Base RI'!M66</f>
        <v>494298.95</v>
      </c>
      <c r="Q66" s="35">
        <f>'A) Base RI'!Z66</f>
        <v>1</v>
      </c>
      <c r="R66" s="2">
        <f t="shared" si="2"/>
        <v>6872019.8100000005</v>
      </c>
      <c r="S66" s="34">
        <f>+'A) Base RI'!U66</f>
        <v>74</v>
      </c>
      <c r="T66" s="2">
        <f t="shared" si="3"/>
        <v>6287977.8600000003</v>
      </c>
      <c r="U66" s="2">
        <f t="shared" si="4"/>
        <v>92865.132567567576</v>
      </c>
      <c r="V66" s="10">
        <f>+'A) Base RI'!P66</f>
        <v>159664.35</v>
      </c>
      <c r="W66" s="10">
        <f>+'A) Base RI'!Q66</f>
        <v>323392.75</v>
      </c>
      <c r="X66" s="10">
        <f>+'A) Base RI'!S66</f>
        <v>170764.65</v>
      </c>
      <c r="Y66" s="2">
        <f t="shared" si="5"/>
        <v>653821.75</v>
      </c>
      <c r="Z66" s="10">
        <f>+'A) Base RI'!O66</f>
        <v>175056.8</v>
      </c>
      <c r="AA66" s="10">
        <f>'A) Base RI'!V66</f>
        <v>3282</v>
      </c>
    </row>
    <row r="67" spans="1:27" x14ac:dyDescent="0.25">
      <c r="A67" s="8">
        <f>'A) Base RI'!A67</f>
        <v>5496</v>
      </c>
      <c r="B67" s="33" t="str">
        <f>'A) Base RI'!B67</f>
        <v>Penthaz</v>
      </c>
      <c r="C67" s="10">
        <f>'A) Base RI'!C67+'A) Base RI'!D67</f>
        <v>3480893.07</v>
      </c>
      <c r="D67" s="10">
        <f>'A) Base RI'!W67</f>
        <v>-66456.3</v>
      </c>
      <c r="E67" s="32">
        <f>'A) Base RI'!X67</f>
        <v>0</v>
      </c>
      <c r="F67" s="32">
        <f>'A) Base RI'!Y67</f>
        <v>-361.15</v>
      </c>
      <c r="G67" s="2">
        <f t="shared" si="0"/>
        <v>3414075.62</v>
      </c>
      <c r="H67" s="10">
        <f>+'A) Base RI'!E67</f>
        <v>0</v>
      </c>
      <c r="I67" s="10">
        <f>+'A) Base RI'!F67</f>
        <v>0</v>
      </c>
      <c r="J67" s="10">
        <f>+'A) Base RI'!G67+'A) Base RI'!H67+'A) Base RI'!I67</f>
        <v>100273.74000000002</v>
      </c>
      <c r="K67" s="10">
        <f>+'A) Base RI'!J67</f>
        <v>0</v>
      </c>
      <c r="L67" s="10">
        <f>+'A) Base RI'!K67</f>
        <v>67680.22</v>
      </c>
      <c r="M67" s="10">
        <f>+'A) Base RI'!L67</f>
        <v>14584.2</v>
      </c>
      <c r="N67" s="10">
        <f>+'A) Base RI'!R67</f>
        <v>1882.93</v>
      </c>
      <c r="O67" s="10">
        <f t="shared" si="1"/>
        <v>294067.7</v>
      </c>
      <c r="P67" s="10">
        <f>+'A) Base RI'!M67</f>
        <v>294067.7</v>
      </c>
      <c r="Q67" s="35">
        <f>'A) Base RI'!Z67</f>
        <v>1</v>
      </c>
      <c r="R67" s="2">
        <f t="shared" si="2"/>
        <v>3892564.4100000011</v>
      </c>
      <c r="S67" s="34">
        <f>+'A) Base RI'!U67</f>
        <v>71</v>
      </c>
      <c r="T67" s="2">
        <f t="shared" si="3"/>
        <v>3583912.5100000007</v>
      </c>
      <c r="U67" s="2">
        <f t="shared" si="4"/>
        <v>54824.850845070439</v>
      </c>
      <c r="V67" s="10">
        <f>+'A) Base RI'!P67</f>
        <v>0</v>
      </c>
      <c r="W67" s="10">
        <f>+'A) Base RI'!Q67</f>
        <v>169655.55</v>
      </c>
      <c r="X67" s="10">
        <f>+'A) Base RI'!S67</f>
        <v>62488.3</v>
      </c>
      <c r="Y67" s="2">
        <f t="shared" si="5"/>
        <v>232143.84999999998</v>
      </c>
      <c r="Z67" s="10">
        <f>+'A) Base RI'!O67</f>
        <v>97292.1</v>
      </c>
      <c r="AA67" s="10">
        <f>'A) Base RI'!V67</f>
        <v>1726</v>
      </c>
    </row>
    <row r="68" spans="1:27" x14ac:dyDescent="0.25">
      <c r="A68" s="8">
        <f>'A) Base RI'!A68</f>
        <v>5497</v>
      </c>
      <c r="B68" s="33" t="str">
        <f>'A) Base RI'!B68</f>
        <v>Pompaples</v>
      </c>
      <c r="C68" s="10">
        <f>'A) Base RI'!C68+'A) Base RI'!D68</f>
        <v>1264856.72</v>
      </c>
      <c r="D68" s="10">
        <f>'A) Base RI'!W68</f>
        <v>-16392.759999999998</v>
      </c>
      <c r="E68" s="32">
        <f>'A) Base RI'!X68</f>
        <v>0</v>
      </c>
      <c r="F68" s="32">
        <f>'A) Base RI'!Y68</f>
        <v>-3.03</v>
      </c>
      <c r="G68" s="2">
        <f t="shared" si="0"/>
        <v>1248460.93</v>
      </c>
      <c r="H68" s="10">
        <f>+'A) Base RI'!E68</f>
        <v>0</v>
      </c>
      <c r="I68" s="10">
        <f>+'A) Base RI'!F68</f>
        <v>0</v>
      </c>
      <c r="J68" s="10">
        <f>+'A) Base RI'!G68+'A) Base RI'!H68+'A) Base RI'!I68</f>
        <v>5759.72</v>
      </c>
      <c r="K68" s="10">
        <f>+'A) Base RI'!J68</f>
        <v>0</v>
      </c>
      <c r="L68" s="10">
        <f>+'A) Base RI'!K68</f>
        <v>61393.86</v>
      </c>
      <c r="M68" s="10">
        <f>+'A) Base RI'!L68</f>
        <v>3137</v>
      </c>
      <c r="N68" s="10">
        <f>+'A) Base RI'!R68</f>
        <v>1962.3</v>
      </c>
      <c r="O68" s="10">
        <f t="shared" si="1"/>
        <v>112734.1</v>
      </c>
      <c r="P68" s="10">
        <f>+'A) Base RI'!M68</f>
        <v>112734.1</v>
      </c>
      <c r="Q68" s="35">
        <f>'A) Base RI'!Z68</f>
        <v>1</v>
      </c>
      <c r="R68" s="2">
        <f t="shared" si="2"/>
        <v>1433447.9100000001</v>
      </c>
      <c r="S68" s="34">
        <f>+'A) Base RI'!U68</f>
        <v>66</v>
      </c>
      <c r="T68" s="2">
        <f t="shared" si="3"/>
        <v>1317576.81</v>
      </c>
      <c r="U68" s="2">
        <f t="shared" si="4"/>
        <v>21718.90772727273</v>
      </c>
      <c r="V68" s="10">
        <f>+'A) Base RI'!P68</f>
        <v>219813.1</v>
      </c>
      <c r="W68" s="10">
        <f>+'A) Base RI'!Q68</f>
        <v>102092.1</v>
      </c>
      <c r="X68" s="10">
        <f>+'A) Base RI'!S68</f>
        <v>36343.199999999997</v>
      </c>
      <c r="Y68" s="2">
        <f t="shared" si="5"/>
        <v>358248.4</v>
      </c>
      <c r="Z68" s="10">
        <f>+'A) Base RI'!O68</f>
        <v>241839.6</v>
      </c>
      <c r="AA68" s="10">
        <f>'A) Base RI'!V68</f>
        <v>854</v>
      </c>
    </row>
    <row r="69" spans="1:27" x14ac:dyDescent="0.25">
      <c r="A69" s="8">
        <f>'A) Base RI'!A69</f>
        <v>5498</v>
      </c>
      <c r="B69" s="33" t="str">
        <f>'A) Base RI'!B69</f>
        <v>La Sarraz</v>
      </c>
      <c r="C69" s="10">
        <f>'A) Base RI'!C69+'A) Base RI'!D69</f>
        <v>4174714.6399999997</v>
      </c>
      <c r="D69" s="10">
        <f>'A) Base RI'!W69</f>
        <v>-144753.57</v>
      </c>
      <c r="E69" s="32">
        <f>'A) Base RI'!X69</f>
        <v>0</v>
      </c>
      <c r="F69" s="32">
        <f>'A) Base RI'!Y69</f>
        <v>-118.26</v>
      </c>
      <c r="G69" s="2">
        <f t="shared" si="0"/>
        <v>4029842.81</v>
      </c>
      <c r="H69" s="10">
        <f>+'A) Base RI'!E69</f>
        <v>0</v>
      </c>
      <c r="I69" s="10">
        <f>+'A) Base RI'!F69</f>
        <v>0</v>
      </c>
      <c r="J69" s="10">
        <f>+'A) Base RI'!G69+'A) Base RI'!H69+'A) Base RI'!I69</f>
        <v>98863.77</v>
      </c>
      <c r="K69" s="10">
        <f>+'A) Base RI'!J69</f>
        <v>0</v>
      </c>
      <c r="L69" s="10">
        <f>+'A) Base RI'!K69</f>
        <v>97882.77</v>
      </c>
      <c r="M69" s="10">
        <f>+'A) Base RI'!L69</f>
        <v>11990.15</v>
      </c>
      <c r="N69" s="10">
        <f>+'A) Base RI'!R69</f>
        <v>60865.43</v>
      </c>
      <c r="O69" s="10">
        <f t="shared" si="1"/>
        <v>380916.05</v>
      </c>
      <c r="P69" s="10">
        <f>+'A) Base RI'!M69</f>
        <v>380916.05</v>
      </c>
      <c r="Q69" s="35">
        <f>'A) Base RI'!Z69</f>
        <v>1</v>
      </c>
      <c r="R69" s="2">
        <f t="shared" si="2"/>
        <v>4680360.9799999995</v>
      </c>
      <c r="S69" s="34">
        <f>+'A) Base RI'!U69</f>
        <v>66</v>
      </c>
      <c r="T69" s="2">
        <f t="shared" si="3"/>
        <v>4287454.7799999993</v>
      </c>
      <c r="U69" s="2">
        <f t="shared" si="4"/>
        <v>70914.560303030303</v>
      </c>
      <c r="V69" s="10">
        <f>+'A) Base RI'!P69</f>
        <v>493460.3</v>
      </c>
      <c r="W69" s="10">
        <f>+'A) Base RI'!Q69</f>
        <v>226173.75</v>
      </c>
      <c r="X69" s="10">
        <f>+'A) Base RI'!S69</f>
        <v>103377.75</v>
      </c>
      <c r="Y69" s="2">
        <f t="shared" si="5"/>
        <v>823011.8</v>
      </c>
      <c r="Z69" s="10">
        <f>+'A) Base RI'!O69</f>
        <v>66652.55</v>
      </c>
      <c r="AA69" s="10">
        <f>'A) Base RI'!V69</f>
        <v>2609</v>
      </c>
    </row>
    <row r="70" spans="1:27" x14ac:dyDescent="0.25">
      <c r="A70" s="8">
        <f>'A) Base RI'!A70</f>
        <v>5499</v>
      </c>
      <c r="B70" s="33" t="str">
        <f>'A) Base RI'!B70</f>
        <v>Senarclens</v>
      </c>
      <c r="C70" s="10">
        <f>'A) Base RI'!C70+'A) Base RI'!D70</f>
        <v>1249031.04</v>
      </c>
      <c r="D70" s="10">
        <f>'A) Base RI'!W70</f>
        <v>-731.73</v>
      </c>
      <c r="E70" s="32">
        <f>'A) Base RI'!X70</f>
        <v>0</v>
      </c>
      <c r="F70" s="32">
        <f>'A) Base RI'!Y70</f>
        <v>-187.15</v>
      </c>
      <c r="G70" s="2">
        <f t="shared" si="0"/>
        <v>1248112.1600000001</v>
      </c>
      <c r="H70" s="10">
        <f>+'A) Base RI'!E70</f>
        <v>0</v>
      </c>
      <c r="I70" s="10">
        <f>+'A) Base RI'!F70</f>
        <v>0</v>
      </c>
      <c r="J70" s="10">
        <f>+'A) Base RI'!G70+'A) Base RI'!H70+'A) Base RI'!I70</f>
        <v>13001.48</v>
      </c>
      <c r="K70" s="10">
        <f>+'A) Base RI'!J70</f>
        <v>0</v>
      </c>
      <c r="L70" s="10">
        <f>+'A) Base RI'!K70</f>
        <v>29859.84</v>
      </c>
      <c r="M70" s="10">
        <f>+'A) Base RI'!L70</f>
        <v>0</v>
      </c>
      <c r="N70" s="10">
        <f>+'A) Base RI'!R70</f>
        <v>628.92999999999995</v>
      </c>
      <c r="O70" s="10">
        <f t="shared" si="1"/>
        <v>89021.8</v>
      </c>
      <c r="P70" s="10">
        <f>+'A) Base RI'!M70</f>
        <v>89021.8</v>
      </c>
      <c r="Q70" s="35">
        <f>'A) Base RI'!Z70</f>
        <v>1</v>
      </c>
      <c r="R70" s="2">
        <f t="shared" si="2"/>
        <v>1380624.2100000002</v>
      </c>
      <c r="S70" s="34">
        <f>+'A) Base RI'!U70</f>
        <v>68.5</v>
      </c>
      <c r="T70" s="2">
        <f t="shared" si="3"/>
        <v>1291602.4100000001</v>
      </c>
      <c r="U70" s="2">
        <f t="shared" si="4"/>
        <v>20155.097956204383</v>
      </c>
      <c r="V70" s="10">
        <f>+'A) Base RI'!P70</f>
        <v>219402.3</v>
      </c>
      <c r="W70" s="10">
        <f>+'A) Base RI'!Q70</f>
        <v>91685</v>
      </c>
      <c r="X70" s="10">
        <f>+'A) Base RI'!S70</f>
        <v>33533.300000000003</v>
      </c>
      <c r="Y70" s="2">
        <f t="shared" si="5"/>
        <v>344620.6</v>
      </c>
      <c r="Z70" s="10">
        <f>+'A) Base RI'!O70</f>
        <v>17109.55</v>
      </c>
      <c r="AA70" s="10">
        <f>'A) Base RI'!V70</f>
        <v>505</v>
      </c>
    </row>
    <row r="71" spans="1:27" x14ac:dyDescent="0.25">
      <c r="A71" s="8">
        <f>'A) Base RI'!A71</f>
        <v>5500</v>
      </c>
      <c r="B71" s="33" t="str">
        <f>'A) Base RI'!B71</f>
        <v>Sévery</v>
      </c>
      <c r="C71" s="10">
        <f>'A) Base RI'!C71+'A) Base RI'!D71</f>
        <v>625187.02</v>
      </c>
      <c r="D71" s="10">
        <f>'A) Base RI'!W71</f>
        <v>-3626.87</v>
      </c>
      <c r="E71" s="32">
        <f>'A) Base RI'!X71</f>
        <v>0</v>
      </c>
      <c r="F71" s="32">
        <f>'A) Base RI'!Y71</f>
        <v>-2785.17</v>
      </c>
      <c r="G71" s="2">
        <f t="shared" si="0"/>
        <v>618774.98</v>
      </c>
      <c r="H71" s="10">
        <f>+'A) Base RI'!E71</f>
        <v>0</v>
      </c>
      <c r="I71" s="10">
        <f>+'A) Base RI'!F71</f>
        <v>0</v>
      </c>
      <c r="J71" s="10">
        <f>+'A) Base RI'!G71+'A) Base RI'!H71+'A) Base RI'!I71</f>
        <v>3527.62</v>
      </c>
      <c r="K71" s="10">
        <f>+'A) Base RI'!J71</f>
        <v>0</v>
      </c>
      <c r="L71" s="10">
        <f>+'A) Base RI'!K71</f>
        <v>1890.95</v>
      </c>
      <c r="M71" s="10">
        <f>+'A) Base RI'!L71</f>
        <v>153.94999999999999</v>
      </c>
      <c r="N71" s="10">
        <f>+'A) Base RI'!R71</f>
        <v>5209.04</v>
      </c>
      <c r="O71" s="10">
        <f t="shared" si="1"/>
        <v>40254.416666666672</v>
      </c>
      <c r="P71" s="10">
        <f>+'A) Base RI'!M71</f>
        <v>48305.3</v>
      </c>
      <c r="Q71" s="35">
        <f>'A) Base RI'!Z71</f>
        <v>1.2</v>
      </c>
      <c r="R71" s="2">
        <f t="shared" si="2"/>
        <v>669810.95666666655</v>
      </c>
      <c r="S71" s="34">
        <f>+'A) Base RI'!U71</f>
        <v>75</v>
      </c>
      <c r="T71" s="2">
        <f t="shared" si="3"/>
        <v>629402.59</v>
      </c>
      <c r="U71" s="2">
        <f t="shared" si="4"/>
        <v>8930.8127555555548</v>
      </c>
      <c r="V71" s="10">
        <f>+'A) Base RI'!P71</f>
        <v>0</v>
      </c>
      <c r="W71" s="10">
        <f>+'A) Base RI'!Q71</f>
        <v>20207</v>
      </c>
      <c r="X71" s="10">
        <f>+'A) Base RI'!S71</f>
        <v>10649.25</v>
      </c>
      <c r="Y71" s="2">
        <f t="shared" si="5"/>
        <v>30856.25</v>
      </c>
      <c r="Z71" s="10">
        <f>+'A) Base RI'!O71</f>
        <v>3276.4</v>
      </c>
      <c r="AA71" s="10">
        <f>'A) Base RI'!V71</f>
        <v>233</v>
      </c>
    </row>
    <row r="72" spans="1:27" x14ac:dyDescent="0.25">
      <c r="A72" s="8">
        <f>'A) Base RI'!A72</f>
        <v>5501</v>
      </c>
      <c r="B72" s="33" t="str">
        <f>'A) Base RI'!B72</f>
        <v>Sullens</v>
      </c>
      <c r="C72" s="10">
        <f>'A) Base RI'!C72+'A) Base RI'!D72</f>
        <v>2089289.9200000002</v>
      </c>
      <c r="D72" s="10">
        <f>'A) Base RI'!W72</f>
        <v>-13526.11</v>
      </c>
      <c r="E72" s="32">
        <f>'A) Base RI'!X72</f>
        <v>0</v>
      </c>
      <c r="F72" s="32">
        <f>'A) Base RI'!Y72</f>
        <v>-738.64</v>
      </c>
      <c r="G72" s="2">
        <f t="shared" ref="G72:G135" si="6">SUM(C72:F72)</f>
        <v>2075025.1700000002</v>
      </c>
      <c r="H72" s="10">
        <f>+'A) Base RI'!E72</f>
        <v>0</v>
      </c>
      <c r="I72" s="10">
        <f>+'A) Base RI'!F72</f>
        <v>0</v>
      </c>
      <c r="J72" s="10">
        <f>+'A) Base RI'!G72+'A) Base RI'!H72+'A) Base RI'!I72</f>
        <v>28734.04</v>
      </c>
      <c r="K72" s="10">
        <f>+'A) Base RI'!J72</f>
        <v>38474.65</v>
      </c>
      <c r="L72" s="10">
        <f>+'A) Base RI'!K72</f>
        <v>46297.19</v>
      </c>
      <c r="M72" s="10">
        <f>+'A) Base RI'!L72</f>
        <v>0</v>
      </c>
      <c r="N72" s="10">
        <f>+'A) Base RI'!R72</f>
        <v>-1881.88</v>
      </c>
      <c r="O72" s="10">
        <f t="shared" ref="O72:O135" si="7">(P72/Q72)*1</f>
        <v>209166.45</v>
      </c>
      <c r="P72" s="10">
        <f>+'A) Base RI'!M72</f>
        <v>209166.45</v>
      </c>
      <c r="Q72" s="35">
        <f>'A) Base RI'!Z72</f>
        <v>1</v>
      </c>
      <c r="R72" s="2">
        <f t="shared" ref="R72:R135" si="8">SUM(G72:O72)</f>
        <v>2395815.62</v>
      </c>
      <c r="S72" s="34">
        <f>+'A) Base RI'!U72</f>
        <v>70</v>
      </c>
      <c r="T72" s="2">
        <f t="shared" ref="T72:T135" si="9">(G72+H72+J72+K72+L72+N72)</f>
        <v>2186649.17</v>
      </c>
      <c r="U72" s="2">
        <f t="shared" ref="U72:U135" si="10">R72/S72</f>
        <v>34225.937428571429</v>
      </c>
      <c r="V72" s="10">
        <f>+'A) Base RI'!P72</f>
        <v>19752.2</v>
      </c>
      <c r="W72" s="10">
        <f>+'A) Base RI'!Q72</f>
        <v>72985</v>
      </c>
      <c r="X72" s="10">
        <f>+'A) Base RI'!S72</f>
        <v>88206.85</v>
      </c>
      <c r="Y72" s="2">
        <f t="shared" ref="Y72:Y135" si="11">SUM(V72:X72)</f>
        <v>180944.05</v>
      </c>
      <c r="Z72" s="10">
        <f>+'A) Base RI'!O72</f>
        <v>62.3</v>
      </c>
      <c r="AA72" s="10">
        <f>'A) Base RI'!V72</f>
        <v>1005</v>
      </c>
    </row>
    <row r="73" spans="1:27" x14ac:dyDescent="0.25">
      <c r="A73" s="8">
        <f>'A) Base RI'!A73</f>
        <v>5503</v>
      </c>
      <c r="B73" s="33" t="str">
        <f>'A) Base RI'!B73</f>
        <v>Vufflens-la-Ville</v>
      </c>
      <c r="C73" s="10">
        <f>'A) Base RI'!C73+'A) Base RI'!D73</f>
        <v>3455208.1</v>
      </c>
      <c r="D73" s="10">
        <f>'A) Base RI'!W73</f>
        <v>-2473.87</v>
      </c>
      <c r="E73" s="32">
        <f>'A) Base RI'!X73</f>
        <v>0</v>
      </c>
      <c r="F73" s="32">
        <f>'A) Base RI'!Y73</f>
        <v>-148.18</v>
      </c>
      <c r="G73" s="2">
        <f t="shared" si="6"/>
        <v>3452586.05</v>
      </c>
      <c r="H73" s="10">
        <f>+'A) Base RI'!E73</f>
        <v>0</v>
      </c>
      <c r="I73" s="10">
        <f>+'A) Base RI'!F73</f>
        <v>0</v>
      </c>
      <c r="J73" s="10">
        <f>+'A) Base RI'!G73+'A) Base RI'!H73+'A) Base RI'!I73</f>
        <v>401550.67000000004</v>
      </c>
      <c r="K73" s="10">
        <f>+'A) Base RI'!J73</f>
        <v>0</v>
      </c>
      <c r="L73" s="10">
        <f>+'A) Base RI'!K73</f>
        <v>128569.27</v>
      </c>
      <c r="M73" s="10">
        <f>+'A) Base RI'!L73</f>
        <v>-6136.15</v>
      </c>
      <c r="N73" s="10">
        <f>+'A) Base RI'!R73</f>
        <v>13016.97</v>
      </c>
      <c r="O73" s="10">
        <f t="shared" si="7"/>
        <v>332998.08333333337</v>
      </c>
      <c r="P73" s="10">
        <f>+'A) Base RI'!M73</f>
        <v>399597.7</v>
      </c>
      <c r="Q73" s="35">
        <f>'A) Base RI'!Z73</f>
        <v>1.2</v>
      </c>
      <c r="R73" s="2">
        <f t="shared" si="8"/>
        <v>4322584.8933333335</v>
      </c>
      <c r="S73" s="34">
        <f>+'A) Base RI'!U73</f>
        <v>67</v>
      </c>
      <c r="T73" s="2">
        <f t="shared" si="9"/>
        <v>3995722.96</v>
      </c>
      <c r="U73" s="2">
        <f t="shared" si="10"/>
        <v>64516.192437810947</v>
      </c>
      <c r="V73" s="10">
        <f>+'A) Base RI'!P73</f>
        <v>3019</v>
      </c>
      <c r="W73" s="10">
        <f>+'A) Base RI'!Q73</f>
        <v>77268.3</v>
      </c>
      <c r="X73" s="10">
        <f>+'A) Base RI'!S73</f>
        <v>144206.95000000001</v>
      </c>
      <c r="Y73" s="2">
        <f t="shared" si="11"/>
        <v>224494.25</v>
      </c>
      <c r="Z73" s="10">
        <f>+'A) Base RI'!O73</f>
        <v>101099.1</v>
      </c>
      <c r="AA73" s="10">
        <f>'A) Base RI'!V73</f>
        <v>1284</v>
      </c>
    </row>
    <row r="74" spans="1:27" x14ac:dyDescent="0.25">
      <c r="A74" s="8">
        <f>'A) Base RI'!A74</f>
        <v>5511</v>
      </c>
      <c r="B74" s="33" t="str">
        <f>'A) Base RI'!B74</f>
        <v>Assens</v>
      </c>
      <c r="C74" s="10">
        <f>'A) Base RI'!C74+'A) Base RI'!D74</f>
        <v>2978705.41</v>
      </c>
      <c r="D74" s="10">
        <f>'A) Base RI'!W74</f>
        <v>-27752.29</v>
      </c>
      <c r="E74" s="32">
        <f>'A) Base RI'!X74</f>
        <v>0</v>
      </c>
      <c r="F74" s="32">
        <f>'A) Base RI'!Y74</f>
        <v>-10194.09</v>
      </c>
      <c r="G74" s="2">
        <f t="shared" si="6"/>
        <v>2940759.0300000003</v>
      </c>
      <c r="H74" s="10">
        <f>+'A) Base RI'!E74</f>
        <v>0</v>
      </c>
      <c r="I74" s="10">
        <f>+'A) Base RI'!F74</f>
        <v>0</v>
      </c>
      <c r="J74" s="10">
        <f>+'A) Base RI'!G74+'A) Base RI'!H74+'A) Base RI'!I74</f>
        <v>185313.02999999997</v>
      </c>
      <c r="K74" s="10">
        <f>+'A) Base RI'!J74</f>
        <v>0</v>
      </c>
      <c r="L74" s="10">
        <f>+'A) Base RI'!K74</f>
        <v>16704.32</v>
      </c>
      <c r="M74" s="10">
        <f>+'A) Base RI'!L74</f>
        <v>775.3</v>
      </c>
      <c r="N74" s="10">
        <f>+'A) Base RI'!R74</f>
        <v>0</v>
      </c>
      <c r="O74" s="10">
        <f t="shared" si="7"/>
        <v>222168.85</v>
      </c>
      <c r="P74" s="10">
        <f>+'A) Base RI'!M74</f>
        <v>222168.85</v>
      </c>
      <c r="Q74" s="35">
        <f>'A) Base RI'!Z74</f>
        <v>1</v>
      </c>
      <c r="R74" s="2">
        <f t="shared" si="8"/>
        <v>3365720.53</v>
      </c>
      <c r="S74" s="34">
        <f>+'A) Base RI'!U74</f>
        <v>70</v>
      </c>
      <c r="T74" s="2">
        <f t="shared" si="9"/>
        <v>3142776.38</v>
      </c>
      <c r="U74" s="2">
        <f t="shared" si="10"/>
        <v>48081.721857142853</v>
      </c>
      <c r="V74" s="10">
        <f>+'A) Base RI'!P74</f>
        <v>0</v>
      </c>
      <c r="W74" s="10">
        <f>+'A) Base RI'!Q74</f>
        <v>54389.5</v>
      </c>
      <c r="X74" s="10">
        <f>+'A) Base RI'!S74</f>
        <v>25055.599999999999</v>
      </c>
      <c r="Y74" s="2">
        <f t="shared" si="11"/>
        <v>79445.100000000006</v>
      </c>
      <c r="Z74" s="10">
        <f>+'A) Base RI'!O74</f>
        <v>15581.15</v>
      </c>
      <c r="AA74" s="10">
        <f>'A) Base RI'!V74</f>
        <v>1070</v>
      </c>
    </row>
    <row r="75" spans="1:27" x14ac:dyDescent="0.25">
      <c r="A75" s="8">
        <f>'A) Base RI'!A75</f>
        <v>5512</v>
      </c>
      <c r="B75" s="33" t="str">
        <f>'A) Base RI'!B75</f>
        <v>Bercher</v>
      </c>
      <c r="C75" s="10">
        <f>'A) Base RI'!C75+'A) Base RI'!D75</f>
        <v>2628576.23</v>
      </c>
      <c r="D75" s="10">
        <f>'A) Base RI'!W75</f>
        <v>-41053.599999999999</v>
      </c>
      <c r="E75" s="32">
        <f>'A) Base RI'!X75</f>
        <v>0</v>
      </c>
      <c r="F75" s="32">
        <f>'A) Base RI'!Y75</f>
        <v>-103.69</v>
      </c>
      <c r="G75" s="2">
        <f t="shared" si="6"/>
        <v>2587418.94</v>
      </c>
      <c r="H75" s="10">
        <f>+'A) Base RI'!E75</f>
        <v>0</v>
      </c>
      <c r="I75" s="10">
        <f>+'A) Base RI'!F75</f>
        <v>0</v>
      </c>
      <c r="J75" s="10">
        <f>+'A) Base RI'!G75+'A) Base RI'!H75+'A) Base RI'!I75</f>
        <v>67181.13</v>
      </c>
      <c r="K75" s="10">
        <f>+'A) Base RI'!J75</f>
        <v>0</v>
      </c>
      <c r="L75" s="10">
        <f>+'A) Base RI'!K75</f>
        <v>66454.080000000002</v>
      </c>
      <c r="M75" s="10">
        <f>+'A) Base RI'!L75</f>
        <v>-21.6999999999998</v>
      </c>
      <c r="N75" s="10">
        <f>+'A) Base RI'!R75</f>
        <v>14432.19</v>
      </c>
      <c r="O75" s="10">
        <f t="shared" si="7"/>
        <v>229385.05</v>
      </c>
      <c r="P75" s="10">
        <f>+'A) Base RI'!M75</f>
        <v>229385.05</v>
      </c>
      <c r="Q75" s="35">
        <f>'A) Base RI'!Z75</f>
        <v>1</v>
      </c>
      <c r="R75" s="2">
        <f t="shared" si="8"/>
        <v>2964849.6899999995</v>
      </c>
      <c r="S75" s="34">
        <f>+'A) Base RI'!U75</f>
        <v>79</v>
      </c>
      <c r="T75" s="2">
        <f t="shared" si="9"/>
        <v>2735486.34</v>
      </c>
      <c r="U75" s="2">
        <f t="shared" si="10"/>
        <v>37529.742911392401</v>
      </c>
      <c r="V75" s="10">
        <f>+'A) Base RI'!P75</f>
        <v>82469.5</v>
      </c>
      <c r="W75" s="10">
        <f>+'A) Base RI'!Q75</f>
        <v>78988.850000000006</v>
      </c>
      <c r="X75" s="10">
        <f>+'A) Base RI'!S75</f>
        <v>63480.2</v>
      </c>
      <c r="Y75" s="2">
        <f t="shared" si="11"/>
        <v>224938.55</v>
      </c>
      <c r="Z75" s="10">
        <f>+'A) Base RI'!O75</f>
        <v>24678.6</v>
      </c>
      <c r="AA75" s="10">
        <f>'A) Base RI'!V75</f>
        <v>1221</v>
      </c>
    </row>
    <row r="76" spans="1:27" x14ac:dyDescent="0.25">
      <c r="A76" s="8">
        <f>'A) Base RI'!A76</f>
        <v>5513</v>
      </c>
      <c r="B76" s="33" t="str">
        <f>'A) Base RI'!B76</f>
        <v>Bioley-Orjulaz</v>
      </c>
      <c r="C76" s="10">
        <f>'A) Base RI'!C76+'A) Base RI'!D76</f>
        <v>970176.98</v>
      </c>
      <c r="D76" s="10">
        <f>'A) Base RI'!W76</f>
        <v>-2253.0100000000002</v>
      </c>
      <c r="E76" s="32">
        <f>'A) Base RI'!X76</f>
        <v>0</v>
      </c>
      <c r="F76" s="32">
        <f>'A) Base RI'!Y76</f>
        <v>-0.03</v>
      </c>
      <c r="G76" s="2">
        <f t="shared" si="6"/>
        <v>967923.94</v>
      </c>
      <c r="H76" s="10">
        <f>+'A) Base RI'!E76</f>
        <v>0</v>
      </c>
      <c r="I76" s="10">
        <f>+'A) Base RI'!F76</f>
        <v>0</v>
      </c>
      <c r="J76" s="10">
        <f>+'A) Base RI'!G76+'A) Base RI'!H76+'A) Base RI'!I76</f>
        <v>299006.73</v>
      </c>
      <c r="K76" s="10">
        <f>+'A) Base RI'!J76</f>
        <v>0</v>
      </c>
      <c r="L76" s="10">
        <f>+'A) Base RI'!K76</f>
        <v>57238.25</v>
      </c>
      <c r="M76" s="10">
        <f>+'A) Base RI'!L76</f>
        <v>367</v>
      </c>
      <c r="N76" s="10">
        <f>+'A) Base RI'!R76</f>
        <v>2822.24</v>
      </c>
      <c r="O76" s="10">
        <f t="shared" si="7"/>
        <v>103742.39999999999</v>
      </c>
      <c r="P76" s="10">
        <f>+'A) Base RI'!M76</f>
        <v>51871.199999999997</v>
      </c>
      <c r="Q76" s="35">
        <f>'A) Base RI'!Z76</f>
        <v>0.5</v>
      </c>
      <c r="R76" s="2">
        <f t="shared" si="8"/>
        <v>1431100.5599999998</v>
      </c>
      <c r="S76" s="34">
        <f>+'A) Base RI'!U76</f>
        <v>68</v>
      </c>
      <c r="T76" s="2">
        <f t="shared" si="9"/>
        <v>1326991.1599999999</v>
      </c>
      <c r="U76" s="2">
        <f t="shared" si="10"/>
        <v>21045.596470588232</v>
      </c>
      <c r="V76" s="10">
        <f>+'A) Base RI'!P76</f>
        <v>266532.7</v>
      </c>
      <c r="W76" s="10">
        <f>+'A) Base RI'!Q76</f>
        <v>69124</v>
      </c>
      <c r="X76" s="10">
        <f>+'A) Base RI'!S76</f>
        <v>35135.85</v>
      </c>
      <c r="Y76" s="2">
        <f t="shared" si="11"/>
        <v>370792.55</v>
      </c>
      <c r="Z76" s="10">
        <f>+'A) Base RI'!O76</f>
        <v>94419.55</v>
      </c>
      <c r="AA76" s="10">
        <f>'A) Base RI'!V76</f>
        <v>499</v>
      </c>
    </row>
    <row r="77" spans="1:27" x14ac:dyDescent="0.25">
      <c r="A77" s="8">
        <f>'A) Base RI'!A77</f>
        <v>5514</v>
      </c>
      <c r="B77" s="33" t="str">
        <f>'A) Base RI'!B77</f>
        <v>Bottens</v>
      </c>
      <c r="C77" s="10">
        <f>'A) Base RI'!C77+'A) Base RI'!D77</f>
        <v>2489128.5299999998</v>
      </c>
      <c r="D77" s="10">
        <f>'A) Base RI'!W77</f>
        <v>-19074.3</v>
      </c>
      <c r="E77" s="32">
        <f>'A) Base RI'!X77</f>
        <v>0</v>
      </c>
      <c r="F77" s="32">
        <f>'A) Base RI'!Y77</f>
        <v>-24.26</v>
      </c>
      <c r="G77" s="2">
        <f t="shared" si="6"/>
        <v>2470029.9700000002</v>
      </c>
      <c r="H77" s="10">
        <f>+'A) Base RI'!E77</f>
        <v>0</v>
      </c>
      <c r="I77" s="10">
        <f>+'A) Base RI'!F77</f>
        <v>0</v>
      </c>
      <c r="J77" s="10">
        <f>+'A) Base RI'!G77+'A) Base RI'!H77+'A) Base RI'!I77</f>
        <v>25746.559999999998</v>
      </c>
      <c r="K77" s="10">
        <f>+'A) Base RI'!J77</f>
        <v>34069.5</v>
      </c>
      <c r="L77" s="10">
        <f>+'A) Base RI'!K77</f>
        <v>74958.11</v>
      </c>
      <c r="M77" s="10">
        <f>+'A) Base RI'!L77</f>
        <v>6533</v>
      </c>
      <c r="N77" s="10">
        <f>+'A) Base RI'!R77</f>
        <v>2673.4</v>
      </c>
      <c r="O77" s="10">
        <f t="shared" si="7"/>
        <v>208983.95</v>
      </c>
      <c r="P77" s="10">
        <f>+'A) Base RI'!M77</f>
        <v>208983.95</v>
      </c>
      <c r="Q77" s="35">
        <f>'A) Base RI'!Z77</f>
        <v>1</v>
      </c>
      <c r="R77" s="2">
        <f t="shared" si="8"/>
        <v>2822994.49</v>
      </c>
      <c r="S77" s="34">
        <f>+'A) Base RI'!U77</f>
        <v>69</v>
      </c>
      <c r="T77" s="2">
        <f t="shared" si="9"/>
        <v>2607477.54</v>
      </c>
      <c r="U77" s="2">
        <f t="shared" si="10"/>
        <v>40912.963623188407</v>
      </c>
      <c r="V77" s="10">
        <f>+'A) Base RI'!P77</f>
        <v>34382.5</v>
      </c>
      <c r="W77" s="10">
        <f>+'A) Base RI'!Q77</f>
        <v>41746.199999999997</v>
      </c>
      <c r="X77" s="10">
        <f>+'A) Base RI'!S77</f>
        <v>43207.35</v>
      </c>
      <c r="Y77" s="2">
        <f t="shared" si="11"/>
        <v>119336.04999999999</v>
      </c>
      <c r="Z77" s="10">
        <f>+'A) Base RI'!O77</f>
        <v>8743.1</v>
      </c>
      <c r="AA77" s="10">
        <f>'A) Base RI'!V77</f>
        <v>1263</v>
      </c>
    </row>
    <row r="78" spans="1:27" x14ac:dyDescent="0.25">
      <c r="A78" s="8">
        <f>'A) Base RI'!A78</f>
        <v>5515</v>
      </c>
      <c r="B78" s="33" t="str">
        <f>'A) Base RI'!B78</f>
        <v>Bretigny-sur-Morrens</v>
      </c>
      <c r="C78" s="10">
        <f>'A) Base RI'!C78+'A) Base RI'!D78</f>
        <v>1799177.6800000002</v>
      </c>
      <c r="D78" s="10">
        <f>'A) Base RI'!W78</f>
        <v>-1885.34</v>
      </c>
      <c r="E78" s="32">
        <f>'A) Base RI'!X78</f>
        <v>-1684.5</v>
      </c>
      <c r="F78" s="32">
        <f>'A) Base RI'!Y78</f>
        <v>0</v>
      </c>
      <c r="G78" s="2">
        <f t="shared" si="6"/>
        <v>1795607.84</v>
      </c>
      <c r="H78" s="10">
        <f>+'A) Base RI'!E78</f>
        <v>0</v>
      </c>
      <c r="I78" s="10">
        <f>+'A) Base RI'!F78</f>
        <v>0</v>
      </c>
      <c r="J78" s="10">
        <f>+'A) Base RI'!G78+'A) Base RI'!H78+'A) Base RI'!I78</f>
        <v>5693.01</v>
      </c>
      <c r="K78" s="10">
        <f>+'A) Base RI'!J78</f>
        <v>0</v>
      </c>
      <c r="L78" s="10">
        <f>+'A) Base RI'!K78</f>
        <v>70431.5</v>
      </c>
      <c r="M78" s="10">
        <f>+'A) Base RI'!L78</f>
        <v>2000.55</v>
      </c>
      <c r="N78" s="10">
        <f>+'A) Base RI'!R78</f>
        <v>0</v>
      </c>
      <c r="O78" s="10">
        <f t="shared" si="7"/>
        <v>147887.15</v>
      </c>
      <c r="P78" s="10">
        <f>+'A) Base RI'!M78</f>
        <v>147887.15</v>
      </c>
      <c r="Q78" s="35">
        <f>'A) Base RI'!Z78</f>
        <v>1</v>
      </c>
      <c r="R78" s="2">
        <f t="shared" si="8"/>
        <v>2021620.05</v>
      </c>
      <c r="S78" s="34">
        <f>+'A) Base RI'!U78</f>
        <v>73</v>
      </c>
      <c r="T78" s="2">
        <f t="shared" si="9"/>
        <v>1871732.35</v>
      </c>
      <c r="U78" s="2">
        <f t="shared" si="10"/>
        <v>27693.425342465755</v>
      </c>
      <c r="V78" s="10">
        <f>+'A) Base RI'!P78</f>
        <v>0</v>
      </c>
      <c r="W78" s="10">
        <f>+'A) Base RI'!Q78</f>
        <v>77005.45</v>
      </c>
      <c r="X78" s="10">
        <f>+'A) Base RI'!S78</f>
        <v>28531.7</v>
      </c>
      <c r="Y78" s="2">
        <f t="shared" si="11"/>
        <v>105537.15</v>
      </c>
      <c r="Z78" s="10">
        <f>+'A) Base RI'!O78</f>
        <v>9818.5</v>
      </c>
      <c r="AA78" s="10">
        <f>'A) Base RI'!V78</f>
        <v>825</v>
      </c>
    </row>
    <row r="79" spans="1:27" x14ac:dyDescent="0.25">
      <c r="A79" s="8">
        <f>'A) Base RI'!A79</f>
        <v>5516</v>
      </c>
      <c r="B79" s="33" t="str">
        <f>'A) Base RI'!B79</f>
        <v>Cugy</v>
      </c>
      <c r="C79" s="10">
        <f>'A) Base RI'!C79+'A) Base RI'!D79</f>
        <v>6892410.4399999995</v>
      </c>
      <c r="D79" s="10">
        <f>'A) Base RI'!W79</f>
        <v>-59831.1</v>
      </c>
      <c r="E79" s="32">
        <f>'A) Base RI'!X79</f>
        <v>0</v>
      </c>
      <c r="F79" s="32">
        <f>'A) Base RI'!Y79</f>
        <v>-845.74</v>
      </c>
      <c r="G79" s="2">
        <f t="shared" si="6"/>
        <v>6831733.5999999996</v>
      </c>
      <c r="H79" s="10">
        <f>+'A) Base RI'!E79</f>
        <v>0</v>
      </c>
      <c r="I79" s="10">
        <f>+'A) Base RI'!F79</f>
        <v>0</v>
      </c>
      <c r="J79" s="10">
        <f>+'A) Base RI'!G79+'A) Base RI'!H79+'A) Base RI'!I79</f>
        <v>152316.96</v>
      </c>
      <c r="K79" s="10">
        <f>+'A) Base RI'!J79</f>
        <v>804.55</v>
      </c>
      <c r="L79" s="10">
        <f>+'A) Base RI'!K79</f>
        <v>129530.09</v>
      </c>
      <c r="M79" s="10">
        <f>+'A) Base RI'!L79</f>
        <v>24513.4</v>
      </c>
      <c r="N79" s="10">
        <f>+'A) Base RI'!R79</f>
        <v>11379.02</v>
      </c>
      <c r="O79" s="10">
        <f t="shared" si="7"/>
        <v>551009.1</v>
      </c>
      <c r="P79" s="10">
        <f>+'A) Base RI'!M79</f>
        <v>551009.1</v>
      </c>
      <c r="Q79" s="35">
        <f>'A) Base RI'!Z79</f>
        <v>1</v>
      </c>
      <c r="R79" s="2">
        <f t="shared" si="8"/>
        <v>7701286.7199999988</v>
      </c>
      <c r="S79" s="34">
        <f>+'A) Base RI'!U79</f>
        <v>70</v>
      </c>
      <c r="T79" s="2">
        <f t="shared" si="9"/>
        <v>7125764.2199999988</v>
      </c>
      <c r="U79" s="2">
        <f t="shared" si="10"/>
        <v>110018.3817142857</v>
      </c>
      <c r="V79" s="10">
        <f>+'A) Base RI'!P79</f>
        <v>97960.9</v>
      </c>
      <c r="W79" s="10">
        <f>+'A) Base RI'!Q79</f>
        <v>201189.5</v>
      </c>
      <c r="X79" s="10">
        <f>+'A) Base RI'!S79</f>
        <v>252965.2</v>
      </c>
      <c r="Y79" s="2">
        <f t="shared" si="11"/>
        <v>552115.60000000009</v>
      </c>
      <c r="Z79" s="10">
        <f>+'A) Base RI'!O79</f>
        <v>100206.7</v>
      </c>
      <c r="AA79" s="10">
        <f>'A) Base RI'!V79</f>
        <v>2744</v>
      </c>
    </row>
    <row r="80" spans="1:27" x14ac:dyDescent="0.25">
      <c r="A80" s="8">
        <f>'A) Base RI'!A80</f>
        <v>5518</v>
      </c>
      <c r="B80" s="33" t="str">
        <f>'A) Base RI'!B80</f>
        <v>Echallens</v>
      </c>
      <c r="C80" s="10">
        <f>'A) Base RI'!C80+'A) Base RI'!D80</f>
        <v>11580868.83</v>
      </c>
      <c r="D80" s="10">
        <f>'A) Base RI'!W80</f>
        <v>-198416.91</v>
      </c>
      <c r="E80" s="32">
        <f>'A) Base RI'!X80</f>
        <v>0</v>
      </c>
      <c r="F80" s="32">
        <f>'A) Base RI'!Y80</f>
        <v>-51.45</v>
      </c>
      <c r="G80" s="2">
        <f t="shared" si="6"/>
        <v>11382400.470000001</v>
      </c>
      <c r="H80" s="10">
        <f>+'A) Base RI'!E80</f>
        <v>0</v>
      </c>
      <c r="I80" s="10">
        <f>+'A) Base RI'!F80</f>
        <v>0</v>
      </c>
      <c r="J80" s="10">
        <f>+'A) Base RI'!G80+'A) Base RI'!H80+'A) Base RI'!I80</f>
        <v>976967.54</v>
      </c>
      <c r="K80" s="10">
        <f>+'A) Base RI'!J80</f>
        <v>0</v>
      </c>
      <c r="L80" s="10">
        <f>+'A) Base RI'!K80</f>
        <v>252557.19</v>
      </c>
      <c r="M80" s="10">
        <f>+'A) Base RI'!L80</f>
        <v>62484.55</v>
      </c>
      <c r="N80" s="10">
        <f>+'A) Base RI'!R80</f>
        <v>116075.32</v>
      </c>
      <c r="O80" s="10">
        <f t="shared" si="7"/>
        <v>992100.1</v>
      </c>
      <c r="P80" s="10">
        <f>+'A) Base RI'!M80</f>
        <v>992100.1</v>
      </c>
      <c r="Q80" s="35">
        <f>'A) Base RI'!Z80</f>
        <v>1</v>
      </c>
      <c r="R80" s="2">
        <f t="shared" si="8"/>
        <v>13782585.170000002</v>
      </c>
      <c r="S80" s="34">
        <f>+'A) Base RI'!U80</f>
        <v>74</v>
      </c>
      <c r="T80" s="2">
        <f t="shared" si="9"/>
        <v>12728000.520000001</v>
      </c>
      <c r="U80" s="2">
        <f t="shared" si="10"/>
        <v>186251.15094594596</v>
      </c>
      <c r="V80" s="10">
        <f>+'A) Base RI'!P80</f>
        <v>398441.4</v>
      </c>
      <c r="W80" s="10">
        <f>+'A) Base RI'!Q80</f>
        <v>276105.95</v>
      </c>
      <c r="X80" s="10">
        <f>+'A) Base RI'!S80</f>
        <v>-126575.55</v>
      </c>
      <c r="Y80" s="2">
        <f t="shared" si="11"/>
        <v>547971.80000000005</v>
      </c>
      <c r="Z80" s="10">
        <f>+'A) Base RI'!O80</f>
        <v>149387.6</v>
      </c>
      <c r="AA80" s="10">
        <f>'A) Base RI'!V80</f>
        <v>5728</v>
      </c>
    </row>
    <row r="81" spans="1:27" x14ac:dyDescent="0.25">
      <c r="A81" s="8">
        <f>'A) Base RI'!A81</f>
        <v>5520</v>
      </c>
      <c r="B81" s="33" t="str">
        <f>'A) Base RI'!B81</f>
        <v>Essertines-sur-Yverdon</v>
      </c>
      <c r="C81" s="10">
        <f>'A) Base RI'!C81+'A) Base RI'!D81</f>
        <v>2133326.84</v>
      </c>
      <c r="D81" s="10">
        <f>'A) Base RI'!W81</f>
        <v>-9716.3799999999992</v>
      </c>
      <c r="E81" s="32">
        <f>'A) Base RI'!X81</f>
        <v>0</v>
      </c>
      <c r="F81" s="32">
        <f>'A) Base RI'!Y81</f>
        <v>-50.93</v>
      </c>
      <c r="G81" s="2">
        <f t="shared" si="6"/>
        <v>2123559.5299999998</v>
      </c>
      <c r="H81" s="10">
        <f>+'A) Base RI'!E81</f>
        <v>0</v>
      </c>
      <c r="I81" s="10">
        <f>+'A) Base RI'!F81</f>
        <v>0</v>
      </c>
      <c r="J81" s="10">
        <f>+'A) Base RI'!G81+'A) Base RI'!H81+'A) Base RI'!I81</f>
        <v>11553.740000000002</v>
      </c>
      <c r="K81" s="10">
        <f>+'A) Base RI'!J81</f>
        <v>0</v>
      </c>
      <c r="L81" s="10">
        <f>+'A) Base RI'!K81</f>
        <v>23467.29</v>
      </c>
      <c r="M81" s="10">
        <f>+'A) Base RI'!L81</f>
        <v>1728.25</v>
      </c>
      <c r="N81" s="10">
        <f>+'A) Base RI'!R81</f>
        <v>4509.1099999999997</v>
      </c>
      <c r="O81" s="10">
        <f t="shared" si="7"/>
        <v>173096.2</v>
      </c>
      <c r="P81" s="10">
        <f>+'A) Base RI'!M81</f>
        <v>173096.2</v>
      </c>
      <c r="Q81" s="35">
        <f>'A) Base RI'!Z81</f>
        <v>1</v>
      </c>
      <c r="R81" s="2">
        <f t="shared" si="8"/>
        <v>2337914.12</v>
      </c>
      <c r="S81" s="34">
        <f>+'A) Base RI'!U81</f>
        <v>73</v>
      </c>
      <c r="T81" s="2">
        <f t="shared" si="9"/>
        <v>2163089.67</v>
      </c>
      <c r="U81" s="2">
        <f t="shared" si="10"/>
        <v>32026.22082191781</v>
      </c>
      <c r="V81" s="10">
        <f>+'A) Base RI'!P81</f>
        <v>19373.5</v>
      </c>
      <c r="W81" s="10">
        <f>+'A) Base RI'!Q81</f>
        <v>150701.25</v>
      </c>
      <c r="X81" s="10">
        <f>+'A) Base RI'!S81</f>
        <v>26267.4</v>
      </c>
      <c r="Y81" s="2">
        <f t="shared" si="11"/>
        <v>196342.15</v>
      </c>
      <c r="Z81" s="10">
        <f>+'A) Base RI'!O81</f>
        <v>11219.05</v>
      </c>
      <c r="AA81" s="10">
        <f>'A) Base RI'!V81</f>
        <v>981</v>
      </c>
    </row>
    <row r="82" spans="1:27" x14ac:dyDescent="0.25">
      <c r="A82" s="8">
        <f>'A) Base RI'!A82</f>
        <v>5521</v>
      </c>
      <c r="B82" s="33" t="str">
        <f>'A) Base RI'!B82</f>
        <v>Etagnières</v>
      </c>
      <c r="C82" s="10">
        <f>'A) Base RI'!C82+'A) Base RI'!D82</f>
        <v>2575751.86</v>
      </c>
      <c r="D82" s="10">
        <f>'A) Base RI'!W82</f>
        <v>-16530.7</v>
      </c>
      <c r="E82" s="32">
        <f>'A) Base RI'!X82</f>
        <v>0</v>
      </c>
      <c r="F82" s="32">
        <f>'A) Base RI'!Y82</f>
        <v>-4.3600000000000003</v>
      </c>
      <c r="G82" s="2">
        <f t="shared" si="6"/>
        <v>2559216.7999999998</v>
      </c>
      <c r="H82" s="10">
        <f>+'A) Base RI'!E82</f>
        <v>0</v>
      </c>
      <c r="I82" s="10">
        <f>+'A) Base RI'!F82</f>
        <v>0</v>
      </c>
      <c r="J82" s="10">
        <f>+'A) Base RI'!G82+'A) Base RI'!H82+'A) Base RI'!I82</f>
        <v>89849.18</v>
      </c>
      <c r="K82" s="10">
        <f>+'A) Base RI'!J82</f>
        <v>0</v>
      </c>
      <c r="L82" s="10">
        <f>+'A) Base RI'!K82</f>
        <v>84184.09</v>
      </c>
      <c r="M82" s="10">
        <f>+'A) Base RI'!L82</f>
        <v>10733.75</v>
      </c>
      <c r="N82" s="10">
        <f>+'A) Base RI'!R82</f>
        <v>10436.26</v>
      </c>
      <c r="O82" s="10">
        <f t="shared" si="7"/>
        <v>234159.1</v>
      </c>
      <c r="P82" s="10">
        <f>+'A) Base RI'!M82</f>
        <v>234159.1</v>
      </c>
      <c r="Q82" s="35">
        <f>'A) Base RI'!Z82</f>
        <v>1</v>
      </c>
      <c r="R82" s="2">
        <f t="shared" si="8"/>
        <v>2988579.1799999997</v>
      </c>
      <c r="S82" s="34">
        <f>+'A) Base RI'!U82</f>
        <v>73</v>
      </c>
      <c r="T82" s="2">
        <f t="shared" si="9"/>
        <v>2743686.3299999996</v>
      </c>
      <c r="U82" s="2">
        <f t="shared" si="10"/>
        <v>40939.440821917808</v>
      </c>
      <c r="V82" s="10">
        <f>+'A) Base RI'!P82</f>
        <v>0</v>
      </c>
      <c r="W82" s="10">
        <f>+'A) Base RI'!Q82</f>
        <v>119350</v>
      </c>
      <c r="X82" s="10">
        <f>+'A) Base RI'!S82</f>
        <v>28604.7</v>
      </c>
      <c r="Y82" s="2">
        <f t="shared" si="11"/>
        <v>147954.70000000001</v>
      </c>
      <c r="Z82" s="10">
        <f>+'A) Base RI'!O82</f>
        <v>49840.9</v>
      </c>
      <c r="AA82" s="10">
        <f>'A) Base RI'!V82</f>
        <v>1119</v>
      </c>
    </row>
    <row r="83" spans="1:27" x14ac:dyDescent="0.25">
      <c r="A83" s="8">
        <f>'A) Base RI'!A83</f>
        <v>5522</v>
      </c>
      <c r="B83" s="33" t="str">
        <f>'A) Base RI'!B83</f>
        <v>Fey</v>
      </c>
      <c r="C83" s="10">
        <f>'A) Base RI'!C83+'A) Base RI'!D83</f>
        <v>1371384</v>
      </c>
      <c r="D83" s="10">
        <f>'A) Base RI'!W83</f>
        <v>-13047.43</v>
      </c>
      <c r="E83" s="32">
        <f>'A) Base RI'!X83</f>
        <v>0</v>
      </c>
      <c r="F83" s="32">
        <f>'A) Base RI'!Y83</f>
        <v>-2.46</v>
      </c>
      <c r="G83" s="2">
        <f t="shared" si="6"/>
        <v>1358334.11</v>
      </c>
      <c r="H83" s="10">
        <f>+'A) Base RI'!E83</f>
        <v>0</v>
      </c>
      <c r="I83" s="10">
        <f>+'A) Base RI'!F83</f>
        <v>0</v>
      </c>
      <c r="J83" s="10">
        <f>+'A) Base RI'!G83+'A) Base RI'!H83+'A) Base RI'!I83</f>
        <v>28572.27</v>
      </c>
      <c r="K83" s="10">
        <f>+'A) Base RI'!J83</f>
        <v>0</v>
      </c>
      <c r="L83" s="10">
        <f>+'A) Base RI'!K83</f>
        <v>8454.81</v>
      </c>
      <c r="M83" s="10">
        <f>+'A) Base RI'!L83</f>
        <v>1287.9000000000001</v>
      </c>
      <c r="N83" s="10">
        <f>+'A) Base RI'!R83</f>
        <v>0</v>
      </c>
      <c r="O83" s="10">
        <f t="shared" si="7"/>
        <v>119536.9</v>
      </c>
      <c r="P83" s="10">
        <f>+'A) Base RI'!M83</f>
        <v>119536.9</v>
      </c>
      <c r="Q83" s="35">
        <f>'A) Base RI'!Z83</f>
        <v>1</v>
      </c>
      <c r="R83" s="2">
        <f t="shared" si="8"/>
        <v>1516185.99</v>
      </c>
      <c r="S83" s="34">
        <f>+'A) Base RI'!U83</f>
        <v>75</v>
      </c>
      <c r="T83" s="2">
        <f t="shared" si="9"/>
        <v>1395361.1900000002</v>
      </c>
      <c r="U83" s="2">
        <f t="shared" si="10"/>
        <v>20215.813200000001</v>
      </c>
      <c r="V83" s="10">
        <f>+'A) Base RI'!P83</f>
        <v>9107.9</v>
      </c>
      <c r="W83" s="10">
        <f>+'A) Base RI'!Q83</f>
        <v>33578.65</v>
      </c>
      <c r="X83" s="10">
        <f>+'A) Base RI'!S83</f>
        <v>91475.45</v>
      </c>
      <c r="Y83" s="2">
        <f t="shared" si="11"/>
        <v>134162</v>
      </c>
      <c r="Z83" s="10">
        <f>+'A) Base RI'!O83</f>
        <v>6207.7</v>
      </c>
      <c r="AA83" s="10">
        <f>'A) Base RI'!V83</f>
        <v>703</v>
      </c>
    </row>
    <row r="84" spans="1:27" x14ac:dyDescent="0.25">
      <c r="A84" s="8">
        <f>'A) Base RI'!A84</f>
        <v>5523</v>
      </c>
      <c r="B84" s="33" t="str">
        <f>'A) Base RI'!B84</f>
        <v>Froideville</v>
      </c>
      <c r="C84" s="10">
        <f>'A) Base RI'!C84+'A) Base RI'!D84</f>
        <v>5783403.3899999997</v>
      </c>
      <c r="D84" s="10">
        <f>'A) Base RI'!W84</f>
        <v>-88741.32</v>
      </c>
      <c r="E84" s="32">
        <f>'A) Base RI'!X84</f>
        <v>0</v>
      </c>
      <c r="F84" s="32">
        <f>'A) Base RI'!Y84</f>
        <v>-25.02</v>
      </c>
      <c r="G84" s="2">
        <f t="shared" si="6"/>
        <v>5694637.0499999998</v>
      </c>
      <c r="H84" s="10">
        <f>+'A) Base RI'!E84</f>
        <v>0</v>
      </c>
      <c r="I84" s="10">
        <f>+'A) Base RI'!F84</f>
        <v>13870</v>
      </c>
      <c r="J84" s="10">
        <f>+'A) Base RI'!G84+'A) Base RI'!H84+'A) Base RI'!I84</f>
        <v>32673.010000000002</v>
      </c>
      <c r="K84" s="10">
        <f>+'A) Base RI'!J84</f>
        <v>27098.55</v>
      </c>
      <c r="L84" s="10">
        <f>+'A) Base RI'!K84</f>
        <v>98193.44</v>
      </c>
      <c r="M84" s="10">
        <f>+'A) Base RI'!L84</f>
        <v>17825.5</v>
      </c>
      <c r="N84" s="10">
        <f>+'A) Base RI'!R84</f>
        <v>14774.32</v>
      </c>
      <c r="O84" s="10">
        <f t="shared" si="7"/>
        <v>472096</v>
      </c>
      <c r="P84" s="10">
        <f>+'A) Base RI'!M84</f>
        <v>590120</v>
      </c>
      <c r="Q84" s="35">
        <f>'A) Base RI'!Z84</f>
        <v>1.25</v>
      </c>
      <c r="R84" s="2">
        <f t="shared" si="8"/>
        <v>6371167.8700000001</v>
      </c>
      <c r="S84" s="34">
        <f>+'A) Base RI'!U84</f>
        <v>76</v>
      </c>
      <c r="T84" s="2">
        <f t="shared" si="9"/>
        <v>5867376.3700000001</v>
      </c>
      <c r="U84" s="2">
        <f t="shared" si="10"/>
        <v>83831.156184210529</v>
      </c>
      <c r="V84" s="10">
        <f>+'A) Base RI'!P84</f>
        <v>3244.3</v>
      </c>
      <c r="W84" s="10">
        <f>+'A) Base RI'!Q84</f>
        <v>187832.35</v>
      </c>
      <c r="X84" s="10">
        <f>+'A) Base RI'!S84</f>
        <v>96751.75</v>
      </c>
      <c r="Y84" s="2">
        <f t="shared" si="11"/>
        <v>287828.40000000002</v>
      </c>
      <c r="Z84" s="10">
        <f>+'A) Base RI'!O84</f>
        <v>1694.9</v>
      </c>
      <c r="AA84" s="10">
        <f>'A) Base RI'!V84</f>
        <v>2561</v>
      </c>
    </row>
    <row r="85" spans="1:27" x14ac:dyDescent="0.25">
      <c r="A85" s="8">
        <f>'A) Base RI'!A85</f>
        <v>5527</v>
      </c>
      <c r="B85" s="33" t="str">
        <f>'A) Base RI'!B85</f>
        <v>Morrens</v>
      </c>
      <c r="C85" s="10">
        <f>'A) Base RI'!C85+'A) Base RI'!D85</f>
        <v>2545629.6800000002</v>
      </c>
      <c r="D85" s="10">
        <f>'A) Base RI'!W85</f>
        <v>-17636.34</v>
      </c>
      <c r="E85" s="32">
        <f>'A) Base RI'!X85</f>
        <v>-4377.1000000000004</v>
      </c>
      <c r="F85" s="32">
        <f>'A) Base RI'!Y85</f>
        <v>-22.1</v>
      </c>
      <c r="G85" s="2">
        <f t="shared" si="6"/>
        <v>2523594.14</v>
      </c>
      <c r="H85" s="10">
        <f>+'A) Base RI'!E85</f>
        <v>0</v>
      </c>
      <c r="I85" s="10">
        <f>+'A) Base RI'!F85</f>
        <v>0</v>
      </c>
      <c r="J85" s="10">
        <f>+'A) Base RI'!G85+'A) Base RI'!H85+'A) Base RI'!I85</f>
        <v>11942.26</v>
      </c>
      <c r="K85" s="10">
        <f>+'A) Base RI'!J85</f>
        <v>0</v>
      </c>
      <c r="L85" s="10">
        <f>+'A) Base RI'!K85</f>
        <v>61320.45</v>
      </c>
      <c r="M85" s="10">
        <f>+'A) Base RI'!L85</f>
        <v>2321.0500000000002</v>
      </c>
      <c r="N85" s="10">
        <f>+'A) Base RI'!R85</f>
        <v>2646.04</v>
      </c>
      <c r="O85" s="10">
        <f t="shared" si="7"/>
        <v>214518.65</v>
      </c>
      <c r="P85" s="10">
        <f>+'A) Base RI'!M85</f>
        <v>214518.65</v>
      </c>
      <c r="Q85" s="35">
        <f>'A) Base RI'!Z85</f>
        <v>1</v>
      </c>
      <c r="R85" s="2">
        <f t="shared" si="8"/>
        <v>2816342.59</v>
      </c>
      <c r="S85" s="34">
        <f>+'A) Base RI'!U85</f>
        <v>71</v>
      </c>
      <c r="T85" s="2">
        <f t="shared" si="9"/>
        <v>2599502.89</v>
      </c>
      <c r="U85" s="2">
        <f t="shared" si="10"/>
        <v>39666.797042253522</v>
      </c>
      <c r="V85" s="10">
        <f>+'A) Base RI'!P85</f>
        <v>0</v>
      </c>
      <c r="W85" s="10">
        <f>+'A) Base RI'!Q85</f>
        <v>73497.7</v>
      </c>
      <c r="X85" s="10">
        <f>+'A) Base RI'!S85</f>
        <v>83651</v>
      </c>
      <c r="Y85" s="2">
        <f t="shared" si="11"/>
        <v>157148.70000000001</v>
      </c>
      <c r="Z85" s="10">
        <f>+'A) Base RI'!O85</f>
        <v>10589.6</v>
      </c>
      <c r="AA85" s="10">
        <f>'A) Base RI'!V85</f>
        <v>1092</v>
      </c>
    </row>
    <row r="86" spans="1:27" x14ac:dyDescent="0.25">
      <c r="A86" s="8">
        <f>'A) Base RI'!A86</f>
        <v>5529</v>
      </c>
      <c r="B86" s="33" t="str">
        <f>'A) Base RI'!B86</f>
        <v>Oulens-sous-Echallens</v>
      </c>
      <c r="C86" s="10">
        <f>'A) Base RI'!C86+'A) Base RI'!D86</f>
        <v>1285169.9100000001</v>
      </c>
      <c r="D86" s="10">
        <f>'A) Base RI'!W86</f>
        <v>-13674.43</v>
      </c>
      <c r="E86" s="32">
        <f>'A) Base RI'!X86</f>
        <v>0</v>
      </c>
      <c r="F86" s="32">
        <f>'A) Base RI'!Y86</f>
        <v>-0.17</v>
      </c>
      <c r="G86" s="2">
        <f t="shared" si="6"/>
        <v>1271495.3100000003</v>
      </c>
      <c r="H86" s="10">
        <f>+'A) Base RI'!E86</f>
        <v>0</v>
      </c>
      <c r="I86" s="10">
        <f>+'A) Base RI'!F86</f>
        <v>0</v>
      </c>
      <c r="J86" s="10">
        <f>+'A) Base RI'!G86+'A) Base RI'!H86+'A) Base RI'!I86</f>
        <v>14176.25</v>
      </c>
      <c r="K86" s="10">
        <f>+'A) Base RI'!J86</f>
        <v>0</v>
      </c>
      <c r="L86" s="10">
        <f>+'A) Base RI'!K86</f>
        <v>44743.28</v>
      </c>
      <c r="M86" s="10">
        <f>+'A) Base RI'!L86</f>
        <v>2543.75</v>
      </c>
      <c r="N86" s="10">
        <f>+'A) Base RI'!R86</f>
        <v>0</v>
      </c>
      <c r="O86" s="10">
        <f t="shared" si="7"/>
        <v>102971.15</v>
      </c>
      <c r="P86" s="10">
        <f>+'A) Base RI'!M86</f>
        <v>102971.15</v>
      </c>
      <c r="Q86" s="35">
        <f>'A) Base RI'!Z86</f>
        <v>1</v>
      </c>
      <c r="R86" s="2">
        <f t="shared" si="8"/>
        <v>1435929.7400000002</v>
      </c>
      <c r="S86" s="34">
        <f>+'A) Base RI'!U86</f>
        <v>71</v>
      </c>
      <c r="T86" s="2">
        <f t="shared" si="9"/>
        <v>1330414.8400000003</v>
      </c>
      <c r="U86" s="2">
        <f t="shared" si="10"/>
        <v>20224.362535211272</v>
      </c>
      <c r="V86" s="10">
        <f>+'A) Base RI'!P86</f>
        <v>2507.8000000000002</v>
      </c>
      <c r="W86" s="10">
        <f>+'A) Base RI'!Q86</f>
        <v>59757.65</v>
      </c>
      <c r="X86" s="10">
        <f>+'A) Base RI'!S86</f>
        <v>43417.25</v>
      </c>
      <c r="Y86" s="2">
        <f t="shared" si="11"/>
        <v>105682.70000000001</v>
      </c>
      <c r="Z86" s="10">
        <f>+'A) Base RI'!O86</f>
        <v>0</v>
      </c>
      <c r="AA86" s="10">
        <f>'A) Base RI'!V86</f>
        <v>577</v>
      </c>
    </row>
    <row r="87" spans="1:27" x14ac:dyDescent="0.25">
      <c r="A87" s="8">
        <f>'A) Base RI'!A87</f>
        <v>5530</v>
      </c>
      <c r="B87" s="33" t="str">
        <f>'A) Base RI'!B87</f>
        <v>Pailly</v>
      </c>
      <c r="C87" s="10">
        <f>'A) Base RI'!C87+'A) Base RI'!D87</f>
        <v>1100372.8</v>
      </c>
      <c r="D87" s="10">
        <f>'A) Base RI'!W87</f>
        <v>-2379.5700000000002</v>
      </c>
      <c r="E87" s="32">
        <f>'A) Base RI'!X87</f>
        <v>-2402.85</v>
      </c>
      <c r="F87" s="32">
        <f>'A) Base RI'!Y87</f>
        <v>0</v>
      </c>
      <c r="G87" s="2">
        <f t="shared" si="6"/>
        <v>1095590.3799999999</v>
      </c>
      <c r="H87" s="10">
        <f>+'A) Base RI'!E87</f>
        <v>0</v>
      </c>
      <c r="I87" s="10">
        <f>+'A) Base RI'!F87</f>
        <v>0</v>
      </c>
      <c r="J87" s="10">
        <f>+'A) Base RI'!G87+'A) Base RI'!H87+'A) Base RI'!I87</f>
        <v>71527.27</v>
      </c>
      <c r="K87" s="10">
        <f>+'A) Base RI'!J87</f>
        <v>0</v>
      </c>
      <c r="L87" s="10">
        <f>+'A) Base RI'!K87</f>
        <v>16837.580000000002</v>
      </c>
      <c r="M87" s="10">
        <f>+'A) Base RI'!L87</f>
        <v>37.5</v>
      </c>
      <c r="N87" s="10">
        <f>+'A) Base RI'!R87</f>
        <v>0</v>
      </c>
      <c r="O87" s="10">
        <f t="shared" si="7"/>
        <v>77331.074999999997</v>
      </c>
      <c r="P87" s="10">
        <f>+'A) Base RI'!M87</f>
        <v>92797.29</v>
      </c>
      <c r="Q87" s="35">
        <f>'A) Base RI'!Z87</f>
        <v>1.2</v>
      </c>
      <c r="R87" s="2">
        <f t="shared" si="8"/>
        <v>1261323.8049999999</v>
      </c>
      <c r="S87" s="34">
        <f>+'A) Base RI'!U87</f>
        <v>77.5</v>
      </c>
      <c r="T87" s="2">
        <f t="shared" si="9"/>
        <v>1183955.23</v>
      </c>
      <c r="U87" s="2">
        <f t="shared" si="10"/>
        <v>16275.145870967741</v>
      </c>
      <c r="V87" s="10">
        <f>+'A) Base RI'!P87</f>
        <v>48871.4</v>
      </c>
      <c r="W87" s="10">
        <f>+'A) Base RI'!Q87</f>
        <v>32528.1</v>
      </c>
      <c r="X87" s="10">
        <f>+'A) Base RI'!S87</f>
        <v>19063.75</v>
      </c>
      <c r="Y87" s="2">
        <f t="shared" si="11"/>
        <v>100463.25</v>
      </c>
      <c r="Z87" s="10">
        <f>+'A) Base RI'!O87</f>
        <v>2846.5</v>
      </c>
      <c r="AA87" s="10">
        <f>'A) Base RI'!V87</f>
        <v>543</v>
      </c>
    </row>
    <row r="88" spans="1:27" x14ac:dyDescent="0.25">
      <c r="A88" s="8">
        <f>'A) Base RI'!A88</f>
        <v>5531</v>
      </c>
      <c r="B88" s="33" t="str">
        <f>'A) Base RI'!B88</f>
        <v>Penthéréaz</v>
      </c>
      <c r="C88" s="10">
        <f>'A) Base RI'!C88+'A) Base RI'!D88</f>
        <v>938148.87000000011</v>
      </c>
      <c r="D88" s="10">
        <f>'A) Base RI'!W88</f>
        <v>-109.27</v>
      </c>
      <c r="E88" s="32">
        <f>'A) Base RI'!X88</f>
        <v>0</v>
      </c>
      <c r="F88" s="32">
        <f>'A) Base RI'!Y88</f>
        <v>-54.63</v>
      </c>
      <c r="G88" s="2">
        <f t="shared" si="6"/>
        <v>937984.97000000009</v>
      </c>
      <c r="H88" s="10">
        <f>+'A) Base RI'!E88</f>
        <v>0</v>
      </c>
      <c r="I88" s="10">
        <f>+'A) Base RI'!F88</f>
        <v>0</v>
      </c>
      <c r="J88" s="10">
        <f>+'A) Base RI'!G88+'A) Base RI'!H88+'A) Base RI'!I88</f>
        <v>4436.7699999999995</v>
      </c>
      <c r="K88" s="10">
        <f>+'A) Base RI'!J88</f>
        <v>0</v>
      </c>
      <c r="L88" s="10">
        <f>+'A) Base RI'!K88</f>
        <v>8482.7800000000007</v>
      </c>
      <c r="M88" s="10">
        <f>+'A) Base RI'!L88</f>
        <v>854</v>
      </c>
      <c r="N88" s="10">
        <f>+'A) Base RI'!R88</f>
        <v>0</v>
      </c>
      <c r="O88" s="10">
        <f t="shared" si="7"/>
        <v>71258.850000000006</v>
      </c>
      <c r="P88" s="10">
        <f>+'A) Base RI'!M88</f>
        <v>71258.850000000006</v>
      </c>
      <c r="Q88" s="35">
        <f>'A) Base RI'!Z88</f>
        <v>1</v>
      </c>
      <c r="R88" s="2">
        <f t="shared" si="8"/>
        <v>1023017.3700000001</v>
      </c>
      <c r="S88" s="34">
        <f>+'A) Base RI'!U88</f>
        <v>78</v>
      </c>
      <c r="T88" s="2">
        <f t="shared" si="9"/>
        <v>950904.52000000014</v>
      </c>
      <c r="U88" s="2">
        <f t="shared" si="10"/>
        <v>13115.607307692309</v>
      </c>
      <c r="V88" s="10">
        <f>+'A) Base RI'!P88</f>
        <v>0</v>
      </c>
      <c r="W88" s="10">
        <f>+'A) Base RI'!Q88</f>
        <v>25232.7</v>
      </c>
      <c r="X88" s="10">
        <f>+'A) Base RI'!S88</f>
        <v>23416.7</v>
      </c>
      <c r="Y88" s="2">
        <f t="shared" si="11"/>
        <v>48649.4</v>
      </c>
      <c r="Z88" s="10">
        <f>+'A) Base RI'!O88</f>
        <v>14930.3</v>
      </c>
      <c r="AA88" s="10">
        <f>'A) Base RI'!V88</f>
        <v>418</v>
      </c>
    </row>
    <row r="89" spans="1:27" x14ac:dyDescent="0.25">
      <c r="A89" s="8">
        <f>'A) Base RI'!A89</f>
        <v>5533</v>
      </c>
      <c r="B89" s="33" t="str">
        <f>'A) Base RI'!B89</f>
        <v>Poliez-Pittet</v>
      </c>
      <c r="C89" s="10">
        <f>'A) Base RI'!C89+'A) Base RI'!D89</f>
        <v>1685474.63</v>
      </c>
      <c r="D89" s="10">
        <f>'A) Base RI'!W89</f>
        <v>-10746.98</v>
      </c>
      <c r="E89" s="32">
        <f>'A) Base RI'!X89</f>
        <v>0</v>
      </c>
      <c r="F89" s="32">
        <f>'A) Base RI'!Y89</f>
        <v>-15.75</v>
      </c>
      <c r="G89" s="2">
        <f t="shared" si="6"/>
        <v>1674711.9</v>
      </c>
      <c r="H89" s="10">
        <f>+'A) Base RI'!E89</f>
        <v>0</v>
      </c>
      <c r="I89" s="10">
        <f>+'A) Base RI'!F89</f>
        <v>0</v>
      </c>
      <c r="J89" s="10">
        <f>+'A) Base RI'!G89+'A) Base RI'!H89+'A) Base RI'!I89</f>
        <v>74615.05</v>
      </c>
      <c r="K89" s="10">
        <f>+'A) Base RI'!J89</f>
        <v>0</v>
      </c>
      <c r="L89" s="10">
        <f>+'A) Base RI'!K89</f>
        <v>60560.08</v>
      </c>
      <c r="M89" s="10">
        <f>+'A) Base RI'!L89</f>
        <v>8480</v>
      </c>
      <c r="N89" s="10">
        <f>+'A) Base RI'!R89</f>
        <v>0</v>
      </c>
      <c r="O89" s="10">
        <f t="shared" si="7"/>
        <v>134789.75000000003</v>
      </c>
      <c r="P89" s="10">
        <f>+'A) Base RI'!M89</f>
        <v>80873.850000000006</v>
      </c>
      <c r="Q89" s="35">
        <f>'A) Base RI'!Z89</f>
        <v>0.6</v>
      </c>
      <c r="R89" s="2">
        <f t="shared" si="8"/>
        <v>1953156.78</v>
      </c>
      <c r="S89" s="34">
        <f>+'A) Base RI'!U89</f>
        <v>71</v>
      </c>
      <c r="T89" s="2">
        <f t="shared" si="9"/>
        <v>1809887.03</v>
      </c>
      <c r="U89" s="2">
        <f t="shared" si="10"/>
        <v>27509.250422535213</v>
      </c>
      <c r="V89" s="10">
        <f>+'A) Base RI'!P89</f>
        <v>0</v>
      </c>
      <c r="W89" s="10">
        <f>+'A) Base RI'!Q89</f>
        <v>19047.849999999999</v>
      </c>
      <c r="X89" s="10">
        <f>+'A) Base RI'!S89</f>
        <v>16820.95</v>
      </c>
      <c r="Y89" s="2">
        <f t="shared" si="11"/>
        <v>35868.800000000003</v>
      </c>
      <c r="Z89" s="10">
        <f>+'A) Base RI'!O89</f>
        <v>2712.4</v>
      </c>
      <c r="AA89" s="10">
        <f>'A) Base RI'!V89</f>
        <v>849</v>
      </c>
    </row>
    <row r="90" spans="1:27" x14ac:dyDescent="0.25">
      <c r="A90" s="8">
        <f>'A) Base RI'!A90</f>
        <v>5534</v>
      </c>
      <c r="B90" s="33" t="str">
        <f>'A) Base RI'!B90</f>
        <v>Rueyres</v>
      </c>
      <c r="C90" s="10">
        <f>'A) Base RI'!C90+'A) Base RI'!D90</f>
        <v>523340.80000000005</v>
      </c>
      <c r="D90" s="10">
        <f>'A) Base RI'!W90</f>
        <v>-3260.55</v>
      </c>
      <c r="E90" s="32">
        <f>'A) Base RI'!X90</f>
        <v>0</v>
      </c>
      <c r="F90" s="32">
        <f>'A) Base RI'!Y90</f>
        <v>0</v>
      </c>
      <c r="G90" s="2">
        <f t="shared" si="6"/>
        <v>520080.25000000006</v>
      </c>
      <c r="H90" s="10">
        <f>+'A) Base RI'!E90</f>
        <v>0</v>
      </c>
      <c r="I90" s="10">
        <f>+'A) Base RI'!F90</f>
        <v>0</v>
      </c>
      <c r="J90" s="10">
        <f>+'A) Base RI'!G90+'A) Base RI'!H90+'A) Base RI'!I90</f>
        <v>66692.639999999999</v>
      </c>
      <c r="K90" s="10">
        <f>+'A) Base RI'!J90</f>
        <v>0</v>
      </c>
      <c r="L90" s="10">
        <f>+'A) Base RI'!K90</f>
        <v>18340.5</v>
      </c>
      <c r="M90" s="10">
        <f>+'A) Base RI'!L90</f>
        <v>1598.75</v>
      </c>
      <c r="N90" s="10">
        <f>+'A) Base RI'!R90</f>
        <v>0</v>
      </c>
      <c r="O90" s="10">
        <f t="shared" si="7"/>
        <v>70912</v>
      </c>
      <c r="P90" s="10">
        <f>+'A) Base RI'!M90</f>
        <v>70912</v>
      </c>
      <c r="Q90" s="35">
        <f>'A) Base RI'!Z90</f>
        <v>1</v>
      </c>
      <c r="R90" s="2">
        <f t="shared" si="8"/>
        <v>677624.14</v>
      </c>
      <c r="S90" s="34">
        <f>+'A) Base RI'!U90</f>
        <v>73</v>
      </c>
      <c r="T90" s="2">
        <f t="shared" si="9"/>
        <v>605113.39</v>
      </c>
      <c r="U90" s="2">
        <f t="shared" si="10"/>
        <v>9282.5224657534254</v>
      </c>
      <c r="V90" s="10">
        <f>+'A) Base RI'!P90</f>
        <v>0</v>
      </c>
      <c r="W90" s="10">
        <f>+'A) Base RI'!Q90</f>
        <v>7428.3</v>
      </c>
      <c r="X90" s="10">
        <f>+'A) Base RI'!S90</f>
        <v>0</v>
      </c>
      <c r="Y90" s="2">
        <f t="shared" si="11"/>
        <v>7428.3</v>
      </c>
      <c r="Z90" s="10">
        <f>+'A) Base RI'!O90</f>
        <v>26152.25</v>
      </c>
      <c r="AA90" s="10">
        <f>'A) Base RI'!V90</f>
        <v>257</v>
      </c>
    </row>
    <row r="91" spans="1:27" x14ac:dyDescent="0.25">
      <c r="A91" s="8">
        <f>'A) Base RI'!A91</f>
        <v>5535</v>
      </c>
      <c r="B91" s="33" t="str">
        <f>'A) Base RI'!B91</f>
        <v>Saint-Barthélemy</v>
      </c>
      <c r="C91" s="10">
        <f>'A) Base RI'!C91+'A) Base RI'!D91</f>
        <v>1634334.17</v>
      </c>
      <c r="D91" s="10">
        <f>'A) Base RI'!W91</f>
        <v>-13799.23</v>
      </c>
      <c r="E91" s="32">
        <f>'A) Base RI'!X91</f>
        <v>0</v>
      </c>
      <c r="F91" s="32">
        <f>'A) Base RI'!Y91</f>
        <v>-2.39</v>
      </c>
      <c r="G91" s="2">
        <f t="shared" si="6"/>
        <v>1620532.55</v>
      </c>
      <c r="H91" s="10">
        <f>+'A) Base RI'!E91</f>
        <v>0</v>
      </c>
      <c r="I91" s="10">
        <f>+'A) Base RI'!F91</f>
        <v>0</v>
      </c>
      <c r="J91" s="10">
        <f>+'A) Base RI'!G91+'A) Base RI'!H91+'A) Base RI'!I91</f>
        <v>18217.900000000001</v>
      </c>
      <c r="K91" s="10">
        <f>+'A) Base RI'!J91</f>
        <v>0</v>
      </c>
      <c r="L91" s="10">
        <f>+'A) Base RI'!K91</f>
        <v>6673.58</v>
      </c>
      <c r="M91" s="10">
        <f>+'A) Base RI'!L91</f>
        <v>2254.3000000000002</v>
      </c>
      <c r="N91" s="10">
        <f>+'A) Base RI'!R91</f>
        <v>2086.3000000000002</v>
      </c>
      <c r="O91" s="10">
        <f t="shared" si="7"/>
        <v>137110.29999999999</v>
      </c>
      <c r="P91" s="10">
        <f>+'A) Base RI'!M91</f>
        <v>137110.29999999999</v>
      </c>
      <c r="Q91" s="35">
        <f>'A) Base RI'!Z91</f>
        <v>1</v>
      </c>
      <c r="R91" s="2">
        <f t="shared" si="8"/>
        <v>1786874.9300000002</v>
      </c>
      <c r="S91" s="34">
        <f>+'A) Base RI'!U91</f>
        <v>77</v>
      </c>
      <c r="T91" s="2">
        <f t="shared" si="9"/>
        <v>1647510.33</v>
      </c>
      <c r="U91" s="2">
        <f t="shared" si="10"/>
        <v>23206.167922077926</v>
      </c>
      <c r="V91" s="10">
        <f>+'A) Base RI'!P91</f>
        <v>0</v>
      </c>
      <c r="W91" s="10">
        <f>+'A) Base RI'!Q91</f>
        <v>14032.6</v>
      </c>
      <c r="X91" s="10">
        <f>+'A) Base RI'!S91</f>
        <v>18069.7</v>
      </c>
      <c r="Y91" s="2">
        <f t="shared" si="11"/>
        <v>32102.300000000003</v>
      </c>
      <c r="Z91" s="10">
        <f>+'A) Base RI'!O91</f>
        <v>34037.4</v>
      </c>
      <c r="AA91" s="10">
        <f>'A) Base RI'!V91</f>
        <v>769</v>
      </c>
    </row>
    <row r="92" spans="1:27" x14ac:dyDescent="0.25">
      <c r="A92" s="8">
        <f>'A) Base RI'!A92</f>
        <v>5537</v>
      </c>
      <c r="B92" s="33" t="str">
        <f>'A) Base RI'!B92</f>
        <v>Villars-le-Terroir</v>
      </c>
      <c r="C92" s="10">
        <f>'A) Base RI'!C92+'A) Base RI'!D92</f>
        <v>2215346.63</v>
      </c>
      <c r="D92" s="10">
        <f>'A) Base RI'!W92</f>
        <v>-30080.9</v>
      </c>
      <c r="E92" s="32">
        <f>'A) Base RI'!X92</f>
        <v>0</v>
      </c>
      <c r="F92" s="32">
        <f>'A) Base RI'!Y92</f>
        <v>0</v>
      </c>
      <c r="G92" s="2">
        <f t="shared" si="6"/>
        <v>2185265.73</v>
      </c>
      <c r="H92" s="10">
        <f>+'A) Base RI'!E92</f>
        <v>0</v>
      </c>
      <c r="I92" s="10">
        <f>+'A) Base RI'!F92</f>
        <v>6069.55</v>
      </c>
      <c r="J92" s="10">
        <f>+'A) Base RI'!G92+'A) Base RI'!H92+'A) Base RI'!I92</f>
        <v>24874.809999999998</v>
      </c>
      <c r="K92" s="10">
        <f>+'A) Base RI'!J92</f>
        <v>0</v>
      </c>
      <c r="L92" s="10">
        <f>+'A) Base RI'!K92</f>
        <v>38117.97</v>
      </c>
      <c r="M92" s="10">
        <f>+'A) Base RI'!L92</f>
        <v>1103.75</v>
      </c>
      <c r="N92" s="10">
        <f>+'A) Base RI'!R92</f>
        <v>-7364.15</v>
      </c>
      <c r="O92" s="10">
        <f t="shared" si="7"/>
        <v>197770</v>
      </c>
      <c r="P92" s="10">
        <f>+'A) Base RI'!M92</f>
        <v>158216</v>
      </c>
      <c r="Q92" s="35">
        <f>'A) Base RI'!Z92</f>
        <v>0.8</v>
      </c>
      <c r="R92" s="2">
        <f t="shared" si="8"/>
        <v>2445837.66</v>
      </c>
      <c r="S92" s="34">
        <f>+'A) Base RI'!U92</f>
        <v>73</v>
      </c>
      <c r="T92" s="2">
        <f t="shared" si="9"/>
        <v>2240894.3600000003</v>
      </c>
      <c r="U92" s="2">
        <f t="shared" si="10"/>
        <v>33504.625479452057</v>
      </c>
      <c r="V92" s="10">
        <f>+'A) Base RI'!P92</f>
        <v>2120.5</v>
      </c>
      <c r="W92" s="10">
        <f>+'A) Base RI'!Q92</f>
        <v>91281.600000000006</v>
      </c>
      <c r="X92" s="10">
        <f>+'A) Base RI'!S92</f>
        <v>51227.6</v>
      </c>
      <c r="Y92" s="2">
        <f t="shared" si="11"/>
        <v>144629.70000000001</v>
      </c>
      <c r="Z92" s="10">
        <f>+'A) Base RI'!O92</f>
        <v>954.05</v>
      </c>
      <c r="AA92" s="10">
        <f>'A) Base RI'!V92</f>
        <v>1150</v>
      </c>
    </row>
    <row r="93" spans="1:27" x14ac:dyDescent="0.25">
      <c r="A93" s="8">
        <f>'A) Base RI'!A93</f>
        <v>5539</v>
      </c>
      <c r="B93" s="33" t="str">
        <f>'A) Base RI'!B93</f>
        <v>Vuarrens</v>
      </c>
      <c r="C93" s="10">
        <f>'A) Base RI'!C93+'A) Base RI'!D93</f>
        <v>1816647.9700000002</v>
      </c>
      <c r="D93" s="10">
        <f>'A) Base RI'!W93</f>
        <v>-21512.86</v>
      </c>
      <c r="E93" s="32">
        <f>'A) Base RI'!X93</f>
        <v>0</v>
      </c>
      <c r="F93" s="32">
        <f>'A) Base RI'!Y93</f>
        <v>-40.229999999999997</v>
      </c>
      <c r="G93" s="2">
        <f t="shared" si="6"/>
        <v>1795094.8800000001</v>
      </c>
      <c r="H93" s="10">
        <f>+'A) Base RI'!E93</f>
        <v>0</v>
      </c>
      <c r="I93" s="10">
        <f>+'A) Base RI'!F93</f>
        <v>0</v>
      </c>
      <c r="J93" s="10">
        <f>+'A) Base RI'!G93+'A) Base RI'!H93+'A) Base RI'!I93</f>
        <v>7590.4900000000007</v>
      </c>
      <c r="K93" s="10">
        <f>+'A) Base RI'!J93</f>
        <v>0</v>
      </c>
      <c r="L93" s="10">
        <f>+'A) Base RI'!K93</f>
        <v>9088.7000000000007</v>
      </c>
      <c r="M93" s="10">
        <f>+'A) Base RI'!L93</f>
        <v>3239.7</v>
      </c>
      <c r="N93" s="10">
        <f>+'A) Base RI'!R93</f>
        <v>34053.21</v>
      </c>
      <c r="O93" s="10">
        <f t="shared" si="7"/>
        <v>170415.4375</v>
      </c>
      <c r="P93" s="10">
        <f>+'A) Base RI'!M93</f>
        <v>136332.35</v>
      </c>
      <c r="Q93" s="35">
        <f>'A) Base RI'!Z93</f>
        <v>0.8</v>
      </c>
      <c r="R93" s="2">
        <f t="shared" si="8"/>
        <v>2019482.4175</v>
      </c>
      <c r="S93" s="34">
        <f>+'A) Base RI'!U93</f>
        <v>75</v>
      </c>
      <c r="T93" s="2">
        <f t="shared" si="9"/>
        <v>1845827.28</v>
      </c>
      <c r="U93" s="2">
        <f t="shared" si="10"/>
        <v>26926.432233333333</v>
      </c>
      <c r="V93" s="10">
        <f>+'A) Base RI'!P93</f>
        <v>11461.3</v>
      </c>
      <c r="W93" s="10">
        <f>+'A) Base RI'!Q93</f>
        <v>44306.15</v>
      </c>
      <c r="X93" s="10">
        <f>+'A) Base RI'!S93</f>
        <v>18892.55</v>
      </c>
      <c r="Y93" s="2">
        <f t="shared" si="11"/>
        <v>74660</v>
      </c>
      <c r="Z93" s="10">
        <f>+'A) Base RI'!O93</f>
        <v>34768.85</v>
      </c>
      <c r="AA93" s="10">
        <f>'A) Base RI'!V93</f>
        <v>1003</v>
      </c>
    </row>
    <row r="94" spans="1:27" x14ac:dyDescent="0.25">
      <c r="A94" s="8">
        <f>'A) Base RI'!A94</f>
        <v>5540</v>
      </c>
      <c r="B94" s="33" t="str">
        <f>'A) Base RI'!B94</f>
        <v>Montilliez</v>
      </c>
      <c r="C94" s="10">
        <f>'A) Base RI'!C94+'A) Base RI'!D94</f>
        <v>3811905.13</v>
      </c>
      <c r="D94" s="10">
        <f>'A) Base RI'!W94</f>
        <v>-19340.84</v>
      </c>
      <c r="E94" s="32">
        <f>'A) Base RI'!X94</f>
        <v>-32732</v>
      </c>
      <c r="F94" s="32">
        <f>'A) Base RI'!Y94</f>
        <v>-118.95</v>
      </c>
      <c r="G94" s="2">
        <f t="shared" si="6"/>
        <v>3759713.34</v>
      </c>
      <c r="H94" s="10">
        <f>+'A) Base RI'!E94</f>
        <v>0</v>
      </c>
      <c r="I94" s="10">
        <f>+'A) Base RI'!F94</f>
        <v>0</v>
      </c>
      <c r="J94" s="10">
        <f>+'A) Base RI'!G94+'A) Base RI'!H94+'A) Base RI'!I94</f>
        <v>72372.56</v>
      </c>
      <c r="K94" s="10">
        <f>+'A) Base RI'!J94</f>
        <v>0</v>
      </c>
      <c r="L94" s="10">
        <f>+'A) Base RI'!K94</f>
        <v>67914.2</v>
      </c>
      <c r="M94" s="10">
        <f>+'A) Base RI'!L94</f>
        <v>6081.85</v>
      </c>
      <c r="N94" s="10">
        <f>+'A) Base RI'!R94</f>
        <v>2204.2800000000002</v>
      </c>
      <c r="O94" s="10">
        <f t="shared" si="7"/>
        <v>308503.875</v>
      </c>
      <c r="P94" s="10">
        <f>+'A) Base RI'!M94</f>
        <v>246803.1</v>
      </c>
      <c r="Q94" s="35">
        <f>'A) Base RI'!Z94</f>
        <v>0.8</v>
      </c>
      <c r="R94" s="2">
        <f t="shared" si="8"/>
        <v>4216790.1050000004</v>
      </c>
      <c r="S94" s="34">
        <f>+'A) Base RI'!U94</f>
        <v>74</v>
      </c>
      <c r="T94" s="2">
        <f t="shared" si="9"/>
        <v>3902204.38</v>
      </c>
      <c r="U94" s="2">
        <f t="shared" si="10"/>
        <v>56983.650067567571</v>
      </c>
      <c r="V94" s="10">
        <f>+'A) Base RI'!P94</f>
        <v>15898.9</v>
      </c>
      <c r="W94" s="10">
        <f>+'A) Base RI'!Q94</f>
        <v>152128.95000000001</v>
      </c>
      <c r="X94" s="10">
        <f>+'A) Base RI'!S94</f>
        <v>41705.800000000003</v>
      </c>
      <c r="Y94" s="2">
        <f t="shared" si="11"/>
        <v>209733.65000000002</v>
      </c>
      <c r="Z94" s="10">
        <f>+'A) Base RI'!O94</f>
        <v>2349.8000000000002</v>
      </c>
      <c r="AA94" s="10">
        <f>'A) Base RI'!V94</f>
        <v>1731</v>
      </c>
    </row>
    <row r="95" spans="1:27" x14ac:dyDescent="0.25">
      <c r="A95" s="8">
        <f>'A) Base RI'!A95</f>
        <v>5541</v>
      </c>
      <c r="B95" s="33" t="str">
        <f>'A) Base RI'!B95</f>
        <v>Goumoëns</v>
      </c>
      <c r="C95" s="10">
        <f>'A) Base RI'!C95+'A) Base RI'!D95</f>
        <v>2700894.9899999998</v>
      </c>
      <c r="D95" s="10">
        <f>'A) Base RI'!W95</f>
        <v>-18125.009999999998</v>
      </c>
      <c r="E95" s="32">
        <f>'A) Base RI'!X95</f>
        <v>0</v>
      </c>
      <c r="F95" s="32">
        <f>'A) Base RI'!Y95</f>
        <v>-2.44</v>
      </c>
      <c r="G95" s="2">
        <f t="shared" si="6"/>
        <v>2682767.54</v>
      </c>
      <c r="H95" s="10">
        <f>+'A) Base RI'!E95</f>
        <v>0</v>
      </c>
      <c r="I95" s="10">
        <f>+'A) Base RI'!F95</f>
        <v>0</v>
      </c>
      <c r="J95" s="10">
        <f>+'A) Base RI'!G95+'A) Base RI'!H95+'A) Base RI'!I95</f>
        <v>53366.720000000001</v>
      </c>
      <c r="K95" s="10">
        <f>+'A) Base RI'!J95</f>
        <v>0</v>
      </c>
      <c r="L95" s="10">
        <f>+'A) Base RI'!K95</f>
        <v>38121.31</v>
      </c>
      <c r="M95" s="10">
        <f>+'A) Base RI'!L95</f>
        <v>1170.1500000000001</v>
      </c>
      <c r="N95" s="10">
        <f>+'A) Base RI'!R95</f>
        <v>0</v>
      </c>
      <c r="O95" s="10">
        <f t="shared" si="7"/>
        <v>192791.35</v>
      </c>
      <c r="P95" s="10">
        <f>+'A) Base RI'!M95</f>
        <v>192791.35</v>
      </c>
      <c r="Q95" s="35">
        <f>'A) Base RI'!Z95</f>
        <v>1</v>
      </c>
      <c r="R95" s="2">
        <f t="shared" si="8"/>
        <v>2968217.0700000003</v>
      </c>
      <c r="S95" s="34">
        <f>+'A) Base RI'!U95</f>
        <v>77</v>
      </c>
      <c r="T95" s="2">
        <f t="shared" si="9"/>
        <v>2774255.5700000003</v>
      </c>
      <c r="U95" s="2">
        <f t="shared" si="10"/>
        <v>38548.273636363643</v>
      </c>
      <c r="V95" s="10">
        <f>+'A) Base RI'!P95</f>
        <v>56271.9</v>
      </c>
      <c r="W95" s="10">
        <f>+'A) Base RI'!Q95</f>
        <v>35585.4</v>
      </c>
      <c r="X95" s="10">
        <f>+'A) Base RI'!S95</f>
        <v>48023.45</v>
      </c>
      <c r="Y95" s="2">
        <f t="shared" si="11"/>
        <v>139880.75</v>
      </c>
      <c r="Z95" s="10">
        <f>+'A) Base RI'!O95</f>
        <v>7197</v>
      </c>
      <c r="AA95" s="10">
        <f>'A) Base RI'!V95</f>
        <v>1110</v>
      </c>
    </row>
    <row r="96" spans="1:27" x14ac:dyDescent="0.25">
      <c r="A96" s="8">
        <f>'A) Base RI'!A96</f>
        <v>5551</v>
      </c>
      <c r="B96" s="33" t="str">
        <f>'A) Base RI'!B96</f>
        <v>Bonvillars</v>
      </c>
      <c r="C96" s="10">
        <f>'A) Base RI'!C96+'A) Base RI'!D96</f>
        <v>906449.27</v>
      </c>
      <c r="D96" s="10">
        <f>'A) Base RI'!W96</f>
        <v>-89.15</v>
      </c>
      <c r="E96" s="32">
        <f>'A) Base RI'!X96</f>
        <v>0</v>
      </c>
      <c r="F96" s="32">
        <f>'A) Base RI'!Y96</f>
        <v>-251.57</v>
      </c>
      <c r="G96" s="2">
        <f t="shared" si="6"/>
        <v>906108.55</v>
      </c>
      <c r="H96" s="10">
        <f>+'A) Base RI'!E96</f>
        <v>0</v>
      </c>
      <c r="I96" s="10">
        <f>+'A) Base RI'!F96</f>
        <v>0</v>
      </c>
      <c r="J96" s="10">
        <f>+'A) Base RI'!G96+'A) Base RI'!H96+'A) Base RI'!I96</f>
        <v>13638.34</v>
      </c>
      <c r="K96" s="10">
        <f>+'A) Base RI'!J96</f>
        <v>0</v>
      </c>
      <c r="L96" s="10">
        <f>+'A) Base RI'!K96</f>
        <v>4440.8999999999996</v>
      </c>
      <c r="M96" s="10">
        <f>+'A) Base RI'!L96</f>
        <v>5013.6000000000004</v>
      </c>
      <c r="N96" s="10">
        <f>+'A) Base RI'!R96</f>
        <v>0</v>
      </c>
      <c r="O96" s="10">
        <f t="shared" si="7"/>
        <v>103441.8</v>
      </c>
      <c r="P96" s="10">
        <f>+'A) Base RI'!M96</f>
        <v>103441.8</v>
      </c>
      <c r="Q96" s="35">
        <f>'A) Base RI'!Z96</f>
        <v>1</v>
      </c>
      <c r="R96" s="2">
        <f t="shared" si="8"/>
        <v>1032643.1900000001</v>
      </c>
      <c r="S96" s="34">
        <f>+'A) Base RI'!U96</f>
        <v>55</v>
      </c>
      <c r="T96" s="2">
        <f t="shared" si="9"/>
        <v>924187.79</v>
      </c>
      <c r="U96" s="2">
        <f t="shared" si="10"/>
        <v>18775.330727272729</v>
      </c>
      <c r="V96" s="10">
        <f>+'A) Base RI'!P96</f>
        <v>0</v>
      </c>
      <c r="W96" s="10">
        <f>+'A) Base RI'!Q96</f>
        <v>100674.4</v>
      </c>
      <c r="X96" s="10">
        <f>+'A) Base RI'!S96</f>
        <v>15155.5</v>
      </c>
      <c r="Y96" s="2">
        <f t="shared" si="11"/>
        <v>115829.9</v>
      </c>
      <c r="Z96" s="10">
        <f>+'A) Base RI'!O96</f>
        <v>10619.35</v>
      </c>
      <c r="AA96" s="10">
        <f>'A) Base RI'!V96</f>
        <v>495</v>
      </c>
    </row>
    <row r="97" spans="1:27" x14ac:dyDescent="0.25">
      <c r="A97" s="8">
        <f>'A) Base RI'!A97</f>
        <v>5552</v>
      </c>
      <c r="B97" s="33" t="str">
        <f>'A) Base RI'!B97</f>
        <v>Bullet</v>
      </c>
      <c r="C97" s="10">
        <f>'A) Base RI'!C97+'A) Base RI'!D97</f>
        <v>1086532.56</v>
      </c>
      <c r="D97" s="10">
        <f>'A) Base RI'!W97</f>
        <v>-6636.37</v>
      </c>
      <c r="E97" s="32">
        <f>'A) Base RI'!X97</f>
        <v>0</v>
      </c>
      <c r="F97" s="32">
        <f>'A) Base RI'!Y97</f>
        <v>-2.21</v>
      </c>
      <c r="G97" s="2">
        <f t="shared" si="6"/>
        <v>1079893.98</v>
      </c>
      <c r="H97" s="10">
        <f>+'A) Base RI'!E97</f>
        <v>0</v>
      </c>
      <c r="I97" s="10">
        <f>+'A) Base RI'!F97</f>
        <v>0</v>
      </c>
      <c r="J97" s="10">
        <f>+'A) Base RI'!G97+'A) Base RI'!H97+'A) Base RI'!I97</f>
        <v>16720.47</v>
      </c>
      <c r="K97" s="10">
        <f>+'A) Base RI'!J97</f>
        <v>18158.48</v>
      </c>
      <c r="L97" s="10">
        <f>+'A) Base RI'!K97</f>
        <v>16042.29</v>
      </c>
      <c r="M97" s="10">
        <f>+'A) Base RI'!L97</f>
        <v>1528.9</v>
      </c>
      <c r="N97" s="10">
        <f>+'A) Base RI'!R97</f>
        <v>459.57</v>
      </c>
      <c r="O97" s="10">
        <f t="shared" si="7"/>
        <v>112420.6</v>
      </c>
      <c r="P97" s="10">
        <f>+'A) Base RI'!M97</f>
        <v>112420.6</v>
      </c>
      <c r="Q97" s="35">
        <f>'A) Base RI'!Z97</f>
        <v>1</v>
      </c>
      <c r="R97" s="2">
        <f t="shared" si="8"/>
        <v>1245224.29</v>
      </c>
      <c r="S97" s="34">
        <f>+'A) Base RI'!U97</f>
        <v>70</v>
      </c>
      <c r="T97" s="2">
        <f t="shared" si="9"/>
        <v>1131274.79</v>
      </c>
      <c r="U97" s="2">
        <f t="shared" si="10"/>
        <v>17788.918428571429</v>
      </c>
      <c r="V97" s="10">
        <f>+'A) Base RI'!P97</f>
        <v>16432.599999999999</v>
      </c>
      <c r="W97" s="10">
        <f>+'A) Base RI'!Q97</f>
        <v>55621.95</v>
      </c>
      <c r="X97" s="10">
        <f>+'A) Base RI'!S97</f>
        <v>19506.400000000001</v>
      </c>
      <c r="Y97" s="2">
        <f t="shared" si="11"/>
        <v>91560.949999999983</v>
      </c>
      <c r="Z97" s="10">
        <f>+'A) Base RI'!O97</f>
        <v>44648.35</v>
      </c>
      <c r="AA97" s="10">
        <f>'A) Base RI'!V97</f>
        <v>644</v>
      </c>
    </row>
    <row r="98" spans="1:27" x14ac:dyDescent="0.25">
      <c r="A98" s="8">
        <f>'A) Base RI'!A98</f>
        <v>5553</v>
      </c>
      <c r="B98" s="33" t="str">
        <f>'A) Base RI'!B98</f>
        <v>Champagne</v>
      </c>
      <c r="C98" s="10">
        <f>'A) Base RI'!C98+'A) Base RI'!D98</f>
        <v>1897336.58</v>
      </c>
      <c r="D98" s="10">
        <f>'A) Base RI'!W98</f>
        <v>-22312.42</v>
      </c>
      <c r="E98" s="32">
        <f>'A) Base RI'!X98</f>
        <v>0</v>
      </c>
      <c r="F98" s="32">
        <f>'A) Base RI'!Y98</f>
        <v>-453.75</v>
      </c>
      <c r="G98" s="2">
        <f t="shared" si="6"/>
        <v>1874570.4100000001</v>
      </c>
      <c r="H98" s="10">
        <f>+'A) Base RI'!E98</f>
        <v>0</v>
      </c>
      <c r="I98" s="10">
        <f>+'A) Base RI'!F98</f>
        <v>0</v>
      </c>
      <c r="J98" s="10">
        <f>+'A) Base RI'!G98+'A) Base RI'!H98+'A) Base RI'!I98</f>
        <v>70895.680000000008</v>
      </c>
      <c r="K98" s="10">
        <f>+'A) Base RI'!J98</f>
        <v>0</v>
      </c>
      <c r="L98" s="10">
        <f>+'A) Base RI'!K98</f>
        <v>44721.53</v>
      </c>
      <c r="M98" s="10">
        <f>+'A) Base RI'!L98</f>
        <v>18615.5</v>
      </c>
      <c r="N98" s="10">
        <f>+'A) Base RI'!R98</f>
        <v>0</v>
      </c>
      <c r="O98" s="10">
        <f t="shared" si="7"/>
        <v>205121.6</v>
      </c>
      <c r="P98" s="10">
        <f>+'A) Base RI'!M98</f>
        <v>205121.6</v>
      </c>
      <c r="Q98" s="35">
        <f>'A) Base RI'!Z98</f>
        <v>1</v>
      </c>
      <c r="R98" s="2">
        <f t="shared" si="8"/>
        <v>2213924.7200000002</v>
      </c>
      <c r="S98" s="34">
        <f>+'A) Base RI'!U98</f>
        <v>65</v>
      </c>
      <c r="T98" s="2">
        <f t="shared" si="9"/>
        <v>1990187.62</v>
      </c>
      <c r="U98" s="2">
        <f t="shared" si="10"/>
        <v>34060.380307692314</v>
      </c>
      <c r="V98" s="10">
        <f>+'A) Base RI'!P98</f>
        <v>5573.9</v>
      </c>
      <c r="W98" s="10">
        <f>+'A) Base RI'!Q98</f>
        <v>110224.3</v>
      </c>
      <c r="X98" s="10">
        <f>+'A) Base RI'!S98</f>
        <v>18822.400000000001</v>
      </c>
      <c r="Y98" s="2">
        <f t="shared" si="11"/>
        <v>134620.6</v>
      </c>
      <c r="Z98" s="10">
        <f>+'A) Base RI'!O98</f>
        <v>128249.75</v>
      </c>
      <c r="AA98" s="10">
        <f>'A) Base RI'!V98</f>
        <v>1027</v>
      </c>
    </row>
    <row r="99" spans="1:27" x14ac:dyDescent="0.25">
      <c r="A99" s="8">
        <f>'A) Base RI'!A99</f>
        <v>5554</v>
      </c>
      <c r="B99" s="33" t="str">
        <f>'A) Base RI'!B99</f>
        <v>Concise</v>
      </c>
      <c r="C99" s="10">
        <f>'A) Base RI'!C99+'A) Base RI'!D99</f>
        <v>2145060.29</v>
      </c>
      <c r="D99" s="10">
        <f>'A) Base RI'!W99</f>
        <v>-34091.85</v>
      </c>
      <c r="E99" s="32">
        <f>'A) Base RI'!X99</f>
        <v>0</v>
      </c>
      <c r="F99" s="32">
        <f>'A) Base RI'!Y99</f>
        <v>-915.76</v>
      </c>
      <c r="G99" s="2">
        <f t="shared" si="6"/>
        <v>2110052.6800000002</v>
      </c>
      <c r="H99" s="10">
        <f>+'A) Base RI'!E99</f>
        <v>0</v>
      </c>
      <c r="I99" s="10">
        <f>+'A) Base RI'!F99</f>
        <v>0</v>
      </c>
      <c r="J99" s="10">
        <f>+'A) Base RI'!G99+'A) Base RI'!H99+'A) Base RI'!I99</f>
        <v>10599.900000000001</v>
      </c>
      <c r="K99" s="10">
        <f>+'A) Base RI'!J99</f>
        <v>0</v>
      </c>
      <c r="L99" s="10">
        <f>+'A) Base RI'!K99</f>
        <v>39776.75</v>
      </c>
      <c r="M99" s="10">
        <f>+'A) Base RI'!L99</f>
        <v>6538.85</v>
      </c>
      <c r="N99" s="10">
        <f>+'A) Base RI'!R99</f>
        <v>43217.08</v>
      </c>
      <c r="O99" s="10">
        <f t="shared" si="7"/>
        <v>167391.5</v>
      </c>
      <c r="P99" s="10">
        <f>+'A) Base RI'!M99</f>
        <v>167391.5</v>
      </c>
      <c r="Q99" s="35">
        <f>'A) Base RI'!Z99</f>
        <v>1</v>
      </c>
      <c r="R99" s="2">
        <f t="shared" si="8"/>
        <v>2377576.7600000002</v>
      </c>
      <c r="S99" s="34">
        <f>+'A) Base RI'!U99</f>
        <v>75</v>
      </c>
      <c r="T99" s="2">
        <f t="shared" si="9"/>
        <v>2203646.41</v>
      </c>
      <c r="U99" s="2">
        <f t="shared" si="10"/>
        <v>31701.023466666669</v>
      </c>
      <c r="V99" s="10">
        <f>+'A) Base RI'!P99</f>
        <v>24244.400000000001</v>
      </c>
      <c r="W99" s="10">
        <f>+'A) Base RI'!Q99</f>
        <v>52994.6</v>
      </c>
      <c r="X99" s="10">
        <f>+'A) Base RI'!S99</f>
        <v>40015.1</v>
      </c>
      <c r="Y99" s="2">
        <f t="shared" si="11"/>
        <v>117254.1</v>
      </c>
      <c r="Z99" s="10">
        <f>+'A) Base RI'!O99</f>
        <v>1585.3</v>
      </c>
      <c r="AA99" s="10">
        <f>'A) Base RI'!V99</f>
        <v>969</v>
      </c>
    </row>
    <row r="100" spans="1:27" x14ac:dyDescent="0.25">
      <c r="A100" s="8">
        <f>'A) Base RI'!A100</f>
        <v>5555</v>
      </c>
      <c r="B100" s="33" t="str">
        <f>'A) Base RI'!B100</f>
        <v>Corcelles-près-Concise</v>
      </c>
      <c r="C100" s="10">
        <f>'A) Base RI'!C100+'A) Base RI'!D100</f>
        <v>854508.48</v>
      </c>
      <c r="D100" s="10">
        <f>'A) Base RI'!W100</f>
        <v>-8875.9500000000007</v>
      </c>
      <c r="E100" s="32">
        <f>'A) Base RI'!X100</f>
        <v>0</v>
      </c>
      <c r="F100" s="32">
        <f>'A) Base RI'!Y100</f>
        <v>-0.86</v>
      </c>
      <c r="G100" s="2">
        <f t="shared" si="6"/>
        <v>845631.67</v>
      </c>
      <c r="H100" s="10">
        <f>+'A) Base RI'!E100</f>
        <v>0</v>
      </c>
      <c r="I100" s="10">
        <f>+'A) Base RI'!F100</f>
        <v>0</v>
      </c>
      <c r="J100" s="10">
        <f>+'A) Base RI'!G100+'A) Base RI'!H100+'A) Base RI'!I100</f>
        <v>9717.3000000000047</v>
      </c>
      <c r="K100" s="10">
        <f>+'A) Base RI'!J100</f>
        <v>0</v>
      </c>
      <c r="L100" s="10">
        <f>+'A) Base RI'!K100</f>
        <v>25954.69</v>
      </c>
      <c r="M100" s="10">
        <f>+'A) Base RI'!L100</f>
        <v>1829.1</v>
      </c>
      <c r="N100" s="10">
        <f>+'A) Base RI'!R100</f>
        <v>3049.2</v>
      </c>
      <c r="O100" s="10">
        <f t="shared" si="7"/>
        <v>81681.25</v>
      </c>
      <c r="P100" s="10">
        <f>+'A) Base RI'!M100</f>
        <v>81681.25</v>
      </c>
      <c r="Q100" s="35">
        <f>'A) Base RI'!Z100</f>
        <v>1</v>
      </c>
      <c r="R100" s="2">
        <f t="shared" si="8"/>
        <v>967863.21</v>
      </c>
      <c r="S100" s="34">
        <f>+'A) Base RI'!U100</f>
        <v>71</v>
      </c>
      <c r="T100" s="2">
        <f t="shared" si="9"/>
        <v>884352.86</v>
      </c>
      <c r="U100" s="2">
        <f t="shared" si="10"/>
        <v>13631.876197183097</v>
      </c>
      <c r="V100" s="10">
        <f>+'A) Base RI'!P100</f>
        <v>1530.3</v>
      </c>
      <c r="W100" s="10">
        <f>+'A) Base RI'!Q100</f>
        <v>60753.05</v>
      </c>
      <c r="X100" s="10">
        <f>+'A) Base RI'!S100</f>
        <v>56927.35</v>
      </c>
      <c r="Y100" s="2">
        <f t="shared" si="11"/>
        <v>119210.70000000001</v>
      </c>
      <c r="Z100" s="10">
        <f>+'A) Base RI'!O100</f>
        <v>7825.5</v>
      </c>
      <c r="AA100" s="10">
        <f>'A) Base RI'!V100</f>
        <v>377</v>
      </c>
    </row>
    <row r="101" spans="1:27" x14ac:dyDescent="0.25">
      <c r="A101" s="8">
        <f>'A) Base RI'!A101</f>
        <v>5556</v>
      </c>
      <c r="B101" s="33" t="str">
        <f>'A) Base RI'!B101</f>
        <v>Fiez</v>
      </c>
      <c r="C101" s="10">
        <f>'A) Base RI'!C101+'A) Base RI'!D101</f>
        <v>817431.87</v>
      </c>
      <c r="D101" s="10">
        <f>'A) Base RI'!W101</f>
        <v>-1314</v>
      </c>
      <c r="E101" s="32">
        <f>'A) Base RI'!X101</f>
        <v>0</v>
      </c>
      <c r="F101" s="32">
        <f>'A) Base RI'!Y101</f>
        <v>-0.12</v>
      </c>
      <c r="G101" s="2">
        <f t="shared" si="6"/>
        <v>816117.75</v>
      </c>
      <c r="H101" s="10">
        <f>+'A) Base RI'!E101</f>
        <v>0</v>
      </c>
      <c r="I101" s="10">
        <f>+'A) Base RI'!F101</f>
        <v>2200</v>
      </c>
      <c r="J101" s="10">
        <f>+'A) Base RI'!G101+'A) Base RI'!H101+'A) Base RI'!I101</f>
        <v>1007.0699999999999</v>
      </c>
      <c r="K101" s="10">
        <f>+'A) Base RI'!J101</f>
        <v>0</v>
      </c>
      <c r="L101" s="10">
        <f>+'A) Base RI'!K101</f>
        <v>5726.85</v>
      </c>
      <c r="M101" s="10">
        <f>+'A) Base RI'!L101</f>
        <v>519.15</v>
      </c>
      <c r="N101" s="10">
        <f>+'A) Base RI'!R101</f>
        <v>0</v>
      </c>
      <c r="O101" s="10">
        <f t="shared" si="7"/>
        <v>65123.166666666672</v>
      </c>
      <c r="P101" s="10">
        <f>+'A) Base RI'!M101</f>
        <v>78147.8</v>
      </c>
      <c r="Q101" s="35">
        <f>'A) Base RI'!Z101</f>
        <v>1.2</v>
      </c>
      <c r="R101" s="2">
        <f t="shared" si="8"/>
        <v>890693.98666666658</v>
      </c>
      <c r="S101" s="34">
        <f>+'A) Base RI'!U101</f>
        <v>69</v>
      </c>
      <c r="T101" s="2">
        <f t="shared" si="9"/>
        <v>822851.66999999993</v>
      </c>
      <c r="U101" s="2">
        <f t="shared" si="10"/>
        <v>12908.608502415458</v>
      </c>
      <c r="V101" s="10">
        <f>+'A) Base RI'!P101</f>
        <v>425344.2</v>
      </c>
      <c r="W101" s="10">
        <f>+'A) Base RI'!Q101</f>
        <v>31181</v>
      </c>
      <c r="X101" s="10">
        <f>+'A) Base RI'!S101</f>
        <v>18020.849999999999</v>
      </c>
      <c r="Y101" s="2">
        <f t="shared" si="11"/>
        <v>474546.05</v>
      </c>
      <c r="Z101" s="10">
        <f>+'A) Base RI'!O101</f>
        <v>0</v>
      </c>
      <c r="AA101" s="10">
        <f>'A) Base RI'!V101</f>
        <v>425</v>
      </c>
    </row>
    <row r="102" spans="1:27" x14ac:dyDescent="0.25">
      <c r="A102" s="8">
        <f>'A) Base RI'!A102</f>
        <v>5557</v>
      </c>
      <c r="B102" s="33" t="str">
        <f>'A) Base RI'!B102</f>
        <v>Fontaines-sur-Grandson</v>
      </c>
      <c r="C102" s="10">
        <f>'A) Base RI'!C102+'A) Base RI'!D102</f>
        <v>271335.60000000003</v>
      </c>
      <c r="D102" s="10">
        <f>'A) Base RI'!W102</f>
        <v>-5164.3100000000004</v>
      </c>
      <c r="E102" s="32">
        <f>'A) Base RI'!X102</f>
        <v>0</v>
      </c>
      <c r="F102" s="32">
        <f>'A) Base RI'!Y102</f>
        <v>0</v>
      </c>
      <c r="G102" s="2">
        <f t="shared" si="6"/>
        <v>266171.29000000004</v>
      </c>
      <c r="H102" s="10">
        <f>+'A) Base RI'!E102</f>
        <v>0</v>
      </c>
      <c r="I102" s="10">
        <f>+'A) Base RI'!F102</f>
        <v>990</v>
      </c>
      <c r="J102" s="10">
        <f>+'A) Base RI'!G102+'A) Base RI'!H102+'A) Base RI'!I102</f>
        <v>6024.93</v>
      </c>
      <c r="K102" s="10">
        <f>+'A) Base RI'!J102</f>
        <v>0</v>
      </c>
      <c r="L102" s="10">
        <f>+'A) Base RI'!K102</f>
        <v>1486.95</v>
      </c>
      <c r="M102" s="10">
        <f>+'A) Base RI'!L102</f>
        <v>270.89999999999998</v>
      </c>
      <c r="N102" s="10">
        <f>+'A) Base RI'!R102</f>
        <v>800.77</v>
      </c>
      <c r="O102" s="10">
        <f t="shared" si="7"/>
        <v>30035.7</v>
      </c>
      <c r="P102" s="10">
        <f>+'A) Base RI'!M102</f>
        <v>30035.7</v>
      </c>
      <c r="Q102" s="35">
        <f>'A) Base RI'!Z102</f>
        <v>1</v>
      </c>
      <c r="R102" s="2">
        <f t="shared" si="8"/>
        <v>305780.5400000001</v>
      </c>
      <c r="S102" s="34">
        <f>+'A) Base RI'!U102</f>
        <v>69</v>
      </c>
      <c r="T102" s="2">
        <f t="shared" si="9"/>
        <v>274483.94000000006</v>
      </c>
      <c r="U102" s="2">
        <f t="shared" si="10"/>
        <v>4431.6020289855087</v>
      </c>
      <c r="V102" s="10">
        <f>+'A) Base RI'!P102</f>
        <v>945.6</v>
      </c>
      <c r="W102" s="10">
        <f>+'A) Base RI'!Q102</f>
        <v>21738</v>
      </c>
      <c r="X102" s="10">
        <f>+'A) Base RI'!S102</f>
        <v>7943.8</v>
      </c>
      <c r="Y102" s="2">
        <f t="shared" si="11"/>
        <v>30627.399999999998</v>
      </c>
      <c r="Z102" s="10">
        <f>+'A) Base RI'!O102</f>
        <v>0</v>
      </c>
      <c r="AA102" s="10">
        <f>'A) Base RI'!V102</f>
        <v>210</v>
      </c>
    </row>
    <row r="103" spans="1:27" x14ac:dyDescent="0.25">
      <c r="A103" s="8">
        <f>'A) Base RI'!A103</f>
        <v>5559</v>
      </c>
      <c r="B103" s="33" t="str">
        <f>'A) Base RI'!B103</f>
        <v>Giez</v>
      </c>
      <c r="C103" s="10">
        <f>'A) Base RI'!C103+'A) Base RI'!D103</f>
        <v>1020767.05</v>
      </c>
      <c r="D103" s="10">
        <f>'A) Base RI'!W103</f>
        <v>-15820.41</v>
      </c>
      <c r="E103" s="32">
        <f>'A) Base RI'!X103</f>
        <v>0</v>
      </c>
      <c r="F103" s="32">
        <f>'A) Base RI'!Y103</f>
        <v>-398.96</v>
      </c>
      <c r="G103" s="2">
        <f t="shared" si="6"/>
        <v>1004547.68</v>
      </c>
      <c r="H103" s="10">
        <f>+'A) Base RI'!E103</f>
        <v>0</v>
      </c>
      <c r="I103" s="10">
        <f>+'A) Base RI'!F103</f>
        <v>0</v>
      </c>
      <c r="J103" s="10">
        <f>+'A) Base RI'!G103+'A) Base RI'!H103+'A) Base RI'!I103</f>
        <v>-59574.289999999994</v>
      </c>
      <c r="K103" s="10">
        <f>+'A) Base RI'!J103</f>
        <v>0</v>
      </c>
      <c r="L103" s="10">
        <f>+'A) Base RI'!K103</f>
        <v>7128</v>
      </c>
      <c r="M103" s="10">
        <f>+'A) Base RI'!L103</f>
        <v>3427.8</v>
      </c>
      <c r="N103" s="10">
        <f>+'A) Base RI'!R103</f>
        <v>1666.8</v>
      </c>
      <c r="O103" s="10">
        <f t="shared" si="7"/>
        <v>84923.3</v>
      </c>
      <c r="P103" s="10">
        <f>+'A) Base RI'!M103</f>
        <v>84923.3</v>
      </c>
      <c r="Q103" s="35">
        <f>'A) Base RI'!Z103</f>
        <v>1</v>
      </c>
      <c r="R103" s="2">
        <f t="shared" si="8"/>
        <v>1042119.2900000002</v>
      </c>
      <c r="S103" s="34">
        <f>+'A) Base RI'!U103</f>
        <v>66</v>
      </c>
      <c r="T103" s="2">
        <f t="shared" si="9"/>
        <v>953768.19000000006</v>
      </c>
      <c r="U103" s="2">
        <f t="shared" si="10"/>
        <v>15789.686212121214</v>
      </c>
      <c r="V103" s="10">
        <f>+'A) Base RI'!P103</f>
        <v>2548.6999999999998</v>
      </c>
      <c r="W103" s="10">
        <f>+'A) Base RI'!Q103</f>
        <v>23033.35</v>
      </c>
      <c r="X103" s="10">
        <f>+'A) Base RI'!S103</f>
        <v>31515.85</v>
      </c>
      <c r="Y103" s="2">
        <f t="shared" si="11"/>
        <v>57097.899999999994</v>
      </c>
      <c r="Z103" s="10">
        <f>+'A) Base RI'!O103</f>
        <v>18858.099999999999</v>
      </c>
      <c r="AA103" s="10">
        <f>'A) Base RI'!V103</f>
        <v>421</v>
      </c>
    </row>
    <row r="104" spans="1:27" x14ac:dyDescent="0.25">
      <c r="A104" s="8">
        <f>'A) Base RI'!A104</f>
        <v>5560</v>
      </c>
      <c r="B104" s="33" t="str">
        <f>'A) Base RI'!B104</f>
        <v>Grandevent</v>
      </c>
      <c r="C104" s="10">
        <f>'A) Base RI'!C104+'A) Base RI'!D104</f>
        <v>410265.37</v>
      </c>
      <c r="D104" s="10">
        <f>'A) Base RI'!W104</f>
        <v>-18640.64</v>
      </c>
      <c r="E104" s="32">
        <f>'A) Base RI'!X104</f>
        <v>0</v>
      </c>
      <c r="F104" s="32">
        <f>'A) Base RI'!Y104</f>
        <v>0</v>
      </c>
      <c r="G104" s="2">
        <f t="shared" si="6"/>
        <v>391624.73</v>
      </c>
      <c r="H104" s="10">
        <f>+'A) Base RI'!E104</f>
        <v>0</v>
      </c>
      <c r="I104" s="10">
        <f>+'A) Base RI'!F104</f>
        <v>0</v>
      </c>
      <c r="J104" s="10">
        <f>+'A) Base RI'!G104+'A) Base RI'!H104+'A) Base RI'!I104</f>
        <v>474.74</v>
      </c>
      <c r="K104" s="10">
        <f>+'A) Base RI'!J104</f>
        <v>0</v>
      </c>
      <c r="L104" s="10">
        <f>+'A) Base RI'!K104</f>
        <v>-6587.12</v>
      </c>
      <c r="M104" s="10">
        <f>+'A) Base RI'!L104</f>
        <v>566.70000000000005</v>
      </c>
      <c r="N104" s="10">
        <f>+'A) Base RI'!R104</f>
        <v>0</v>
      </c>
      <c r="O104" s="10">
        <f t="shared" si="7"/>
        <v>39826.550000000003</v>
      </c>
      <c r="P104" s="10">
        <f>+'A) Base RI'!M104</f>
        <v>39826.550000000003</v>
      </c>
      <c r="Q104" s="35">
        <f>'A) Base RI'!Z104</f>
        <v>1</v>
      </c>
      <c r="R104" s="2">
        <f t="shared" si="8"/>
        <v>425905.6</v>
      </c>
      <c r="S104" s="34">
        <f>+'A) Base RI'!U104</f>
        <v>68</v>
      </c>
      <c r="T104" s="2">
        <f t="shared" si="9"/>
        <v>385512.35</v>
      </c>
      <c r="U104" s="2">
        <f t="shared" si="10"/>
        <v>6263.3176470588232</v>
      </c>
      <c r="V104" s="10">
        <f>+'A) Base RI'!P104</f>
        <v>230.3</v>
      </c>
      <c r="W104" s="10">
        <f>+'A) Base RI'!Q104</f>
        <v>18468.5</v>
      </c>
      <c r="X104" s="10">
        <f>+'A) Base RI'!S104</f>
        <v>8668.25</v>
      </c>
      <c r="Y104" s="2">
        <f t="shared" si="11"/>
        <v>27367.05</v>
      </c>
      <c r="Z104" s="10">
        <f>+'A) Base RI'!O104</f>
        <v>0</v>
      </c>
      <c r="AA104" s="10">
        <f>'A) Base RI'!V104</f>
        <v>229</v>
      </c>
    </row>
    <row r="105" spans="1:27" x14ac:dyDescent="0.25">
      <c r="A105" s="8">
        <f>'A) Base RI'!A105</f>
        <v>5561</v>
      </c>
      <c r="B105" s="33" t="str">
        <f>'A) Base RI'!B105</f>
        <v>Grandson</v>
      </c>
      <c r="C105" s="10">
        <f>'A) Base RI'!C105+'A) Base RI'!D105</f>
        <v>7159389.9900000002</v>
      </c>
      <c r="D105" s="10">
        <f>'A) Base RI'!W105</f>
        <v>-99993.88</v>
      </c>
      <c r="E105" s="32">
        <f>'A) Base RI'!X105</f>
        <v>0</v>
      </c>
      <c r="F105" s="32">
        <f>'A) Base RI'!Y105</f>
        <v>-205.46</v>
      </c>
      <c r="G105" s="2">
        <f t="shared" si="6"/>
        <v>7059190.6500000004</v>
      </c>
      <c r="H105" s="10">
        <f>+'A) Base RI'!E105</f>
        <v>0</v>
      </c>
      <c r="I105" s="10">
        <f>+'A) Base RI'!F105</f>
        <v>0</v>
      </c>
      <c r="J105" s="10">
        <f>+'A) Base RI'!G105+'A) Base RI'!H105+'A) Base RI'!I105</f>
        <v>199414.62</v>
      </c>
      <c r="K105" s="10">
        <f>+'A) Base RI'!J105</f>
        <v>0</v>
      </c>
      <c r="L105" s="10">
        <f>+'A) Base RI'!K105</f>
        <v>115848.41</v>
      </c>
      <c r="M105" s="10">
        <f>+'A) Base RI'!L105</f>
        <v>28638.35</v>
      </c>
      <c r="N105" s="10">
        <f>+'A) Base RI'!R105</f>
        <v>21529.73</v>
      </c>
      <c r="O105" s="10">
        <f t="shared" si="7"/>
        <v>555808.6</v>
      </c>
      <c r="P105" s="10">
        <f>+'A) Base RI'!M105</f>
        <v>555808.6</v>
      </c>
      <c r="Q105" s="35">
        <f>'A) Base RI'!Z105</f>
        <v>1</v>
      </c>
      <c r="R105" s="2">
        <f t="shared" si="8"/>
        <v>7980430.3600000003</v>
      </c>
      <c r="S105" s="34">
        <f>+'A) Base RI'!U105</f>
        <v>69</v>
      </c>
      <c r="T105" s="2">
        <f t="shared" si="9"/>
        <v>7395983.4100000011</v>
      </c>
      <c r="U105" s="2">
        <f t="shared" si="10"/>
        <v>115658.41101449275</v>
      </c>
      <c r="V105" s="10">
        <f>+'A) Base RI'!P105</f>
        <v>183273.15</v>
      </c>
      <c r="W105" s="10">
        <f>+'A) Base RI'!Q105</f>
        <v>144671</v>
      </c>
      <c r="X105" s="10">
        <f>+'A) Base RI'!S105</f>
        <v>57269.75</v>
      </c>
      <c r="Y105" s="2">
        <f t="shared" si="11"/>
        <v>385213.9</v>
      </c>
      <c r="Z105" s="10">
        <f>+'A) Base RI'!O105</f>
        <v>286091.09999999998</v>
      </c>
      <c r="AA105" s="10">
        <f>'A) Base RI'!V105</f>
        <v>3284</v>
      </c>
    </row>
    <row r="106" spans="1:27" x14ac:dyDescent="0.25">
      <c r="A106" s="8">
        <f>'A) Base RI'!A106</f>
        <v>5562</v>
      </c>
      <c r="B106" s="33" t="str">
        <f>'A) Base RI'!B106</f>
        <v>Mauborget</v>
      </c>
      <c r="C106" s="10">
        <f>'A) Base RI'!C106+'A) Base RI'!D106</f>
        <v>377030.03</v>
      </c>
      <c r="D106" s="10">
        <f>'A) Base RI'!W106</f>
        <v>-739.61</v>
      </c>
      <c r="E106" s="32">
        <f>'A) Base RI'!X106</f>
        <v>0</v>
      </c>
      <c r="F106" s="32">
        <f>'A) Base RI'!Y106</f>
        <v>0</v>
      </c>
      <c r="G106" s="2">
        <f t="shared" si="6"/>
        <v>376290.42000000004</v>
      </c>
      <c r="H106" s="10">
        <f>+'A) Base RI'!E106</f>
        <v>0</v>
      </c>
      <c r="I106" s="10">
        <f>+'A) Base RI'!F106</f>
        <v>730</v>
      </c>
      <c r="J106" s="10">
        <f>+'A) Base RI'!G106+'A) Base RI'!H106+'A) Base RI'!I106</f>
        <v>1557.42</v>
      </c>
      <c r="K106" s="10">
        <f>+'A) Base RI'!J106</f>
        <v>0</v>
      </c>
      <c r="L106" s="10">
        <f>+'A) Base RI'!K106</f>
        <v>6000.03</v>
      </c>
      <c r="M106" s="10">
        <f>+'A) Base RI'!L106</f>
        <v>1155.5</v>
      </c>
      <c r="N106" s="10">
        <f>+'A) Base RI'!R106</f>
        <v>110.97</v>
      </c>
      <c r="O106" s="10">
        <f t="shared" si="7"/>
        <v>27349.125</v>
      </c>
      <c r="P106" s="10">
        <f>+'A) Base RI'!M106</f>
        <v>32818.949999999997</v>
      </c>
      <c r="Q106" s="35">
        <f>'A) Base RI'!Z106</f>
        <v>1.2</v>
      </c>
      <c r="R106" s="2">
        <f t="shared" si="8"/>
        <v>413193.46500000003</v>
      </c>
      <c r="S106" s="34">
        <f>+'A) Base RI'!U106</f>
        <v>70</v>
      </c>
      <c r="T106" s="2">
        <f t="shared" si="9"/>
        <v>383958.84</v>
      </c>
      <c r="U106" s="2">
        <f t="shared" si="10"/>
        <v>5902.7637857142863</v>
      </c>
      <c r="V106" s="10">
        <f>+'A) Base RI'!P106</f>
        <v>9400.5</v>
      </c>
      <c r="W106" s="10">
        <f>+'A) Base RI'!Q106</f>
        <v>3704.95</v>
      </c>
      <c r="X106" s="10">
        <f>+'A) Base RI'!S106</f>
        <v>0</v>
      </c>
      <c r="Y106" s="2">
        <f t="shared" si="11"/>
        <v>13105.45</v>
      </c>
      <c r="Z106" s="10">
        <f>+'A) Base RI'!O106</f>
        <v>0</v>
      </c>
      <c r="AA106" s="10">
        <f>'A) Base RI'!V106</f>
        <v>119</v>
      </c>
    </row>
    <row r="107" spans="1:27" x14ac:dyDescent="0.25">
      <c r="A107" s="8">
        <f>'A) Base RI'!A107</f>
        <v>5563</v>
      </c>
      <c r="B107" s="33" t="str">
        <f>'A) Base RI'!B107</f>
        <v>Mutrux</v>
      </c>
      <c r="C107" s="10">
        <f>'A) Base RI'!C107+'A) Base RI'!D107</f>
        <v>222078.18</v>
      </c>
      <c r="D107" s="10">
        <f>'A) Base RI'!W107</f>
        <v>-58.14</v>
      </c>
      <c r="E107" s="32">
        <f>'A) Base RI'!X107</f>
        <v>0</v>
      </c>
      <c r="F107" s="32">
        <f>'A) Base RI'!Y107</f>
        <v>0</v>
      </c>
      <c r="G107" s="2">
        <f t="shared" si="6"/>
        <v>222020.03999999998</v>
      </c>
      <c r="H107" s="10">
        <f>+'A) Base RI'!E107</f>
        <v>0</v>
      </c>
      <c r="I107" s="10">
        <f>+'A) Base RI'!F107</f>
        <v>534</v>
      </c>
      <c r="J107" s="10">
        <f>+'A) Base RI'!G107+'A) Base RI'!H107+'A) Base RI'!I107</f>
        <v>526.17000000000007</v>
      </c>
      <c r="K107" s="10">
        <f>+'A) Base RI'!J107</f>
        <v>0</v>
      </c>
      <c r="L107" s="10">
        <f>+'A) Base RI'!K107</f>
        <v>332.06</v>
      </c>
      <c r="M107" s="10">
        <f>+'A) Base RI'!L107</f>
        <v>0</v>
      </c>
      <c r="N107" s="10">
        <f>+'A) Base RI'!R107</f>
        <v>0</v>
      </c>
      <c r="O107" s="10">
        <f t="shared" si="7"/>
        <v>20665.95</v>
      </c>
      <c r="P107" s="10">
        <f>+'A) Base RI'!M107</f>
        <v>20665.95</v>
      </c>
      <c r="Q107" s="35">
        <f>'A) Base RI'!Z107</f>
        <v>1</v>
      </c>
      <c r="R107" s="2">
        <f t="shared" si="8"/>
        <v>244078.22</v>
      </c>
      <c r="S107" s="34">
        <f>+'A) Base RI'!U107</f>
        <v>78.5</v>
      </c>
      <c r="T107" s="2">
        <f t="shared" si="9"/>
        <v>222878.27</v>
      </c>
      <c r="U107" s="2">
        <f t="shared" si="10"/>
        <v>3109.2766878980892</v>
      </c>
      <c r="V107" s="10">
        <f>+'A) Base RI'!P107</f>
        <v>26.9</v>
      </c>
      <c r="W107" s="10">
        <f>+'A) Base RI'!Q107</f>
        <v>11950.95</v>
      </c>
      <c r="X107" s="10">
        <f>+'A) Base RI'!S107</f>
        <v>265.14999999999998</v>
      </c>
      <c r="Y107" s="2">
        <f t="shared" si="11"/>
        <v>12243</v>
      </c>
      <c r="Z107" s="10">
        <f>+'A) Base RI'!O107</f>
        <v>0</v>
      </c>
      <c r="AA107" s="10">
        <f>'A) Base RI'!V107</f>
        <v>163</v>
      </c>
    </row>
    <row r="108" spans="1:27" x14ac:dyDescent="0.25">
      <c r="A108" s="8">
        <f>'A) Base RI'!A108</f>
        <v>5564</v>
      </c>
      <c r="B108" s="33" t="str">
        <f>'A) Base RI'!B108</f>
        <v>Novalles</v>
      </c>
      <c r="C108" s="10">
        <f>'A) Base RI'!C108+'A) Base RI'!D108</f>
        <v>190608.76</v>
      </c>
      <c r="D108" s="10">
        <f>'A) Base RI'!W108</f>
        <v>-3823.54</v>
      </c>
      <c r="E108" s="32">
        <f>'A) Base RI'!X108</f>
        <v>0</v>
      </c>
      <c r="F108" s="32">
        <f>'A) Base RI'!Y108</f>
        <v>-9.23</v>
      </c>
      <c r="G108" s="2">
        <f t="shared" si="6"/>
        <v>186775.99</v>
      </c>
      <c r="H108" s="10">
        <f>+'A) Base RI'!E108</f>
        <v>0</v>
      </c>
      <c r="I108" s="10">
        <f>+'A) Base RI'!F108</f>
        <v>0</v>
      </c>
      <c r="J108" s="10">
        <f>+'A) Base RI'!G108+'A) Base RI'!H108+'A) Base RI'!I108</f>
        <v>157.17000000000002</v>
      </c>
      <c r="K108" s="10">
        <f>+'A) Base RI'!J108</f>
        <v>0</v>
      </c>
      <c r="L108" s="10">
        <f>+'A) Base RI'!K108</f>
        <v>-235.32</v>
      </c>
      <c r="M108" s="10">
        <f>+'A) Base RI'!L108</f>
        <v>0</v>
      </c>
      <c r="N108" s="10">
        <f>+'A) Base RI'!R108</f>
        <v>0</v>
      </c>
      <c r="O108" s="10">
        <f t="shared" si="7"/>
        <v>12862.1875</v>
      </c>
      <c r="P108" s="10">
        <f>+'A) Base RI'!M108</f>
        <v>10289.75</v>
      </c>
      <c r="Q108" s="35">
        <f>'A) Base RI'!Z108</f>
        <v>0.8</v>
      </c>
      <c r="R108" s="2">
        <f t="shared" si="8"/>
        <v>199560.0275</v>
      </c>
      <c r="S108" s="34">
        <f>+'A) Base RI'!U108</f>
        <v>76</v>
      </c>
      <c r="T108" s="2">
        <f t="shared" si="9"/>
        <v>186697.84</v>
      </c>
      <c r="U108" s="2">
        <f t="shared" si="10"/>
        <v>2625.7898355263155</v>
      </c>
      <c r="V108" s="10">
        <f>+'A) Base RI'!P108</f>
        <v>0</v>
      </c>
      <c r="W108" s="10">
        <f>+'A) Base RI'!Q108</f>
        <v>9361</v>
      </c>
      <c r="X108" s="10">
        <f>+'A) Base RI'!S108</f>
        <v>7491.2</v>
      </c>
      <c r="Y108" s="2">
        <f t="shared" si="11"/>
        <v>16852.2</v>
      </c>
      <c r="Z108" s="10">
        <f>+'A) Base RI'!O108</f>
        <v>0</v>
      </c>
      <c r="AA108" s="10">
        <f>'A) Base RI'!V108</f>
        <v>101</v>
      </c>
    </row>
    <row r="109" spans="1:27" x14ac:dyDescent="0.25">
      <c r="A109" s="8">
        <f>'A) Base RI'!A109</f>
        <v>5565</v>
      </c>
      <c r="B109" s="33" t="str">
        <f>'A) Base RI'!B109</f>
        <v>Onnens</v>
      </c>
      <c r="C109" s="10">
        <f>'A) Base RI'!C109+'A) Base RI'!D109</f>
        <v>1012680.6599999999</v>
      </c>
      <c r="D109" s="10">
        <f>'A) Base RI'!W109</f>
        <v>-5300.93</v>
      </c>
      <c r="E109" s="32">
        <f>'A) Base RI'!X109</f>
        <v>0</v>
      </c>
      <c r="F109" s="32">
        <f>'A) Base RI'!Y109</f>
        <v>-1131.3499999999999</v>
      </c>
      <c r="G109" s="2">
        <f t="shared" si="6"/>
        <v>1006248.3799999999</v>
      </c>
      <c r="H109" s="10">
        <f>+'A) Base RI'!E109</f>
        <v>0</v>
      </c>
      <c r="I109" s="10">
        <f>+'A) Base RI'!F109</f>
        <v>0</v>
      </c>
      <c r="J109" s="10">
        <f>+'A) Base RI'!G109+'A) Base RI'!H109+'A) Base RI'!I109</f>
        <v>70054.64</v>
      </c>
      <c r="K109" s="10">
        <f>+'A) Base RI'!J109</f>
        <v>0</v>
      </c>
      <c r="L109" s="10">
        <f>+'A) Base RI'!K109</f>
        <v>1925.84</v>
      </c>
      <c r="M109" s="10">
        <f>+'A) Base RI'!L109</f>
        <v>789.15</v>
      </c>
      <c r="N109" s="10">
        <f>+'A) Base RI'!R109</f>
        <v>2138.75</v>
      </c>
      <c r="O109" s="10">
        <f t="shared" si="7"/>
        <v>120553.25</v>
      </c>
      <c r="P109" s="10">
        <f>+'A) Base RI'!M109</f>
        <v>120553.25</v>
      </c>
      <c r="Q109" s="35">
        <f>'A) Base RI'!Z109</f>
        <v>1</v>
      </c>
      <c r="R109" s="2">
        <f t="shared" si="8"/>
        <v>1201710.0099999998</v>
      </c>
      <c r="S109" s="34">
        <f>+'A) Base RI'!U109</f>
        <v>65</v>
      </c>
      <c r="T109" s="2">
        <f t="shared" si="9"/>
        <v>1080367.6099999999</v>
      </c>
      <c r="U109" s="2">
        <f t="shared" si="10"/>
        <v>18487.846307692304</v>
      </c>
      <c r="V109" s="10">
        <f>+'A) Base RI'!P109</f>
        <v>3481.8</v>
      </c>
      <c r="W109" s="10">
        <f>+'A) Base RI'!Q109</f>
        <v>20231.849999999999</v>
      </c>
      <c r="X109" s="10">
        <f>+'A) Base RI'!S109</f>
        <v>56108.15</v>
      </c>
      <c r="Y109" s="2">
        <f t="shared" si="11"/>
        <v>79821.8</v>
      </c>
      <c r="Z109" s="10">
        <f>+'A) Base RI'!O109</f>
        <v>31110.9</v>
      </c>
      <c r="AA109" s="10">
        <f>'A) Base RI'!V109</f>
        <v>477</v>
      </c>
    </row>
    <row r="110" spans="1:27" x14ac:dyDescent="0.25">
      <c r="A110" s="8">
        <f>'A) Base RI'!A110</f>
        <v>5566</v>
      </c>
      <c r="B110" s="33" t="str">
        <f>'A) Base RI'!B110</f>
        <v>Provence</v>
      </c>
      <c r="C110" s="10">
        <f>'A) Base RI'!C110+'A) Base RI'!D110</f>
        <v>582054.14</v>
      </c>
      <c r="D110" s="10">
        <f>'A) Base RI'!W110</f>
        <v>-8666.65</v>
      </c>
      <c r="E110" s="32">
        <f>'A) Base RI'!X110</f>
        <v>0</v>
      </c>
      <c r="F110" s="32">
        <f>'A) Base RI'!Y110</f>
        <v>0</v>
      </c>
      <c r="G110" s="2">
        <f t="shared" si="6"/>
        <v>573387.49</v>
      </c>
      <c r="H110" s="10">
        <f>+'A) Base RI'!E110</f>
        <v>0</v>
      </c>
      <c r="I110" s="10">
        <f>+'A) Base RI'!F110</f>
        <v>2640</v>
      </c>
      <c r="J110" s="10">
        <f>+'A) Base RI'!G110+'A) Base RI'!H110+'A) Base RI'!I110</f>
        <v>7788.3400000000011</v>
      </c>
      <c r="K110" s="10">
        <f>+'A) Base RI'!J110</f>
        <v>0</v>
      </c>
      <c r="L110" s="10">
        <f>+'A) Base RI'!K110</f>
        <v>9052.56</v>
      </c>
      <c r="M110" s="10">
        <f>+'A) Base RI'!L110</f>
        <v>-23.099999999999898</v>
      </c>
      <c r="N110" s="10">
        <f>+'A) Base RI'!R110</f>
        <v>0</v>
      </c>
      <c r="O110" s="10">
        <f t="shared" si="7"/>
        <v>50149.733333333337</v>
      </c>
      <c r="P110" s="10">
        <f>+'A) Base RI'!M110</f>
        <v>75224.600000000006</v>
      </c>
      <c r="Q110" s="35">
        <f>'A) Base RI'!Z110</f>
        <v>1.5</v>
      </c>
      <c r="R110" s="2">
        <f t="shared" si="8"/>
        <v>642995.02333333343</v>
      </c>
      <c r="S110" s="34">
        <f>+'A) Base RI'!U110</f>
        <v>81</v>
      </c>
      <c r="T110" s="2">
        <f t="shared" si="9"/>
        <v>590228.39</v>
      </c>
      <c r="U110" s="2">
        <f t="shared" si="10"/>
        <v>7938.210164609055</v>
      </c>
      <c r="V110" s="10">
        <f>+'A) Base RI'!P110</f>
        <v>1.7</v>
      </c>
      <c r="W110" s="10">
        <f>+'A) Base RI'!Q110</f>
        <v>8915.7999999999993</v>
      </c>
      <c r="X110" s="10">
        <f>+'A) Base RI'!S110</f>
        <v>290.2</v>
      </c>
      <c r="Y110" s="2">
        <f t="shared" si="11"/>
        <v>9207.7000000000007</v>
      </c>
      <c r="Z110" s="10">
        <f>+'A) Base RI'!O110</f>
        <v>50657.7</v>
      </c>
      <c r="AA110" s="10">
        <f>'A) Base RI'!V110</f>
        <v>388</v>
      </c>
    </row>
    <row r="111" spans="1:27" x14ac:dyDescent="0.25">
      <c r="A111" s="8">
        <f>'A) Base RI'!A111</f>
        <v>5568</v>
      </c>
      <c r="B111" s="33" t="str">
        <f>'A) Base RI'!B111</f>
        <v>Sainte-Croix</v>
      </c>
      <c r="C111" s="10">
        <f>'A) Base RI'!C111+'A) Base RI'!D111</f>
        <v>6231507.8399999999</v>
      </c>
      <c r="D111" s="10">
        <f>'A) Base RI'!W111</f>
        <v>-274598.14</v>
      </c>
      <c r="E111" s="32">
        <f>'A) Base RI'!X111</f>
        <v>0</v>
      </c>
      <c r="F111" s="32">
        <f>'A) Base RI'!Y111</f>
        <v>-192.32</v>
      </c>
      <c r="G111" s="2">
        <f t="shared" si="6"/>
        <v>5956717.3799999999</v>
      </c>
      <c r="H111" s="10">
        <f>+'A) Base RI'!E111</f>
        <v>0</v>
      </c>
      <c r="I111" s="10">
        <f>+'A) Base RI'!F111</f>
        <v>0</v>
      </c>
      <c r="J111" s="10">
        <f>+'A) Base RI'!G111+'A) Base RI'!H111+'A) Base RI'!I111</f>
        <v>189431.98</v>
      </c>
      <c r="K111" s="10">
        <f>+'A) Base RI'!J111</f>
        <v>20500.55</v>
      </c>
      <c r="L111" s="10">
        <f>+'A) Base RI'!K111</f>
        <v>192599.97</v>
      </c>
      <c r="M111" s="10">
        <f>+'A) Base RI'!L111</f>
        <v>26904.6</v>
      </c>
      <c r="N111" s="10">
        <f>+'A) Base RI'!R111</f>
        <v>25893.38</v>
      </c>
      <c r="O111" s="10">
        <f t="shared" si="7"/>
        <v>562788.85</v>
      </c>
      <c r="P111" s="10">
        <f>+'A) Base RI'!M111</f>
        <v>562788.85</v>
      </c>
      <c r="Q111" s="35">
        <f>'A) Base RI'!Z111</f>
        <v>1</v>
      </c>
      <c r="R111" s="2">
        <f t="shared" si="8"/>
        <v>6974836.709999999</v>
      </c>
      <c r="S111" s="34">
        <f>+'A) Base RI'!U111</f>
        <v>70</v>
      </c>
      <c r="T111" s="2">
        <f t="shared" si="9"/>
        <v>6385143.2599999998</v>
      </c>
      <c r="U111" s="2">
        <f t="shared" si="10"/>
        <v>99640.524428571414</v>
      </c>
      <c r="V111" s="10">
        <f>+'A) Base RI'!P111</f>
        <v>258421.5</v>
      </c>
      <c r="W111" s="10">
        <f>+'A) Base RI'!Q111</f>
        <v>366778.65</v>
      </c>
      <c r="X111" s="10">
        <f>+'A) Base RI'!S111</f>
        <v>191597.4</v>
      </c>
      <c r="Y111" s="2">
        <f t="shared" si="11"/>
        <v>816797.55</v>
      </c>
      <c r="Z111" s="10">
        <f>+'A) Base RI'!O111</f>
        <v>1743574.2</v>
      </c>
      <c r="AA111" s="10">
        <f>'A) Base RI'!V111</f>
        <v>4919</v>
      </c>
    </row>
    <row r="112" spans="1:27" x14ac:dyDescent="0.25">
      <c r="A112" s="8">
        <f>'A) Base RI'!A112</f>
        <v>5571</v>
      </c>
      <c r="B112" s="33" t="str">
        <f>'A) Base RI'!B112</f>
        <v>Tévenon</v>
      </c>
      <c r="C112" s="10">
        <f>'A) Base RI'!C112+'A) Base RI'!D112</f>
        <v>1379561.8099999998</v>
      </c>
      <c r="D112" s="10">
        <f>'A) Base RI'!W112</f>
        <v>-5991.38</v>
      </c>
      <c r="E112" s="32">
        <f>'A) Base RI'!X112</f>
        <v>0</v>
      </c>
      <c r="F112" s="32">
        <f>'A) Base RI'!Y112</f>
        <v>-12.32</v>
      </c>
      <c r="G112" s="2">
        <f t="shared" si="6"/>
        <v>1373558.1099999999</v>
      </c>
      <c r="H112" s="10">
        <f>+'A) Base RI'!E112</f>
        <v>0</v>
      </c>
      <c r="I112" s="10">
        <f>+'A) Base RI'!F112</f>
        <v>0</v>
      </c>
      <c r="J112" s="10">
        <f>+'A) Base RI'!G112+'A) Base RI'!H112+'A) Base RI'!I112</f>
        <v>3712.2999999999997</v>
      </c>
      <c r="K112" s="10">
        <f>+'A) Base RI'!J112</f>
        <v>0</v>
      </c>
      <c r="L112" s="10">
        <f>+'A) Base RI'!K112</f>
        <v>26791.5</v>
      </c>
      <c r="M112" s="10">
        <f>+'A) Base RI'!L112</f>
        <v>5592.2</v>
      </c>
      <c r="N112" s="10">
        <f>+'A) Base RI'!R112</f>
        <v>178</v>
      </c>
      <c r="O112" s="10">
        <f t="shared" si="7"/>
        <v>146865.875</v>
      </c>
      <c r="P112" s="10">
        <f>+'A) Base RI'!M112</f>
        <v>176239.05</v>
      </c>
      <c r="Q112" s="35">
        <f>'A) Base RI'!Z112</f>
        <v>1.2</v>
      </c>
      <c r="R112" s="2">
        <f t="shared" si="8"/>
        <v>1556697.9849999999</v>
      </c>
      <c r="S112" s="34">
        <f>+'A) Base RI'!U112</f>
        <v>73</v>
      </c>
      <c r="T112" s="2">
        <f t="shared" si="9"/>
        <v>1404239.91</v>
      </c>
      <c r="U112" s="2">
        <f t="shared" si="10"/>
        <v>21324.629931506846</v>
      </c>
      <c r="V112" s="10">
        <f>+'A) Base RI'!P112</f>
        <v>19082.3</v>
      </c>
      <c r="W112" s="10">
        <f>+'A) Base RI'!Q112</f>
        <v>55632.45</v>
      </c>
      <c r="X112" s="10">
        <f>+'A) Base RI'!S112</f>
        <v>7670.85</v>
      </c>
      <c r="Y112" s="2">
        <f t="shared" si="11"/>
        <v>82385.600000000006</v>
      </c>
      <c r="Z112" s="10">
        <f>+'A) Base RI'!O112</f>
        <v>63422.35</v>
      </c>
      <c r="AA112" s="10">
        <f>'A) Base RI'!V112</f>
        <v>843</v>
      </c>
    </row>
    <row r="113" spans="1:27" x14ac:dyDescent="0.25">
      <c r="A113" s="8">
        <f>'A) Base RI'!A113</f>
        <v>5581</v>
      </c>
      <c r="B113" s="33" t="str">
        <f>'A) Base RI'!B113</f>
        <v>Belmont-sur-Lausanne</v>
      </c>
      <c r="C113" s="10">
        <f>'A) Base RI'!C113+'A) Base RI'!D113</f>
        <v>12224611.530000001</v>
      </c>
      <c r="D113" s="10">
        <f>'A) Base RI'!W113</f>
        <v>-103362.51</v>
      </c>
      <c r="E113" s="32">
        <f>'A) Base RI'!X113</f>
        <v>0</v>
      </c>
      <c r="F113" s="32">
        <f>'A) Base RI'!Y113</f>
        <v>-6240.87</v>
      </c>
      <c r="G113" s="2">
        <f t="shared" si="6"/>
        <v>12115008.150000002</v>
      </c>
      <c r="H113" s="10">
        <f>+'A) Base RI'!E113</f>
        <v>0</v>
      </c>
      <c r="I113" s="10">
        <f>+'A) Base RI'!F113</f>
        <v>0</v>
      </c>
      <c r="J113" s="10">
        <f>+'A) Base RI'!G113+'A) Base RI'!H113+'A) Base RI'!I113</f>
        <v>100607.83</v>
      </c>
      <c r="K113" s="10">
        <f>+'A) Base RI'!J113</f>
        <v>45845.8</v>
      </c>
      <c r="L113" s="10">
        <f>+'A) Base RI'!K113</f>
        <v>230574.48</v>
      </c>
      <c r="M113" s="10">
        <f>+'A) Base RI'!L113</f>
        <v>15263.3</v>
      </c>
      <c r="N113" s="10">
        <f>+'A) Base RI'!R113</f>
        <v>6150.02</v>
      </c>
      <c r="O113" s="10">
        <f t="shared" si="7"/>
        <v>834160.56666666677</v>
      </c>
      <c r="P113" s="10">
        <f>+'A) Base RI'!M113</f>
        <v>1251240.8500000001</v>
      </c>
      <c r="Q113" s="35">
        <f>'A) Base RI'!Z113</f>
        <v>1.5</v>
      </c>
      <c r="R113" s="2">
        <f t="shared" si="8"/>
        <v>13347610.14666667</v>
      </c>
      <c r="S113" s="34">
        <f>+'A) Base RI'!U113</f>
        <v>69.5</v>
      </c>
      <c r="T113" s="2">
        <f t="shared" si="9"/>
        <v>12498186.280000003</v>
      </c>
      <c r="U113" s="2">
        <f t="shared" si="10"/>
        <v>192051.94455635498</v>
      </c>
      <c r="V113" s="10">
        <f>+'A) Base RI'!P113</f>
        <v>284598.40000000002</v>
      </c>
      <c r="W113" s="10">
        <f>+'A) Base RI'!Q113</f>
        <v>451188.45</v>
      </c>
      <c r="X113" s="10">
        <f>+'A) Base RI'!S113</f>
        <v>272878.59999999998</v>
      </c>
      <c r="Y113" s="2">
        <f t="shared" si="11"/>
        <v>1008665.4500000001</v>
      </c>
      <c r="Z113" s="10">
        <f>+'A) Base RI'!O113</f>
        <v>1995.25</v>
      </c>
      <c r="AA113" s="10">
        <f>'A) Base RI'!V113</f>
        <v>3662</v>
      </c>
    </row>
    <row r="114" spans="1:27" x14ac:dyDescent="0.25">
      <c r="A114" s="8">
        <f>'A) Base RI'!A114</f>
        <v>5582</v>
      </c>
      <c r="B114" s="33" t="str">
        <f>'A) Base RI'!B114</f>
        <v>Cheseaux-sur-Lausanne</v>
      </c>
      <c r="C114" s="10">
        <f>'A) Base RI'!C114+'A) Base RI'!D114</f>
        <v>11272456.5</v>
      </c>
      <c r="D114" s="10">
        <f>'A) Base RI'!W114</f>
        <v>-180259.86</v>
      </c>
      <c r="E114" s="32">
        <f>'A) Base RI'!X114</f>
        <v>0</v>
      </c>
      <c r="F114" s="32">
        <f>'A) Base RI'!Y114</f>
        <v>-21557.85</v>
      </c>
      <c r="G114" s="2">
        <f t="shared" si="6"/>
        <v>11070638.790000001</v>
      </c>
      <c r="H114" s="10">
        <f>+'A) Base RI'!E114</f>
        <v>0</v>
      </c>
      <c r="I114" s="10">
        <f>+'A) Base RI'!F114</f>
        <v>0</v>
      </c>
      <c r="J114" s="10">
        <f>+'A) Base RI'!G114+'A) Base RI'!H114+'A) Base RI'!I114</f>
        <v>1050792.4099999999</v>
      </c>
      <c r="K114" s="10">
        <f>+'A) Base RI'!J114</f>
        <v>6112.4</v>
      </c>
      <c r="L114" s="10">
        <f>+'A) Base RI'!K114</f>
        <v>306180.03999999998</v>
      </c>
      <c r="M114" s="10">
        <f>+'A) Base RI'!L114</f>
        <v>56605</v>
      </c>
      <c r="N114" s="10">
        <f>+'A) Base RI'!R114</f>
        <v>39020.6</v>
      </c>
      <c r="O114" s="10">
        <f t="shared" si="7"/>
        <v>806348.25</v>
      </c>
      <c r="P114" s="10">
        <f>+'A) Base RI'!M114</f>
        <v>806348.25</v>
      </c>
      <c r="Q114" s="35">
        <f>'A) Base RI'!Z114</f>
        <v>1</v>
      </c>
      <c r="R114" s="2">
        <f t="shared" si="8"/>
        <v>13335697.49</v>
      </c>
      <c r="S114" s="34">
        <f>+'A) Base RI'!U114</f>
        <v>74.5</v>
      </c>
      <c r="T114" s="2">
        <f t="shared" si="9"/>
        <v>12472744.24</v>
      </c>
      <c r="U114" s="2">
        <f t="shared" si="10"/>
        <v>179002.65087248324</v>
      </c>
      <c r="V114" s="10">
        <f>+'A) Base RI'!P114</f>
        <v>28288.75</v>
      </c>
      <c r="W114" s="10">
        <f>+'A) Base RI'!Q114</f>
        <v>86737.5</v>
      </c>
      <c r="X114" s="10">
        <f>+'A) Base RI'!S114</f>
        <v>68341.649999999994</v>
      </c>
      <c r="Y114" s="2">
        <f t="shared" si="11"/>
        <v>183367.9</v>
      </c>
      <c r="Z114" s="10">
        <f>+'A) Base RI'!O114</f>
        <v>427863.35</v>
      </c>
      <c r="AA114" s="10">
        <f>'A) Base RI'!V114</f>
        <v>4357</v>
      </c>
    </row>
    <row r="115" spans="1:27" x14ac:dyDescent="0.25">
      <c r="A115" s="8">
        <f>'A) Base RI'!A115</f>
        <v>5583</v>
      </c>
      <c r="B115" s="33" t="str">
        <f>'A) Base RI'!B115</f>
        <v>Crissier</v>
      </c>
      <c r="C115" s="10">
        <f>'A) Base RI'!C115+'A) Base RI'!D115</f>
        <v>12837803</v>
      </c>
      <c r="D115" s="10">
        <f>'A) Base RI'!W115</f>
        <v>-211215.1</v>
      </c>
      <c r="E115" s="32">
        <f>'A) Base RI'!X115</f>
        <v>0</v>
      </c>
      <c r="F115" s="32">
        <f>'A) Base RI'!Y115</f>
        <v>-892.31</v>
      </c>
      <c r="G115" s="2">
        <f t="shared" si="6"/>
        <v>12625695.59</v>
      </c>
      <c r="H115" s="10">
        <f>+'A) Base RI'!E115</f>
        <v>0</v>
      </c>
      <c r="I115" s="10">
        <f>+'A) Base RI'!F115</f>
        <v>0</v>
      </c>
      <c r="J115" s="10">
        <f>+'A) Base RI'!G115+'A) Base RI'!H115+'A) Base RI'!I115</f>
        <v>3041705.3899999997</v>
      </c>
      <c r="K115" s="10">
        <f>+'A) Base RI'!J115</f>
        <v>0</v>
      </c>
      <c r="L115" s="10">
        <f>+'A) Base RI'!K115</f>
        <v>959554.86</v>
      </c>
      <c r="M115" s="10">
        <f>+'A) Base RI'!L115</f>
        <v>251936.15</v>
      </c>
      <c r="N115" s="10">
        <f>+'A) Base RI'!R115</f>
        <v>45886.8</v>
      </c>
      <c r="O115" s="10">
        <f t="shared" si="7"/>
        <v>2220672.4</v>
      </c>
      <c r="P115" s="10">
        <f>+'A) Base RI'!M115</f>
        <v>2220672.4</v>
      </c>
      <c r="Q115" s="35">
        <f>'A) Base RI'!Z115</f>
        <v>1</v>
      </c>
      <c r="R115" s="2">
        <f t="shared" si="8"/>
        <v>19145451.189999998</v>
      </c>
      <c r="S115" s="34">
        <f>+'A) Base RI'!U115</f>
        <v>65</v>
      </c>
      <c r="T115" s="2">
        <f t="shared" si="9"/>
        <v>16672842.640000001</v>
      </c>
      <c r="U115" s="2">
        <f t="shared" si="10"/>
        <v>294545.40292307688</v>
      </c>
      <c r="V115" s="10">
        <f>+'A) Base RI'!P115</f>
        <v>232239.5</v>
      </c>
      <c r="W115" s="10">
        <f>+'A) Base RI'!Q115</f>
        <v>588448.1</v>
      </c>
      <c r="X115" s="10">
        <f>+'A) Base RI'!S115</f>
        <v>265995.95</v>
      </c>
      <c r="Y115" s="2">
        <f t="shared" si="11"/>
        <v>1086683.55</v>
      </c>
      <c r="Z115" s="10">
        <f>+'A) Base RI'!O115</f>
        <v>1504095.45</v>
      </c>
      <c r="AA115" s="10">
        <f>'A) Base RI'!V115</f>
        <v>8008</v>
      </c>
    </row>
    <row r="116" spans="1:27" x14ac:dyDescent="0.25">
      <c r="A116" s="8">
        <f>'A) Base RI'!A116</f>
        <v>5584</v>
      </c>
      <c r="B116" s="33" t="str">
        <f>'A) Base RI'!B116</f>
        <v>Epalinges</v>
      </c>
      <c r="C116" s="10">
        <f>'A) Base RI'!C116+'A) Base RI'!D116</f>
        <v>24403244.670000002</v>
      </c>
      <c r="D116" s="10">
        <f>'A) Base RI'!W116</f>
        <v>-191928.64</v>
      </c>
      <c r="E116" s="32">
        <f>'A) Base RI'!X116</f>
        <v>0</v>
      </c>
      <c r="F116" s="32">
        <f>'A) Base RI'!Y116</f>
        <v>-11614.33</v>
      </c>
      <c r="G116" s="2">
        <f t="shared" si="6"/>
        <v>24199701.700000003</v>
      </c>
      <c r="H116" s="10">
        <f>+'A) Base RI'!E116</f>
        <v>0</v>
      </c>
      <c r="I116" s="10">
        <f>+'A) Base RI'!F116</f>
        <v>0</v>
      </c>
      <c r="J116" s="10">
        <f>+'A) Base RI'!G116+'A) Base RI'!H116+'A) Base RI'!I116</f>
        <v>-617517.40999999922</v>
      </c>
      <c r="K116" s="10">
        <f>+'A) Base RI'!J116</f>
        <v>449775.83</v>
      </c>
      <c r="L116" s="10">
        <f>+'A) Base RI'!K116</f>
        <v>964780.37</v>
      </c>
      <c r="M116" s="10">
        <f>+'A) Base RI'!L116</f>
        <v>194772.65</v>
      </c>
      <c r="N116" s="10">
        <f>+'A) Base RI'!R116</f>
        <v>71983.72</v>
      </c>
      <c r="O116" s="10">
        <f t="shared" si="7"/>
        <v>2086777.35</v>
      </c>
      <c r="P116" s="10">
        <f>+'A) Base RI'!M116</f>
        <v>2086777.35</v>
      </c>
      <c r="Q116" s="35">
        <f>'A) Base RI'!Z116</f>
        <v>1</v>
      </c>
      <c r="R116" s="2">
        <f t="shared" si="8"/>
        <v>27350274.210000001</v>
      </c>
      <c r="S116" s="34">
        <f>+'A) Base RI'!U116</f>
        <v>66</v>
      </c>
      <c r="T116" s="2">
        <f t="shared" si="9"/>
        <v>25068724.210000001</v>
      </c>
      <c r="U116" s="2">
        <f t="shared" si="10"/>
        <v>414398.09409090912</v>
      </c>
      <c r="V116" s="10">
        <f>+'A) Base RI'!P116</f>
        <v>1157192.7</v>
      </c>
      <c r="W116" s="10">
        <f>+'A) Base RI'!Q116</f>
        <v>1047265.6</v>
      </c>
      <c r="X116" s="10">
        <f>+'A) Base RI'!S116</f>
        <v>579238.80000000005</v>
      </c>
      <c r="Y116" s="2">
        <f t="shared" si="11"/>
        <v>2783697.0999999996</v>
      </c>
      <c r="Z116" s="10">
        <f>+'A) Base RI'!O116</f>
        <v>219156.75</v>
      </c>
      <c r="AA116" s="10">
        <f>'A) Base RI'!V116</f>
        <v>9335</v>
      </c>
    </row>
    <row r="117" spans="1:27" x14ac:dyDescent="0.25">
      <c r="A117" s="8">
        <f>'A) Base RI'!A117</f>
        <v>5585</v>
      </c>
      <c r="B117" s="33" t="str">
        <f>'A) Base RI'!B117</f>
        <v>Jouxtens-Mézery</v>
      </c>
      <c r="C117" s="10">
        <f>'A) Base RI'!C117+'A) Base RI'!D117</f>
        <v>8320780.7799999993</v>
      </c>
      <c r="D117" s="10">
        <f>'A) Base RI'!W117</f>
        <v>-13719.95</v>
      </c>
      <c r="E117" s="32">
        <f>'A) Base RI'!X117</f>
        <v>0</v>
      </c>
      <c r="F117" s="32">
        <f>'A) Base RI'!Y117</f>
        <v>-6109.11</v>
      </c>
      <c r="G117" s="2">
        <f t="shared" si="6"/>
        <v>8300951.7199999988</v>
      </c>
      <c r="H117" s="10">
        <f>+'A) Base RI'!E117</f>
        <v>0</v>
      </c>
      <c r="I117" s="10">
        <f>+'A) Base RI'!F117</f>
        <v>0</v>
      </c>
      <c r="J117" s="10">
        <f>+'A) Base RI'!G117+'A) Base RI'!H117+'A) Base RI'!I117</f>
        <v>19338.920000000002</v>
      </c>
      <c r="K117" s="10">
        <f>+'A) Base RI'!J117</f>
        <v>191139.55</v>
      </c>
      <c r="L117" s="10">
        <f>+'A) Base RI'!K117</f>
        <v>105622.14</v>
      </c>
      <c r="M117" s="10">
        <f>+'A) Base RI'!L117</f>
        <v>8759.75</v>
      </c>
      <c r="N117" s="10">
        <f>+'A) Base RI'!R117</f>
        <v>124.15</v>
      </c>
      <c r="O117" s="10">
        <f t="shared" si="7"/>
        <v>468157</v>
      </c>
      <c r="P117" s="10">
        <f>+'A) Base RI'!M117</f>
        <v>468157</v>
      </c>
      <c r="Q117" s="35">
        <f>'A) Base RI'!Z117</f>
        <v>1</v>
      </c>
      <c r="R117" s="2">
        <f t="shared" si="8"/>
        <v>9094093.2300000004</v>
      </c>
      <c r="S117" s="34">
        <f>+'A) Base RI'!U117</f>
        <v>53</v>
      </c>
      <c r="T117" s="2">
        <f t="shared" si="9"/>
        <v>8617176.4800000004</v>
      </c>
      <c r="U117" s="2">
        <f t="shared" si="10"/>
        <v>171586.66471698115</v>
      </c>
      <c r="V117" s="10">
        <f>+'A) Base RI'!P117</f>
        <v>2874</v>
      </c>
      <c r="W117" s="10">
        <f>+'A) Base RI'!Q117</f>
        <v>265167.55</v>
      </c>
      <c r="X117" s="10">
        <f>+'A) Base RI'!S117</f>
        <v>91435.55</v>
      </c>
      <c r="Y117" s="2">
        <f t="shared" si="11"/>
        <v>359477.1</v>
      </c>
      <c r="Z117" s="10">
        <f>+'A) Base RI'!O117</f>
        <v>2700.5</v>
      </c>
      <c r="AA117" s="10">
        <f>'A) Base RI'!V117</f>
        <v>1469</v>
      </c>
    </row>
    <row r="118" spans="1:27" x14ac:dyDescent="0.25">
      <c r="A118" s="8">
        <f>'A) Base RI'!A118</f>
        <v>5586</v>
      </c>
      <c r="B118" s="33" t="str">
        <f>'A) Base RI'!B118</f>
        <v>Lausanne</v>
      </c>
      <c r="C118" s="10">
        <f>'A) Base RI'!C118+'A) Base RI'!D118</f>
        <v>328450377.75999999</v>
      </c>
      <c r="D118" s="10">
        <f>'A) Base RI'!W118</f>
        <v>-6590560.71</v>
      </c>
      <c r="E118" s="32">
        <f>'A) Base RI'!X118</f>
        <v>0</v>
      </c>
      <c r="F118" s="32">
        <f>'A) Base RI'!Y118</f>
        <v>-407222.94</v>
      </c>
      <c r="G118" s="2">
        <f t="shared" si="6"/>
        <v>321452594.11000001</v>
      </c>
      <c r="H118" s="10">
        <f>+'A) Base RI'!E118</f>
        <v>0</v>
      </c>
      <c r="I118" s="10">
        <f>+'A) Base RI'!F118</f>
        <v>0</v>
      </c>
      <c r="J118" s="10">
        <f>+'A) Base RI'!G118+'A) Base RI'!H118+'A) Base RI'!I118</f>
        <v>75545943.040000007</v>
      </c>
      <c r="K118" s="10">
        <f>+'A) Base RI'!J118</f>
        <v>5799695.9100000001</v>
      </c>
      <c r="L118" s="10">
        <f>+'A) Base RI'!K118</f>
        <v>30725353.239999998</v>
      </c>
      <c r="M118" s="10">
        <f>+'A) Base RI'!L118</f>
        <v>4752809.0999999996</v>
      </c>
      <c r="N118" s="10">
        <f>+'A) Base RI'!R118</f>
        <v>2063219.95</v>
      </c>
      <c r="O118" s="10">
        <f t="shared" si="7"/>
        <v>23533383</v>
      </c>
      <c r="P118" s="10">
        <f>+'A) Base RI'!M118</f>
        <v>35300074.5</v>
      </c>
      <c r="Q118" s="35">
        <f>'A) Base RI'!Z118</f>
        <v>1.5</v>
      </c>
      <c r="R118" s="2">
        <f t="shared" si="8"/>
        <v>463872998.35000008</v>
      </c>
      <c r="S118" s="34">
        <f>+'A) Base RI'!U118</f>
        <v>79</v>
      </c>
      <c r="T118" s="2">
        <f t="shared" si="9"/>
        <v>435586806.25000006</v>
      </c>
      <c r="U118" s="2">
        <f t="shared" si="10"/>
        <v>5871810.1056962032</v>
      </c>
      <c r="V118" s="10">
        <f>+'A) Base RI'!P118</f>
        <v>15718211.449999999</v>
      </c>
      <c r="W118" s="10">
        <f>+'A) Base RI'!Q118</f>
        <v>10805595.9</v>
      </c>
      <c r="X118" s="10">
        <f>+'A) Base RI'!S118</f>
        <v>7005620.75</v>
      </c>
      <c r="Y118" s="2">
        <f t="shared" si="11"/>
        <v>33529428.100000001</v>
      </c>
      <c r="Z118" s="10">
        <f>+'A) Base RI'!O118</f>
        <v>11465768.75</v>
      </c>
      <c r="AA118" s="10">
        <f>'A) Base RI'!V118</f>
        <v>139624</v>
      </c>
    </row>
    <row r="119" spans="1:27" x14ac:dyDescent="0.25">
      <c r="A119" s="8">
        <f>'A) Base RI'!A119</f>
        <v>5587</v>
      </c>
      <c r="B119" s="33" t="str">
        <f>'A) Base RI'!B119</f>
        <v>Le Mont-sur-Lausanne</v>
      </c>
      <c r="C119" s="10">
        <f>'A) Base RI'!C119+'A) Base RI'!D119</f>
        <v>25569480.109999999</v>
      </c>
      <c r="D119" s="10">
        <f>'A) Base RI'!W119</f>
        <v>-354247.71</v>
      </c>
      <c r="E119" s="32">
        <f>'A) Base RI'!X119</f>
        <v>0</v>
      </c>
      <c r="F119" s="32">
        <f>'A) Base RI'!Y119</f>
        <v>-4145.43</v>
      </c>
      <c r="G119" s="2">
        <f t="shared" si="6"/>
        <v>25211086.969999999</v>
      </c>
      <c r="H119" s="10">
        <f>+'A) Base RI'!E119</f>
        <v>0</v>
      </c>
      <c r="I119" s="10">
        <f>+'A) Base RI'!F119</f>
        <v>0</v>
      </c>
      <c r="J119" s="10">
        <f>+'A) Base RI'!G119+'A) Base RI'!H119+'A) Base RI'!I119</f>
        <v>2831425.9000000008</v>
      </c>
      <c r="K119" s="10">
        <f>+'A) Base RI'!J119</f>
        <v>250946.15</v>
      </c>
      <c r="L119" s="10">
        <f>+'A) Base RI'!K119</f>
        <v>542839.71</v>
      </c>
      <c r="M119" s="10">
        <f>+'A) Base RI'!L119</f>
        <v>131716.54999999999</v>
      </c>
      <c r="N119" s="10">
        <f>+'A) Base RI'!R119</f>
        <v>150619.32</v>
      </c>
      <c r="O119" s="10">
        <f t="shared" si="7"/>
        <v>2077288.875</v>
      </c>
      <c r="P119" s="10">
        <f>+'A) Base RI'!M119</f>
        <v>2492746.65</v>
      </c>
      <c r="Q119" s="35">
        <f>'A) Base RI'!Z119</f>
        <v>1.2</v>
      </c>
      <c r="R119" s="2">
        <f t="shared" si="8"/>
        <v>31195923.475000001</v>
      </c>
      <c r="S119" s="34">
        <f>+'A) Base RI'!U119</f>
        <v>75</v>
      </c>
      <c r="T119" s="2">
        <f t="shared" si="9"/>
        <v>28986918.050000001</v>
      </c>
      <c r="U119" s="2">
        <f t="shared" si="10"/>
        <v>415945.64633333334</v>
      </c>
      <c r="V119" s="10">
        <f>+'A) Base RI'!P119</f>
        <v>256200.8</v>
      </c>
      <c r="W119" s="10">
        <f>+'A) Base RI'!Q119</f>
        <v>1147492.2</v>
      </c>
      <c r="X119" s="10">
        <f>+'A) Base RI'!S119</f>
        <v>516311.75</v>
      </c>
      <c r="Y119" s="2">
        <f t="shared" si="11"/>
        <v>1920004.75</v>
      </c>
      <c r="Z119" s="10">
        <f>+'A) Base RI'!O119</f>
        <v>355226.65</v>
      </c>
      <c r="AA119" s="10">
        <f>'A) Base RI'!V119</f>
        <v>8093</v>
      </c>
    </row>
    <row r="120" spans="1:27" x14ac:dyDescent="0.25">
      <c r="A120" s="8">
        <f>'A) Base RI'!A120</f>
        <v>5588</v>
      </c>
      <c r="B120" s="33" t="str">
        <f>'A) Base RI'!B120</f>
        <v>Paudex</v>
      </c>
      <c r="C120" s="10">
        <f>'A) Base RI'!C120+'A) Base RI'!D120</f>
        <v>6828848.5600000005</v>
      </c>
      <c r="D120" s="10">
        <f>'A) Base RI'!W120</f>
        <v>-63507.72</v>
      </c>
      <c r="E120" s="32">
        <f>'A) Base RI'!X120</f>
        <v>0</v>
      </c>
      <c r="F120" s="32">
        <f>'A) Base RI'!Y120</f>
        <v>-14104.66</v>
      </c>
      <c r="G120" s="2">
        <f t="shared" si="6"/>
        <v>6751236.1800000006</v>
      </c>
      <c r="H120" s="10">
        <f>+'A) Base RI'!E120</f>
        <v>0</v>
      </c>
      <c r="I120" s="10">
        <f>+'A) Base RI'!F120</f>
        <v>0</v>
      </c>
      <c r="J120" s="10">
        <f>+'A) Base RI'!G120+'A) Base RI'!H120+'A) Base RI'!I120</f>
        <v>1042172.1600000005</v>
      </c>
      <c r="K120" s="10">
        <f>+'A) Base RI'!J120</f>
        <v>502840.3</v>
      </c>
      <c r="L120" s="10">
        <f>+'A) Base RI'!K120</f>
        <v>186106.18</v>
      </c>
      <c r="M120" s="10">
        <f>+'A) Base RI'!L120</f>
        <v>35870.550000000003</v>
      </c>
      <c r="N120" s="10">
        <f>+'A) Base RI'!R120</f>
        <v>37217.24</v>
      </c>
      <c r="O120" s="10">
        <f t="shared" si="7"/>
        <v>497986.42857142858</v>
      </c>
      <c r="P120" s="10">
        <f>+'A) Base RI'!M120</f>
        <v>348590.5</v>
      </c>
      <c r="Q120" s="35">
        <f>'A) Base RI'!Z120</f>
        <v>0.7</v>
      </c>
      <c r="R120" s="2">
        <f t="shared" si="8"/>
        <v>9053429.0385714304</v>
      </c>
      <c r="S120" s="34">
        <f>+'A) Base RI'!U120</f>
        <v>61.5</v>
      </c>
      <c r="T120" s="2">
        <f t="shared" si="9"/>
        <v>8519572.0600000005</v>
      </c>
      <c r="U120" s="2">
        <f t="shared" si="10"/>
        <v>147210.22826945415</v>
      </c>
      <c r="V120" s="10">
        <f>+'A) Base RI'!P120</f>
        <v>0</v>
      </c>
      <c r="W120" s="10">
        <f>+'A) Base RI'!Q120</f>
        <v>3936.35</v>
      </c>
      <c r="X120" s="10">
        <f>+'A) Base RI'!S120</f>
        <v>9970.4500000000007</v>
      </c>
      <c r="Y120" s="2">
        <f t="shared" si="11"/>
        <v>13906.800000000001</v>
      </c>
      <c r="Z120" s="10">
        <f>+'A) Base RI'!O120</f>
        <v>20053.349999999999</v>
      </c>
      <c r="AA120" s="10">
        <f>'A) Base RI'!V120</f>
        <v>1480</v>
      </c>
    </row>
    <row r="121" spans="1:27" x14ac:dyDescent="0.25">
      <c r="A121" s="8">
        <f>'A) Base RI'!A121</f>
        <v>5589</v>
      </c>
      <c r="B121" s="33" t="str">
        <f>'A) Base RI'!B121</f>
        <v>Prilly</v>
      </c>
      <c r="C121" s="10">
        <f>'A) Base RI'!C121+'A) Base RI'!D121</f>
        <v>20375175.489999998</v>
      </c>
      <c r="D121" s="10">
        <f>'A) Base RI'!W121</f>
        <v>-446004.61</v>
      </c>
      <c r="E121" s="32">
        <f>'A) Base RI'!X121</f>
        <v>0</v>
      </c>
      <c r="F121" s="32">
        <f>'A) Base RI'!Y121</f>
        <v>-1839.55</v>
      </c>
      <c r="G121" s="2">
        <f t="shared" si="6"/>
        <v>19927331.329999998</v>
      </c>
      <c r="H121" s="10">
        <f>+'A) Base RI'!E121</f>
        <v>0</v>
      </c>
      <c r="I121" s="10">
        <f>+'A) Base RI'!F121</f>
        <v>0</v>
      </c>
      <c r="J121" s="10">
        <f>+'A) Base RI'!G121+'A) Base RI'!H121+'A) Base RI'!I121</f>
        <v>5158801.3499999987</v>
      </c>
      <c r="K121" s="10">
        <f>+'A) Base RI'!J121</f>
        <v>54271.199999999997</v>
      </c>
      <c r="L121" s="10">
        <f>+'A) Base RI'!K121</f>
        <v>1732294.57</v>
      </c>
      <c r="M121" s="10">
        <f>+'A) Base RI'!L121</f>
        <v>337707.75</v>
      </c>
      <c r="N121" s="10">
        <f>+'A) Base RI'!R121</f>
        <v>54455.05</v>
      </c>
      <c r="O121" s="10">
        <f t="shared" si="7"/>
        <v>1933853.55</v>
      </c>
      <c r="P121" s="10">
        <f>+'A) Base RI'!M121</f>
        <v>1933853.55</v>
      </c>
      <c r="Q121" s="35">
        <f>'A) Base RI'!Z121</f>
        <v>1</v>
      </c>
      <c r="R121" s="2">
        <f t="shared" si="8"/>
        <v>29198714.799999997</v>
      </c>
      <c r="S121" s="34">
        <f>+'A) Base RI'!U121</f>
        <v>73.5</v>
      </c>
      <c r="T121" s="2">
        <f t="shared" si="9"/>
        <v>26927153.499999996</v>
      </c>
      <c r="U121" s="2">
        <f t="shared" si="10"/>
        <v>397261.42585034011</v>
      </c>
      <c r="V121" s="10">
        <f>+'A) Base RI'!P121</f>
        <v>201994.7</v>
      </c>
      <c r="W121" s="10">
        <f>+'A) Base RI'!Q121</f>
        <v>960911.4</v>
      </c>
      <c r="X121" s="10">
        <f>+'A) Base RI'!S121</f>
        <v>506836.85</v>
      </c>
      <c r="Y121" s="2">
        <f t="shared" si="11"/>
        <v>1669742.9500000002</v>
      </c>
      <c r="Z121" s="10">
        <f>+'A) Base RI'!O121</f>
        <v>1032878.5</v>
      </c>
      <c r="AA121" s="10">
        <f>'A) Base RI'!V121</f>
        <v>12105</v>
      </c>
    </row>
    <row r="122" spans="1:27" x14ac:dyDescent="0.25">
      <c r="A122" s="8">
        <f>'A) Base RI'!A122</f>
        <v>5590</v>
      </c>
      <c r="B122" s="33" t="str">
        <f>'A) Base RI'!B122</f>
        <v>Pully</v>
      </c>
      <c r="C122" s="10">
        <f>'A) Base RI'!C122+'A) Base RI'!D122</f>
        <v>72463281.799999997</v>
      </c>
      <c r="D122" s="10">
        <f>'A) Base RI'!W122</f>
        <v>-588597.21</v>
      </c>
      <c r="E122" s="32">
        <f>'A) Base RI'!X122</f>
        <v>0</v>
      </c>
      <c r="F122" s="32">
        <f>'A) Base RI'!Y122</f>
        <v>-106213.75999999999</v>
      </c>
      <c r="G122" s="2">
        <f t="shared" si="6"/>
        <v>71768470.829999998</v>
      </c>
      <c r="H122" s="10">
        <f>+'A) Base RI'!E122</f>
        <v>0</v>
      </c>
      <c r="I122" s="10">
        <f>+'A) Base RI'!F122</f>
        <v>0</v>
      </c>
      <c r="J122" s="10">
        <f>+'A) Base RI'!G122+'A) Base RI'!H122+'A) Base RI'!I122</f>
        <v>5100488.84</v>
      </c>
      <c r="K122" s="10">
        <f>+'A) Base RI'!J122</f>
        <v>3621743.43</v>
      </c>
      <c r="L122" s="10">
        <f>+'A) Base RI'!K122</f>
        <v>1741867.3</v>
      </c>
      <c r="M122" s="10">
        <f>+'A) Base RI'!L122</f>
        <v>309800.8</v>
      </c>
      <c r="N122" s="10">
        <f>+'A) Base RI'!R122</f>
        <v>392296.19</v>
      </c>
      <c r="O122" s="10">
        <f t="shared" si="7"/>
        <v>4667651.7142857146</v>
      </c>
      <c r="P122" s="10">
        <f>+'A) Base RI'!M122</f>
        <v>3267356.2</v>
      </c>
      <c r="Q122" s="35">
        <f>'A) Base RI'!Z122</f>
        <v>0.7</v>
      </c>
      <c r="R122" s="2">
        <f t="shared" si="8"/>
        <v>87602319.104285717</v>
      </c>
      <c r="S122" s="34">
        <f>+'A) Base RI'!U122</f>
        <v>61</v>
      </c>
      <c r="T122" s="2">
        <f t="shared" si="9"/>
        <v>82624866.590000004</v>
      </c>
      <c r="U122" s="2">
        <f t="shared" si="10"/>
        <v>1436103.5918735364</v>
      </c>
      <c r="V122" s="10">
        <f>+'A) Base RI'!P122</f>
        <v>5379877.5</v>
      </c>
      <c r="W122" s="10">
        <f>+'A) Base RI'!Q122</f>
        <v>2711661.65</v>
      </c>
      <c r="X122" s="10">
        <f>+'A) Base RI'!S122</f>
        <v>2241981.85</v>
      </c>
      <c r="Y122" s="2">
        <f t="shared" si="11"/>
        <v>10333521</v>
      </c>
      <c r="Z122" s="10">
        <f>+'A) Base RI'!O122</f>
        <v>168670.35</v>
      </c>
      <c r="AA122" s="10">
        <f>'A) Base RI'!V122</f>
        <v>18194</v>
      </c>
    </row>
    <row r="123" spans="1:27" x14ac:dyDescent="0.25">
      <c r="A123" s="8">
        <f>'A) Base RI'!A123</f>
        <v>5591</v>
      </c>
      <c r="B123" s="33" t="str">
        <f>'A) Base RI'!B123</f>
        <v>Renens</v>
      </c>
      <c r="C123" s="10">
        <f>'A) Base RI'!C123+'A) Base RI'!D123</f>
        <v>31429093.799999997</v>
      </c>
      <c r="D123" s="10">
        <f>'A) Base RI'!W123</f>
        <v>-2269611.84</v>
      </c>
      <c r="E123" s="32">
        <f>'A) Base RI'!X123</f>
        <v>0</v>
      </c>
      <c r="F123" s="32">
        <f>'A) Base RI'!Y123</f>
        <v>-25181.19</v>
      </c>
      <c r="G123" s="2">
        <f t="shared" si="6"/>
        <v>29134300.769999996</v>
      </c>
      <c r="H123" s="10">
        <f>+'A) Base RI'!E123</f>
        <v>0</v>
      </c>
      <c r="I123" s="10">
        <f>+'A) Base RI'!F123</f>
        <v>0</v>
      </c>
      <c r="J123" s="10">
        <f>+'A) Base RI'!G123+'A) Base RI'!H123+'A) Base RI'!I123</f>
        <v>4444308.6800000006</v>
      </c>
      <c r="K123" s="10">
        <f>+'A) Base RI'!J123</f>
        <v>0</v>
      </c>
      <c r="L123" s="10">
        <f>+'A) Base RI'!K123</f>
        <v>2671812.1</v>
      </c>
      <c r="M123" s="10">
        <f>+'A) Base RI'!L123</f>
        <v>484567.4</v>
      </c>
      <c r="N123" s="10">
        <f>+'A) Base RI'!R123</f>
        <v>1232836.19</v>
      </c>
      <c r="O123" s="10">
        <f t="shared" si="7"/>
        <v>3339606.1071428573</v>
      </c>
      <c r="P123" s="10">
        <f>+'A) Base RI'!M123</f>
        <v>4675448.55</v>
      </c>
      <c r="Q123" s="35">
        <f>'A) Base RI'!Z123</f>
        <v>1.4</v>
      </c>
      <c r="R123" s="2">
        <f t="shared" si="8"/>
        <v>41307431.247142851</v>
      </c>
      <c r="S123" s="34">
        <f>+'A) Base RI'!U123</f>
        <v>78.5</v>
      </c>
      <c r="T123" s="2">
        <f t="shared" si="9"/>
        <v>37483257.739999995</v>
      </c>
      <c r="U123" s="2">
        <f t="shared" si="10"/>
        <v>526209.31525022746</v>
      </c>
      <c r="V123" s="10">
        <f>+'A) Base RI'!P123</f>
        <v>515867.1</v>
      </c>
      <c r="W123" s="10">
        <f>+'A) Base RI'!Q123</f>
        <v>1192913.3</v>
      </c>
      <c r="X123" s="10">
        <f>+'A) Base RI'!S123</f>
        <v>503701.3</v>
      </c>
      <c r="Y123" s="2">
        <f t="shared" si="11"/>
        <v>2212481.6999999997</v>
      </c>
      <c r="Z123" s="10">
        <f>+'A) Base RI'!O123</f>
        <v>2159436.0499999998</v>
      </c>
      <c r="AA123" s="10">
        <f>'A) Base RI'!V123</f>
        <v>21114</v>
      </c>
    </row>
    <row r="124" spans="1:27" x14ac:dyDescent="0.25">
      <c r="A124" s="8">
        <f>'A) Base RI'!A124</f>
        <v>5592</v>
      </c>
      <c r="B124" s="33" t="str">
        <f>'A) Base RI'!B124</f>
        <v>Romanel-sur-Lausanne</v>
      </c>
      <c r="C124" s="10">
        <f>'A) Base RI'!C124+'A) Base RI'!D124</f>
        <v>6280652.6299999999</v>
      </c>
      <c r="D124" s="10">
        <f>'A) Base RI'!W124</f>
        <v>-57476.62</v>
      </c>
      <c r="E124" s="32">
        <f>'A) Base RI'!X124</f>
        <v>0</v>
      </c>
      <c r="F124" s="32">
        <f>'A) Base RI'!Y124</f>
        <v>-2259.69</v>
      </c>
      <c r="G124" s="2">
        <f t="shared" si="6"/>
        <v>6220916.3199999994</v>
      </c>
      <c r="H124" s="10">
        <f>+'A) Base RI'!E124</f>
        <v>0</v>
      </c>
      <c r="I124" s="10">
        <f>+'A) Base RI'!F124</f>
        <v>0</v>
      </c>
      <c r="J124" s="10">
        <f>+'A) Base RI'!G124+'A) Base RI'!H124+'A) Base RI'!I124</f>
        <v>542881.53</v>
      </c>
      <c r="K124" s="10">
        <f>+'A) Base RI'!J124</f>
        <v>25729.55</v>
      </c>
      <c r="L124" s="10">
        <f>+'A) Base RI'!K124</f>
        <v>167360.29999999999</v>
      </c>
      <c r="M124" s="10">
        <f>+'A) Base RI'!L124</f>
        <v>131701.20000000001</v>
      </c>
      <c r="N124" s="10">
        <f>+'A) Base RI'!R124</f>
        <v>47014.38</v>
      </c>
      <c r="O124" s="10">
        <f t="shared" si="7"/>
        <v>669294.55000000005</v>
      </c>
      <c r="P124" s="10">
        <f>+'A) Base RI'!M124</f>
        <v>669294.55000000005</v>
      </c>
      <c r="Q124" s="35">
        <f>'A) Base RI'!Z124</f>
        <v>1</v>
      </c>
      <c r="R124" s="2">
        <f t="shared" si="8"/>
        <v>7804897.8299999991</v>
      </c>
      <c r="S124" s="34">
        <f>+'A) Base RI'!U124</f>
        <v>70</v>
      </c>
      <c r="T124" s="2">
        <f t="shared" si="9"/>
        <v>7003902.0799999991</v>
      </c>
      <c r="U124" s="2">
        <f t="shared" si="10"/>
        <v>111498.54042857142</v>
      </c>
      <c r="V124" s="10">
        <f>+'A) Base RI'!P124</f>
        <v>135850</v>
      </c>
      <c r="W124" s="10">
        <f>+'A) Base RI'!Q124</f>
        <v>80760.3</v>
      </c>
      <c r="X124" s="10">
        <f>+'A) Base RI'!S124</f>
        <v>122916</v>
      </c>
      <c r="Y124" s="2">
        <f t="shared" si="11"/>
        <v>339526.3</v>
      </c>
      <c r="Z124" s="10">
        <f>+'A) Base RI'!O124</f>
        <v>179138.3</v>
      </c>
      <c r="AA124" s="10">
        <f>'A) Base RI'!V124</f>
        <v>3300</v>
      </c>
    </row>
    <row r="125" spans="1:27" x14ac:dyDescent="0.25">
      <c r="A125" s="8">
        <f>'A) Base RI'!A125</f>
        <v>5601</v>
      </c>
      <c r="B125" s="33" t="str">
        <f>'A) Base RI'!B125</f>
        <v>Chexbres</v>
      </c>
      <c r="C125" s="10">
        <f>'A) Base RI'!C125+'A) Base RI'!D125</f>
        <v>6697096.4899999993</v>
      </c>
      <c r="D125" s="10">
        <f>'A) Base RI'!W125</f>
        <v>-75391.520000000004</v>
      </c>
      <c r="E125" s="32">
        <f>'A) Base RI'!X125</f>
        <v>0</v>
      </c>
      <c r="F125" s="32">
        <f>'A) Base RI'!Y125</f>
        <v>-2642.04</v>
      </c>
      <c r="G125" s="2">
        <f t="shared" si="6"/>
        <v>6619062.9299999997</v>
      </c>
      <c r="H125" s="10">
        <f>+'A) Base RI'!E125</f>
        <v>0</v>
      </c>
      <c r="I125" s="10">
        <f>+'A) Base RI'!F125</f>
        <v>0</v>
      </c>
      <c r="J125" s="10">
        <f>+'A) Base RI'!G125+'A) Base RI'!H125+'A) Base RI'!I125</f>
        <v>89588.989999999991</v>
      </c>
      <c r="K125" s="10">
        <f>+'A) Base RI'!J125</f>
        <v>86149.119999999995</v>
      </c>
      <c r="L125" s="10">
        <f>+'A) Base RI'!K125</f>
        <v>191857.75</v>
      </c>
      <c r="M125" s="10">
        <f>+'A) Base RI'!L125</f>
        <v>13719.95</v>
      </c>
      <c r="N125" s="10">
        <f>+'A) Base RI'!R125</f>
        <v>43073.26</v>
      </c>
      <c r="O125" s="10">
        <f t="shared" si="7"/>
        <v>433851.7</v>
      </c>
      <c r="P125" s="10">
        <f>+'A) Base RI'!M125</f>
        <v>433851.7</v>
      </c>
      <c r="Q125" s="35">
        <f>'A) Base RI'!Z125</f>
        <v>1</v>
      </c>
      <c r="R125" s="2">
        <f t="shared" si="8"/>
        <v>7477303.7000000002</v>
      </c>
      <c r="S125" s="34">
        <f>+'A) Base RI'!U125</f>
        <v>64</v>
      </c>
      <c r="T125" s="2">
        <f t="shared" si="9"/>
        <v>7029732.0499999998</v>
      </c>
      <c r="U125" s="2">
        <f t="shared" si="10"/>
        <v>116832.8703125</v>
      </c>
      <c r="V125" s="10">
        <f>+'A) Base RI'!P125</f>
        <v>636977.4</v>
      </c>
      <c r="W125" s="10">
        <f>+'A) Base RI'!Q125</f>
        <v>178305.15</v>
      </c>
      <c r="X125" s="10">
        <f>+'A) Base RI'!S125</f>
        <v>340860.4</v>
      </c>
      <c r="Y125" s="2">
        <f t="shared" si="11"/>
        <v>1156142.9500000002</v>
      </c>
      <c r="Z125" s="10">
        <f>+'A) Base RI'!O125</f>
        <v>58889.4</v>
      </c>
      <c r="AA125" s="10">
        <f>'A) Base RI'!V125</f>
        <v>2250</v>
      </c>
    </row>
    <row r="126" spans="1:27" x14ac:dyDescent="0.25">
      <c r="A126" s="8">
        <f>'A) Base RI'!A126</f>
        <v>5604</v>
      </c>
      <c r="B126" s="33" t="str">
        <f>'A) Base RI'!B126</f>
        <v>Forel (Lavaux)</v>
      </c>
      <c r="C126" s="10">
        <f>'A) Base RI'!C126+'A) Base RI'!D126</f>
        <v>4019703.8099999996</v>
      </c>
      <c r="D126" s="10">
        <f>'A) Base RI'!W126</f>
        <v>-103202.36</v>
      </c>
      <c r="E126" s="32">
        <f>'A) Base RI'!X126</f>
        <v>0</v>
      </c>
      <c r="F126" s="32">
        <f>'A) Base RI'!Y126</f>
        <v>-346.72</v>
      </c>
      <c r="G126" s="2">
        <f t="shared" si="6"/>
        <v>3916154.7299999995</v>
      </c>
      <c r="H126" s="10">
        <f>+'A) Base RI'!E126</f>
        <v>0</v>
      </c>
      <c r="I126" s="10">
        <f>+'A) Base RI'!F126</f>
        <v>0</v>
      </c>
      <c r="J126" s="10">
        <f>+'A) Base RI'!G126+'A) Base RI'!H126+'A) Base RI'!I126</f>
        <v>260829.07</v>
      </c>
      <c r="K126" s="10">
        <f>+'A) Base RI'!J126</f>
        <v>28143.4</v>
      </c>
      <c r="L126" s="10">
        <f>+'A) Base RI'!K126</f>
        <v>109219.26</v>
      </c>
      <c r="M126" s="10">
        <f>+'A) Base RI'!L126</f>
        <v>16731.75</v>
      </c>
      <c r="N126" s="10">
        <f>+'A) Base RI'!R126</f>
        <v>10135.75</v>
      </c>
      <c r="O126" s="10">
        <f t="shared" si="7"/>
        <v>360597.45</v>
      </c>
      <c r="P126" s="10">
        <f>+'A) Base RI'!M126</f>
        <v>360597.45</v>
      </c>
      <c r="Q126" s="35">
        <f>'A) Base RI'!Z126</f>
        <v>1</v>
      </c>
      <c r="R126" s="2">
        <f t="shared" si="8"/>
        <v>4701811.4099999992</v>
      </c>
      <c r="S126" s="34">
        <f>+'A) Base RI'!U126</f>
        <v>68</v>
      </c>
      <c r="T126" s="2">
        <f t="shared" si="9"/>
        <v>4324482.209999999</v>
      </c>
      <c r="U126" s="2">
        <f t="shared" si="10"/>
        <v>69144.285441176457</v>
      </c>
      <c r="V126" s="10">
        <f>+'A) Base RI'!P126</f>
        <v>996.3</v>
      </c>
      <c r="W126" s="10">
        <f>+'A) Base RI'!Q126</f>
        <v>148090.25</v>
      </c>
      <c r="X126" s="10">
        <f>+'A) Base RI'!S126</f>
        <v>161595.5</v>
      </c>
      <c r="Y126" s="2">
        <f t="shared" si="11"/>
        <v>310682.05</v>
      </c>
      <c r="Z126" s="10">
        <f>+'A) Base RI'!O126</f>
        <v>62723.199999999997</v>
      </c>
      <c r="AA126" s="10">
        <f>'A) Base RI'!V126</f>
        <v>2084</v>
      </c>
    </row>
    <row r="127" spans="1:27" x14ac:dyDescent="0.25">
      <c r="A127" s="8">
        <f>'A) Base RI'!A127</f>
        <v>5606</v>
      </c>
      <c r="B127" s="33" t="str">
        <f>'A) Base RI'!B127</f>
        <v>Lutry</v>
      </c>
      <c r="C127" s="10">
        <f>'A) Base RI'!C127+'A) Base RI'!D127</f>
        <v>39429377.359999999</v>
      </c>
      <c r="D127" s="10">
        <f>'A) Base RI'!W127</f>
        <v>-289283.12</v>
      </c>
      <c r="E127" s="32">
        <f>'A) Base RI'!X127</f>
        <v>0</v>
      </c>
      <c r="F127" s="32">
        <f>'A) Base RI'!Y127</f>
        <v>-38077.919999999998</v>
      </c>
      <c r="G127" s="2">
        <f t="shared" si="6"/>
        <v>39102016.32</v>
      </c>
      <c r="H127" s="10">
        <f>+'A) Base RI'!E127</f>
        <v>0</v>
      </c>
      <c r="I127" s="10">
        <f>+'A) Base RI'!F127</f>
        <v>0</v>
      </c>
      <c r="J127" s="10">
        <f>+'A) Base RI'!G127+'A) Base RI'!H127+'A) Base RI'!I127</f>
        <v>1197617.9300000002</v>
      </c>
      <c r="K127" s="10">
        <f>+'A) Base RI'!J127</f>
        <v>1418252.61</v>
      </c>
      <c r="L127" s="10">
        <f>+'A) Base RI'!K127</f>
        <v>746415.9</v>
      </c>
      <c r="M127" s="10">
        <f>+'A) Base RI'!L127</f>
        <v>123390.5</v>
      </c>
      <c r="N127" s="10">
        <f>+'A) Base RI'!R127</f>
        <v>70047.92</v>
      </c>
      <c r="O127" s="10">
        <f t="shared" si="7"/>
        <v>2814095.5714285714</v>
      </c>
      <c r="P127" s="10">
        <f>+'A) Base RI'!M127</f>
        <v>1969866.9</v>
      </c>
      <c r="Q127" s="35">
        <f>'A) Base RI'!Z127</f>
        <v>0.7</v>
      </c>
      <c r="R127" s="2">
        <f t="shared" si="8"/>
        <v>45471836.751428574</v>
      </c>
      <c r="S127" s="34">
        <f>+'A) Base RI'!U127</f>
        <v>55.5</v>
      </c>
      <c r="T127" s="2">
        <f t="shared" si="9"/>
        <v>42534350.68</v>
      </c>
      <c r="U127" s="2">
        <f t="shared" si="10"/>
        <v>819312.37389961397</v>
      </c>
      <c r="V127" s="10">
        <f>+'A) Base RI'!P127</f>
        <v>3253830.6</v>
      </c>
      <c r="W127" s="10">
        <f>+'A) Base RI'!Q127</f>
        <v>1555512</v>
      </c>
      <c r="X127" s="10">
        <f>+'A) Base RI'!S127</f>
        <v>1464890.3</v>
      </c>
      <c r="Y127" s="2">
        <f t="shared" si="11"/>
        <v>6274232.8999999994</v>
      </c>
      <c r="Z127" s="10">
        <f>+'A) Base RI'!O127</f>
        <v>101865.55</v>
      </c>
      <c r="AA127" s="10">
        <f>'A) Base RI'!V127</f>
        <v>10001</v>
      </c>
    </row>
    <row r="128" spans="1:27" x14ac:dyDescent="0.25">
      <c r="A128" s="8">
        <f>'A) Base RI'!A128</f>
        <v>5607</v>
      </c>
      <c r="B128" s="33" t="str">
        <f>'A) Base RI'!B128</f>
        <v>Puidoux</v>
      </c>
      <c r="C128" s="10">
        <f>'A) Base RI'!C128+'A) Base RI'!D128</f>
        <v>6027010.5899999999</v>
      </c>
      <c r="D128" s="10">
        <f>'A) Base RI'!W128</f>
        <v>-102132.22</v>
      </c>
      <c r="E128" s="32">
        <f>'A) Base RI'!X128</f>
        <v>0</v>
      </c>
      <c r="F128" s="32">
        <f>'A) Base RI'!Y128</f>
        <v>-1069.3</v>
      </c>
      <c r="G128" s="2">
        <f t="shared" si="6"/>
        <v>5923809.0700000003</v>
      </c>
      <c r="H128" s="10">
        <f>+'A) Base RI'!E128</f>
        <v>0</v>
      </c>
      <c r="I128" s="10">
        <f>+'A) Base RI'!F128</f>
        <v>0</v>
      </c>
      <c r="J128" s="10">
        <f>+'A) Base RI'!G128+'A) Base RI'!H128+'A) Base RI'!I128</f>
        <v>597080.74</v>
      </c>
      <c r="K128" s="10">
        <f>+'A) Base RI'!J128</f>
        <v>-35044.949999999997</v>
      </c>
      <c r="L128" s="10">
        <f>+'A) Base RI'!K128</f>
        <v>160286.93</v>
      </c>
      <c r="M128" s="10">
        <f>+'A) Base RI'!L128</f>
        <v>57264.05</v>
      </c>
      <c r="N128" s="10">
        <f>+'A) Base RI'!R128</f>
        <v>30748.75</v>
      </c>
      <c r="O128" s="10">
        <f t="shared" si="7"/>
        <v>599614.21739130432</v>
      </c>
      <c r="P128" s="10">
        <f>+'A) Base RI'!M128</f>
        <v>689556.35</v>
      </c>
      <c r="Q128" s="35">
        <f>'A) Base RI'!Z128</f>
        <v>1.1499999999999999</v>
      </c>
      <c r="R128" s="2">
        <f t="shared" si="8"/>
        <v>7333758.8073913045</v>
      </c>
      <c r="S128" s="34">
        <f>+'A) Base RI'!U128</f>
        <v>70</v>
      </c>
      <c r="T128" s="2">
        <f t="shared" si="9"/>
        <v>6676880.54</v>
      </c>
      <c r="U128" s="2">
        <f t="shared" si="10"/>
        <v>104767.98296273292</v>
      </c>
      <c r="V128" s="10">
        <f>+'A) Base RI'!P128</f>
        <v>0</v>
      </c>
      <c r="W128" s="10">
        <f>+'A) Base RI'!Q128</f>
        <v>533899.65</v>
      </c>
      <c r="X128" s="10">
        <f>+'A) Base RI'!S128</f>
        <v>139176.25</v>
      </c>
      <c r="Y128" s="2">
        <f t="shared" si="11"/>
        <v>673075.9</v>
      </c>
      <c r="Z128" s="10">
        <f>+'A) Base RI'!O128</f>
        <v>145055.75</v>
      </c>
      <c r="AA128" s="10">
        <f>'A) Base RI'!V128</f>
        <v>2904</v>
      </c>
    </row>
    <row r="129" spans="1:27" x14ac:dyDescent="0.25">
      <c r="A129" s="8">
        <f>'A) Base RI'!A129</f>
        <v>5609</v>
      </c>
      <c r="B129" s="33" t="str">
        <f>'A) Base RI'!B129</f>
        <v>Rivaz</v>
      </c>
      <c r="C129" s="10">
        <f>'A) Base RI'!C129+'A) Base RI'!D129</f>
        <v>899365.12000000011</v>
      </c>
      <c r="D129" s="10">
        <f>'A) Base RI'!W129</f>
        <v>-3659.34</v>
      </c>
      <c r="E129" s="32">
        <f>'A) Base RI'!X129</f>
        <v>0</v>
      </c>
      <c r="F129" s="32">
        <f>'A) Base RI'!Y129</f>
        <v>-163.63</v>
      </c>
      <c r="G129" s="2">
        <f t="shared" si="6"/>
        <v>895542.15000000014</v>
      </c>
      <c r="H129" s="10">
        <f>+'A) Base RI'!E129</f>
        <v>0</v>
      </c>
      <c r="I129" s="10">
        <f>+'A) Base RI'!F129</f>
        <v>0</v>
      </c>
      <c r="J129" s="10">
        <f>+'A) Base RI'!G129+'A) Base RI'!H129+'A) Base RI'!I129</f>
        <v>5447.05</v>
      </c>
      <c r="K129" s="10">
        <f>+'A) Base RI'!J129</f>
        <v>0</v>
      </c>
      <c r="L129" s="10">
        <f>+'A) Base RI'!K129</f>
        <v>32229.15</v>
      </c>
      <c r="M129" s="10">
        <f>+'A) Base RI'!L129</f>
        <v>1225.4000000000001</v>
      </c>
      <c r="N129" s="10">
        <f>+'A) Base RI'!R129</f>
        <v>0</v>
      </c>
      <c r="O129" s="10">
        <f t="shared" si="7"/>
        <v>52996.5</v>
      </c>
      <c r="P129" s="10">
        <f>+'A) Base RI'!M129</f>
        <v>52996.5</v>
      </c>
      <c r="Q129" s="35">
        <f>'A) Base RI'!Z129</f>
        <v>1</v>
      </c>
      <c r="R129" s="2">
        <f t="shared" si="8"/>
        <v>987440.25000000023</v>
      </c>
      <c r="S129" s="34">
        <f>+'A) Base RI'!U129</f>
        <v>63.5</v>
      </c>
      <c r="T129" s="2">
        <f t="shared" si="9"/>
        <v>933218.35000000021</v>
      </c>
      <c r="U129" s="2">
        <f t="shared" si="10"/>
        <v>15550.240157480319</v>
      </c>
      <c r="V129" s="10">
        <f>+'A) Base RI'!P129</f>
        <v>5886</v>
      </c>
      <c r="W129" s="10">
        <f>+'A) Base RI'!Q129</f>
        <v>23736.6</v>
      </c>
      <c r="X129" s="10">
        <f>+'A) Base RI'!S129</f>
        <v>44194.65</v>
      </c>
      <c r="Y129" s="2">
        <f t="shared" si="11"/>
        <v>73817.25</v>
      </c>
      <c r="Z129" s="10">
        <f>+'A) Base RI'!O129</f>
        <v>0</v>
      </c>
      <c r="AA129" s="10">
        <f>'A) Base RI'!V129</f>
        <v>351</v>
      </c>
    </row>
    <row r="130" spans="1:27" x14ac:dyDescent="0.25">
      <c r="A130" s="8">
        <f>'A) Base RI'!A130</f>
        <v>5610</v>
      </c>
      <c r="B130" s="33" t="str">
        <f>'A) Base RI'!B130</f>
        <v>St-Saphorin (Lavaux)</v>
      </c>
      <c r="C130" s="10">
        <f>'A) Base RI'!C130+'A) Base RI'!D130</f>
        <v>816920.60999999987</v>
      </c>
      <c r="D130" s="10">
        <f>'A) Base RI'!W130</f>
        <v>-39631.339999999997</v>
      </c>
      <c r="E130" s="32">
        <f>'A) Base RI'!X130</f>
        <v>0</v>
      </c>
      <c r="F130" s="32">
        <f>'A) Base RI'!Y130</f>
        <v>-3132.51</v>
      </c>
      <c r="G130" s="2">
        <f t="shared" si="6"/>
        <v>774156.75999999989</v>
      </c>
      <c r="H130" s="10">
        <f>+'A) Base RI'!E130</f>
        <v>0</v>
      </c>
      <c r="I130" s="10">
        <f>+'A) Base RI'!F130</f>
        <v>0</v>
      </c>
      <c r="J130" s="10">
        <f>+'A) Base RI'!G130+'A) Base RI'!H130+'A) Base RI'!I130</f>
        <v>7823.5200000000013</v>
      </c>
      <c r="K130" s="10">
        <f>+'A) Base RI'!J130</f>
        <v>113527.1</v>
      </c>
      <c r="L130" s="10">
        <f>+'A) Base RI'!K130</f>
        <v>43089.89</v>
      </c>
      <c r="M130" s="10">
        <f>+'A) Base RI'!L130</f>
        <v>6110.5</v>
      </c>
      <c r="N130" s="10">
        <f>+'A) Base RI'!R130</f>
        <v>-511.05</v>
      </c>
      <c r="O130" s="10">
        <f t="shared" si="7"/>
        <v>83951.55</v>
      </c>
      <c r="P130" s="10">
        <f>+'A) Base RI'!M130</f>
        <v>83951.55</v>
      </c>
      <c r="Q130" s="35">
        <f>'A) Base RI'!Z130</f>
        <v>1</v>
      </c>
      <c r="R130" s="2">
        <f t="shared" si="8"/>
        <v>1028148.2699999999</v>
      </c>
      <c r="S130" s="34">
        <f>+'A) Base RI'!U130</f>
        <v>67</v>
      </c>
      <c r="T130" s="2">
        <f t="shared" si="9"/>
        <v>938086.21999999986</v>
      </c>
      <c r="U130" s="2">
        <f t="shared" si="10"/>
        <v>15345.496567164178</v>
      </c>
      <c r="V130" s="10">
        <f>+'A) Base RI'!P130</f>
        <v>166097.79999999999</v>
      </c>
      <c r="W130" s="10">
        <f>+'A) Base RI'!Q130</f>
        <v>6233.25</v>
      </c>
      <c r="X130" s="10">
        <f>+'A) Base RI'!S130</f>
        <v>62495.35</v>
      </c>
      <c r="Y130" s="2">
        <f t="shared" si="11"/>
        <v>234826.4</v>
      </c>
      <c r="Z130" s="10">
        <f>+'A) Base RI'!O130</f>
        <v>0</v>
      </c>
      <c r="AA130" s="10">
        <f>'A) Base RI'!V130</f>
        <v>389</v>
      </c>
    </row>
    <row r="131" spans="1:27" x14ac:dyDescent="0.25">
      <c r="A131" s="8">
        <f>'A) Base RI'!A131</f>
        <v>5611</v>
      </c>
      <c r="B131" s="33" t="str">
        <f>'A) Base RI'!B131</f>
        <v>Savigny</v>
      </c>
      <c r="C131" s="10">
        <f>'A) Base RI'!C131+'A) Base RI'!D131</f>
        <v>8027728.9500000002</v>
      </c>
      <c r="D131" s="10">
        <f>'A) Base RI'!W131</f>
        <v>-99702.720000000001</v>
      </c>
      <c r="E131" s="32">
        <f>'A) Base RI'!X131</f>
        <v>0</v>
      </c>
      <c r="F131" s="32">
        <f>'A) Base RI'!Y131</f>
        <v>-931.37</v>
      </c>
      <c r="G131" s="2">
        <f t="shared" si="6"/>
        <v>7927094.8600000003</v>
      </c>
      <c r="H131" s="10">
        <f>+'A) Base RI'!E131</f>
        <v>0</v>
      </c>
      <c r="I131" s="10">
        <f>+'A) Base RI'!F131</f>
        <v>0</v>
      </c>
      <c r="J131" s="10">
        <f>+'A) Base RI'!G131+'A) Base RI'!H131+'A) Base RI'!I131</f>
        <v>296377.68</v>
      </c>
      <c r="K131" s="10">
        <f>+'A) Base RI'!J131</f>
        <v>69312.25</v>
      </c>
      <c r="L131" s="10">
        <f>+'A) Base RI'!K131</f>
        <v>149834.14000000001</v>
      </c>
      <c r="M131" s="10">
        <f>+'A) Base RI'!L131</f>
        <v>9369.6</v>
      </c>
      <c r="N131" s="10">
        <f>+'A) Base RI'!R131</f>
        <v>34828.19</v>
      </c>
      <c r="O131" s="10">
        <f t="shared" si="7"/>
        <v>619994.70833333337</v>
      </c>
      <c r="P131" s="10">
        <f>+'A) Base RI'!M131</f>
        <v>743993.65</v>
      </c>
      <c r="Q131" s="35">
        <f>'A) Base RI'!Z131</f>
        <v>1.2</v>
      </c>
      <c r="R131" s="2">
        <f t="shared" si="8"/>
        <v>9106811.4283333328</v>
      </c>
      <c r="S131" s="34">
        <f>+'A) Base RI'!U131</f>
        <v>69</v>
      </c>
      <c r="T131" s="2">
        <f t="shared" si="9"/>
        <v>8477447.1199999992</v>
      </c>
      <c r="U131" s="2">
        <f t="shared" si="10"/>
        <v>131982.7743236715</v>
      </c>
      <c r="V131" s="10">
        <f>+'A) Base RI'!P131</f>
        <v>573197.4</v>
      </c>
      <c r="W131" s="10">
        <f>+'A) Base RI'!Q131</f>
        <v>296514.59999999998</v>
      </c>
      <c r="X131" s="10">
        <f>+'A) Base RI'!S131</f>
        <v>277460.05</v>
      </c>
      <c r="Y131" s="2">
        <f t="shared" si="11"/>
        <v>1147172.05</v>
      </c>
      <c r="Z131" s="10">
        <f>+'A) Base RI'!O131</f>
        <v>134342.79999999999</v>
      </c>
      <c r="AA131" s="10">
        <f>'A) Base RI'!V131</f>
        <v>3352</v>
      </c>
    </row>
    <row r="132" spans="1:27" x14ac:dyDescent="0.25">
      <c r="A132" s="8">
        <f>'A) Base RI'!A132</f>
        <v>5613</v>
      </c>
      <c r="B132" s="33" t="str">
        <f>'A) Base RI'!B132</f>
        <v>Bourg-en-Lavaux</v>
      </c>
      <c r="C132" s="10">
        <f>'A) Base RI'!C132+'A) Base RI'!D132</f>
        <v>18198540.559999999</v>
      </c>
      <c r="D132" s="10">
        <f>'A) Base RI'!W132</f>
        <v>-158129.57999999999</v>
      </c>
      <c r="E132" s="32">
        <f>'A) Base RI'!X132</f>
        <v>0</v>
      </c>
      <c r="F132" s="32">
        <f>'A) Base RI'!Y132</f>
        <v>-6888.22</v>
      </c>
      <c r="G132" s="2">
        <f t="shared" si="6"/>
        <v>18033522.760000002</v>
      </c>
      <c r="H132" s="10">
        <f>+'A) Base RI'!E132</f>
        <v>0</v>
      </c>
      <c r="I132" s="10">
        <f>+'A) Base RI'!F132</f>
        <v>0</v>
      </c>
      <c r="J132" s="10">
        <f>+'A) Base RI'!G132+'A) Base RI'!H132+'A) Base RI'!I132</f>
        <v>202492.11</v>
      </c>
      <c r="K132" s="10">
        <f>+'A) Base RI'!J132</f>
        <v>150982.20000000001</v>
      </c>
      <c r="L132" s="10">
        <f>+'A) Base RI'!K132</f>
        <v>413820.12</v>
      </c>
      <c r="M132" s="10">
        <f>+'A) Base RI'!L132</f>
        <v>26619.4</v>
      </c>
      <c r="N132" s="10">
        <f>+'A) Base RI'!R132</f>
        <v>9478.5400000000009</v>
      </c>
      <c r="O132" s="10">
        <f t="shared" si="7"/>
        <v>1282089.2666666666</v>
      </c>
      <c r="P132" s="10">
        <f>+'A) Base RI'!M132</f>
        <v>1923133.9</v>
      </c>
      <c r="Q132" s="35">
        <f>'A) Base RI'!Z132</f>
        <v>1.5</v>
      </c>
      <c r="R132" s="2">
        <f t="shared" si="8"/>
        <v>20119004.396666665</v>
      </c>
      <c r="S132" s="34">
        <f>+'A) Base RI'!U132</f>
        <v>61</v>
      </c>
      <c r="T132" s="2">
        <f t="shared" si="9"/>
        <v>18810295.73</v>
      </c>
      <c r="U132" s="2">
        <f t="shared" si="10"/>
        <v>329819.74420765025</v>
      </c>
      <c r="V132" s="10">
        <f>+'A) Base RI'!P132</f>
        <v>242481.1</v>
      </c>
      <c r="W132" s="10">
        <f>+'A) Base RI'!Q132</f>
        <v>668142.85</v>
      </c>
      <c r="X132" s="10">
        <f>+'A) Base RI'!S132</f>
        <v>690231.5</v>
      </c>
      <c r="Y132" s="2">
        <f t="shared" si="11"/>
        <v>1600855.45</v>
      </c>
      <c r="Z132" s="10">
        <f>+'A) Base RI'!O132</f>
        <v>18736</v>
      </c>
      <c r="AA132" s="10">
        <f>'A) Base RI'!V132</f>
        <v>5288</v>
      </c>
    </row>
    <row r="133" spans="1:27" x14ac:dyDescent="0.25">
      <c r="A133" s="8">
        <f>'A) Base RI'!A133</f>
        <v>5621</v>
      </c>
      <c r="B133" s="33" t="str">
        <f>'A) Base RI'!B133</f>
        <v>Aclens</v>
      </c>
      <c r="C133" s="10">
        <f>'A) Base RI'!C133+'A) Base RI'!D133</f>
        <v>1206692.52</v>
      </c>
      <c r="D133" s="10">
        <f>'A) Base RI'!W133</f>
        <v>-155107.92000000001</v>
      </c>
      <c r="E133" s="32">
        <f>'A) Base RI'!X133</f>
        <v>0</v>
      </c>
      <c r="F133" s="32">
        <f>'A) Base RI'!Y133</f>
        <v>-1580.04</v>
      </c>
      <c r="G133" s="2">
        <f t="shared" si="6"/>
        <v>1050004.56</v>
      </c>
      <c r="H133" s="10">
        <f>+'A) Base RI'!E133</f>
        <v>0</v>
      </c>
      <c r="I133" s="10">
        <f>+'A) Base RI'!F133</f>
        <v>0</v>
      </c>
      <c r="J133" s="10">
        <f>+'A) Base RI'!G133+'A) Base RI'!H133+'A) Base RI'!I133</f>
        <v>315956.28999999998</v>
      </c>
      <c r="K133" s="10">
        <f>+'A) Base RI'!J133</f>
        <v>0</v>
      </c>
      <c r="L133" s="10">
        <f>+'A) Base RI'!K133</f>
        <v>59819.55</v>
      </c>
      <c r="M133" s="10">
        <f>+'A) Base RI'!L133</f>
        <v>-5234.8500000000004</v>
      </c>
      <c r="N133" s="10">
        <f>+'A) Base RI'!R133</f>
        <v>147690.70000000001</v>
      </c>
      <c r="O133" s="10">
        <f t="shared" si="7"/>
        <v>276391.13636363635</v>
      </c>
      <c r="P133" s="10">
        <f>+'A) Base RI'!M133</f>
        <v>304030.25</v>
      </c>
      <c r="Q133" s="35">
        <f>'A) Base RI'!Z133</f>
        <v>1.1000000000000001</v>
      </c>
      <c r="R133" s="2">
        <f t="shared" si="8"/>
        <v>1844627.3863636362</v>
      </c>
      <c r="S133" s="34">
        <f>+'A) Base RI'!U133</f>
        <v>62</v>
      </c>
      <c r="T133" s="2">
        <f t="shared" si="9"/>
        <v>1573471.1</v>
      </c>
      <c r="U133" s="2">
        <f t="shared" si="10"/>
        <v>29752.054618768325</v>
      </c>
      <c r="V133" s="10">
        <f>+'A) Base RI'!P133</f>
        <v>131916.70000000001</v>
      </c>
      <c r="W133" s="10">
        <f>+'A) Base RI'!Q133</f>
        <v>184944.5</v>
      </c>
      <c r="X133" s="10">
        <f>+'A) Base RI'!S133</f>
        <v>266833.5</v>
      </c>
      <c r="Y133" s="2">
        <f t="shared" si="11"/>
        <v>583694.69999999995</v>
      </c>
      <c r="Z133" s="10">
        <f>+'A) Base RI'!O133</f>
        <v>167208.75</v>
      </c>
      <c r="AA133" s="10">
        <f>'A) Base RI'!V133</f>
        <v>545</v>
      </c>
    </row>
    <row r="134" spans="1:27" x14ac:dyDescent="0.25">
      <c r="A134" s="8">
        <f>'A) Base RI'!A134</f>
        <v>5622</v>
      </c>
      <c r="B134" s="33" t="str">
        <f>'A) Base RI'!B134</f>
        <v>Bremblens</v>
      </c>
      <c r="C134" s="10">
        <f>'A) Base RI'!C134+'A) Base RI'!D134</f>
        <v>1575428.58</v>
      </c>
      <c r="D134" s="10">
        <f>'A) Base RI'!W134</f>
        <v>-891.3</v>
      </c>
      <c r="E134" s="32">
        <f>'A) Base RI'!X134</f>
        <v>0</v>
      </c>
      <c r="F134" s="32">
        <f>'A) Base RI'!Y134</f>
        <v>-45.53</v>
      </c>
      <c r="G134" s="2">
        <f t="shared" si="6"/>
        <v>1574491.75</v>
      </c>
      <c r="H134" s="10">
        <f>+'A) Base RI'!E134</f>
        <v>0</v>
      </c>
      <c r="I134" s="10">
        <f>+'A) Base RI'!F134</f>
        <v>0</v>
      </c>
      <c r="J134" s="10">
        <f>+'A) Base RI'!G134+'A) Base RI'!H134+'A) Base RI'!I134</f>
        <v>134892.84999999998</v>
      </c>
      <c r="K134" s="10">
        <f>+'A) Base RI'!J134</f>
        <v>0</v>
      </c>
      <c r="L134" s="10">
        <f>+'A) Base RI'!K134</f>
        <v>134834.70000000001</v>
      </c>
      <c r="M134" s="10">
        <f>+'A) Base RI'!L134</f>
        <v>5698</v>
      </c>
      <c r="N134" s="10">
        <f>+'A) Base RI'!R134</f>
        <v>0</v>
      </c>
      <c r="O134" s="10">
        <f t="shared" si="7"/>
        <v>134410</v>
      </c>
      <c r="P134" s="10">
        <f>+'A) Base RI'!M134</f>
        <v>134410</v>
      </c>
      <c r="Q134" s="35">
        <f>'A) Base RI'!Z134</f>
        <v>1</v>
      </c>
      <c r="R134" s="2">
        <f t="shared" si="8"/>
        <v>1984327.3</v>
      </c>
      <c r="S134" s="34">
        <f>+'A) Base RI'!U134</f>
        <v>66</v>
      </c>
      <c r="T134" s="2">
        <f t="shared" si="9"/>
        <v>1844219.3</v>
      </c>
      <c r="U134" s="2">
        <f t="shared" si="10"/>
        <v>30065.565151515151</v>
      </c>
      <c r="V134" s="10">
        <f>+'A) Base RI'!P134</f>
        <v>0</v>
      </c>
      <c r="W134" s="10">
        <f>+'A) Base RI'!Q134</f>
        <v>36517.15</v>
      </c>
      <c r="X134" s="10">
        <f>+'A) Base RI'!S134</f>
        <v>25680.15</v>
      </c>
      <c r="Y134" s="2">
        <f t="shared" si="11"/>
        <v>62197.3</v>
      </c>
      <c r="Z134" s="10">
        <f>+'A) Base RI'!O134</f>
        <v>17319.55</v>
      </c>
      <c r="AA134" s="10">
        <f>'A) Base RI'!V134</f>
        <v>547</v>
      </c>
    </row>
    <row r="135" spans="1:27" x14ac:dyDescent="0.25">
      <c r="A135" s="8">
        <f>'A) Base RI'!A135</f>
        <v>5623</v>
      </c>
      <c r="B135" s="33" t="str">
        <f>'A) Base RI'!B135</f>
        <v>Buchillon</v>
      </c>
      <c r="C135" s="10">
        <f>'A) Base RI'!C135+'A) Base RI'!D135</f>
        <v>3174177.83</v>
      </c>
      <c r="D135" s="10">
        <f>'A) Base RI'!W135</f>
        <v>-1610.17</v>
      </c>
      <c r="E135" s="32">
        <f>'A) Base RI'!X135</f>
        <v>0</v>
      </c>
      <c r="F135" s="32">
        <f>'A) Base RI'!Y135</f>
        <v>-25657.96</v>
      </c>
      <c r="G135" s="2">
        <f t="shared" si="6"/>
        <v>3146909.7</v>
      </c>
      <c r="H135" s="10">
        <f>+'A) Base RI'!E135</f>
        <v>0</v>
      </c>
      <c r="I135" s="10">
        <f>+'A) Base RI'!F135</f>
        <v>0</v>
      </c>
      <c r="J135" s="10">
        <f>+'A) Base RI'!G135+'A) Base RI'!H135+'A) Base RI'!I135</f>
        <v>252256.31999999998</v>
      </c>
      <c r="K135" s="10">
        <f>+'A) Base RI'!J135</f>
        <v>182427.55</v>
      </c>
      <c r="L135" s="10">
        <f>+'A) Base RI'!K135</f>
        <v>60062.21</v>
      </c>
      <c r="M135" s="10">
        <f>+'A) Base RI'!L135</f>
        <v>4972.3</v>
      </c>
      <c r="N135" s="10">
        <f>+'A) Base RI'!R135</f>
        <v>1025.95</v>
      </c>
      <c r="O135" s="10">
        <f t="shared" si="7"/>
        <v>312535</v>
      </c>
      <c r="P135" s="10">
        <f>+'A) Base RI'!M135</f>
        <v>312535</v>
      </c>
      <c r="Q135" s="35">
        <f>'A) Base RI'!Z135</f>
        <v>1</v>
      </c>
      <c r="R135" s="2">
        <f t="shared" si="8"/>
        <v>3960189.03</v>
      </c>
      <c r="S135" s="34">
        <f>+'A) Base RI'!U135</f>
        <v>53</v>
      </c>
      <c r="T135" s="2">
        <f t="shared" si="9"/>
        <v>3642681.73</v>
      </c>
      <c r="U135" s="2">
        <f t="shared" si="10"/>
        <v>74720.547735849046</v>
      </c>
      <c r="V135" s="10">
        <f>+'A) Base RI'!P135</f>
        <v>0</v>
      </c>
      <c r="W135" s="10">
        <f>+'A) Base RI'!Q135</f>
        <v>80333</v>
      </c>
      <c r="X135" s="10">
        <f>+'A) Base RI'!S135</f>
        <v>61581.4</v>
      </c>
      <c r="Y135" s="2">
        <f t="shared" si="11"/>
        <v>141914.4</v>
      </c>
      <c r="Z135" s="10">
        <f>+'A) Base RI'!O135</f>
        <v>1757.1</v>
      </c>
      <c r="AA135" s="10">
        <f>'A) Base RI'!V135</f>
        <v>638</v>
      </c>
    </row>
    <row r="136" spans="1:27" x14ac:dyDescent="0.25">
      <c r="A136" s="8">
        <f>'A) Base RI'!A136</f>
        <v>5624</v>
      </c>
      <c r="B136" s="33" t="str">
        <f>'A) Base RI'!B136</f>
        <v>Bussigny</v>
      </c>
      <c r="C136" s="10">
        <f>'A) Base RI'!C136+'A) Base RI'!D136</f>
        <v>13947222.550000001</v>
      </c>
      <c r="D136" s="10">
        <f>'A) Base RI'!W136</f>
        <v>-374053.16</v>
      </c>
      <c r="E136" s="32">
        <f>'A) Base RI'!X136</f>
        <v>0</v>
      </c>
      <c r="F136" s="32">
        <f>'A) Base RI'!Y136</f>
        <v>0</v>
      </c>
      <c r="G136" s="2">
        <f t="shared" ref="G136:G199" si="12">SUM(C136:F136)</f>
        <v>13573169.390000001</v>
      </c>
      <c r="H136" s="10">
        <f>+'A) Base RI'!E136</f>
        <v>0</v>
      </c>
      <c r="I136" s="10">
        <f>+'A) Base RI'!F136</f>
        <v>0</v>
      </c>
      <c r="J136" s="10">
        <f>+'A) Base RI'!G136+'A) Base RI'!H136+'A) Base RI'!I136</f>
        <v>2815988.0199999996</v>
      </c>
      <c r="K136" s="10">
        <f>+'A) Base RI'!J136</f>
        <v>0</v>
      </c>
      <c r="L136" s="10">
        <f>+'A) Base RI'!K136</f>
        <v>912503.62</v>
      </c>
      <c r="M136" s="10">
        <f>+'A) Base RI'!L136</f>
        <v>284849.59999999998</v>
      </c>
      <c r="N136" s="10">
        <f>+'A) Base RI'!R136</f>
        <v>62432.5</v>
      </c>
      <c r="O136" s="10">
        <f t="shared" ref="O136:O199" si="13">(P136/Q136)*1</f>
        <v>1778913.75</v>
      </c>
      <c r="P136" s="10">
        <f>+'A) Base RI'!M136</f>
        <v>1778913.75</v>
      </c>
      <c r="Q136" s="35">
        <f>'A) Base RI'!Z136</f>
        <v>1</v>
      </c>
      <c r="R136" s="2">
        <f t="shared" ref="R136:R199" si="14">SUM(G136:O136)</f>
        <v>19427856.880000003</v>
      </c>
      <c r="S136" s="34">
        <f>+'A) Base RI'!U136</f>
        <v>62</v>
      </c>
      <c r="T136" s="2">
        <f t="shared" ref="T136:T199" si="15">(G136+H136+J136+K136+L136+N136)</f>
        <v>17364093.530000001</v>
      </c>
      <c r="U136" s="2">
        <f t="shared" ref="U136:U199" si="16">R136/S136</f>
        <v>313352.53032258071</v>
      </c>
      <c r="V136" s="10">
        <f>+'A) Base RI'!P136</f>
        <v>45365.4</v>
      </c>
      <c r="W136" s="10">
        <f>+'A) Base RI'!Q136</f>
        <v>1488459.3</v>
      </c>
      <c r="X136" s="10">
        <f>+'A) Base RI'!S136</f>
        <v>381713.4</v>
      </c>
      <c r="Y136" s="2">
        <f t="shared" ref="Y136:Y199" si="17">SUM(V136:X136)</f>
        <v>1915538.1</v>
      </c>
      <c r="Z136" s="10">
        <f>+'A) Base RI'!O136</f>
        <v>1222764.6000000001</v>
      </c>
      <c r="AA136" s="10">
        <f>'A) Base RI'!V136</f>
        <v>8677</v>
      </c>
    </row>
    <row r="137" spans="1:27" x14ac:dyDescent="0.25">
      <c r="A137" s="8">
        <f>'A) Base RI'!A137</f>
        <v>5625</v>
      </c>
      <c r="B137" s="33" t="str">
        <f>'A) Base RI'!B137</f>
        <v>Bussy-Chardonney</v>
      </c>
      <c r="C137" s="10">
        <f>'A) Base RI'!C137+'A) Base RI'!D137</f>
        <v>889812.93</v>
      </c>
      <c r="D137" s="10">
        <f>'A) Base RI'!W137</f>
        <v>-2840.14</v>
      </c>
      <c r="E137" s="32">
        <f>'A) Base RI'!X137</f>
        <v>0</v>
      </c>
      <c r="F137" s="32">
        <f>'A) Base RI'!Y137</f>
        <v>0</v>
      </c>
      <c r="G137" s="2">
        <f t="shared" si="12"/>
        <v>886972.79</v>
      </c>
      <c r="H137" s="10">
        <f>+'A) Base RI'!E137</f>
        <v>0</v>
      </c>
      <c r="I137" s="10">
        <f>+'A) Base RI'!F137</f>
        <v>0</v>
      </c>
      <c r="J137" s="10">
        <f>+'A) Base RI'!G137+'A) Base RI'!H137+'A) Base RI'!I137</f>
        <v>13839.470000000001</v>
      </c>
      <c r="K137" s="10">
        <f>+'A) Base RI'!J137</f>
        <v>49537.55</v>
      </c>
      <c r="L137" s="10">
        <f>+'A) Base RI'!K137</f>
        <v>17072.86</v>
      </c>
      <c r="M137" s="10">
        <f>+'A) Base RI'!L137</f>
        <v>7588</v>
      </c>
      <c r="N137" s="10">
        <f>+'A) Base RI'!R137</f>
        <v>178.75</v>
      </c>
      <c r="O137" s="10">
        <f t="shared" si="13"/>
        <v>89330.833333333343</v>
      </c>
      <c r="P137" s="10">
        <f>+'A) Base RI'!M137</f>
        <v>107197</v>
      </c>
      <c r="Q137" s="35">
        <f>'A) Base RI'!Z137</f>
        <v>1.2</v>
      </c>
      <c r="R137" s="2">
        <f t="shared" si="14"/>
        <v>1064520.2533333334</v>
      </c>
      <c r="S137" s="34">
        <f>+'A) Base RI'!U137</f>
        <v>78</v>
      </c>
      <c r="T137" s="2">
        <f t="shared" si="15"/>
        <v>967601.42</v>
      </c>
      <c r="U137" s="2">
        <f t="shared" si="16"/>
        <v>13647.695555555556</v>
      </c>
      <c r="V137" s="10">
        <f>+'A) Base RI'!P137</f>
        <v>0</v>
      </c>
      <c r="W137" s="10">
        <f>+'A) Base RI'!Q137</f>
        <v>33220</v>
      </c>
      <c r="X137" s="10">
        <f>+'A) Base RI'!S137</f>
        <v>47777.75</v>
      </c>
      <c r="Y137" s="2">
        <f t="shared" si="17"/>
        <v>80997.75</v>
      </c>
      <c r="Z137" s="10">
        <f>+'A) Base RI'!O137</f>
        <v>0</v>
      </c>
      <c r="AA137" s="10">
        <f>'A) Base RI'!V137</f>
        <v>371</v>
      </c>
    </row>
    <row r="138" spans="1:27" x14ac:dyDescent="0.25">
      <c r="A138" s="8">
        <f>'A) Base RI'!A138</f>
        <v>5627</v>
      </c>
      <c r="B138" s="33" t="str">
        <f>'A) Base RI'!B138</f>
        <v>Chavannes-près-Renens</v>
      </c>
      <c r="C138" s="10">
        <f>'A) Base RI'!C138+'A) Base RI'!D138</f>
        <v>10268914.84</v>
      </c>
      <c r="D138" s="10">
        <f>'A) Base RI'!W138</f>
        <v>-333160.23</v>
      </c>
      <c r="E138" s="32">
        <f>'A) Base RI'!X138</f>
        <v>0</v>
      </c>
      <c r="F138" s="32">
        <f>'A) Base RI'!Y138</f>
        <v>-366.38</v>
      </c>
      <c r="G138" s="2">
        <f t="shared" si="12"/>
        <v>9935388.2299999986</v>
      </c>
      <c r="H138" s="10">
        <f>+'A) Base RI'!E138</f>
        <v>0</v>
      </c>
      <c r="I138" s="10">
        <f>+'A) Base RI'!F138</f>
        <v>0</v>
      </c>
      <c r="J138" s="10">
        <f>+'A) Base RI'!G138+'A) Base RI'!H138+'A) Base RI'!I138</f>
        <v>1293223.8599999999</v>
      </c>
      <c r="K138" s="10">
        <f>+'A) Base RI'!J138</f>
        <v>0</v>
      </c>
      <c r="L138" s="10">
        <f>+'A) Base RI'!K138</f>
        <v>861608.62</v>
      </c>
      <c r="M138" s="10">
        <f>+'A) Base RI'!L138</f>
        <v>158076.04999999999</v>
      </c>
      <c r="N138" s="10">
        <f>+'A) Base RI'!R138</f>
        <v>81539.7</v>
      </c>
      <c r="O138" s="10">
        <f t="shared" si="13"/>
        <v>921635.33333333337</v>
      </c>
      <c r="P138" s="10">
        <f>+'A) Base RI'!M138</f>
        <v>1382453</v>
      </c>
      <c r="Q138" s="35">
        <f>'A) Base RI'!Z138</f>
        <v>1.5</v>
      </c>
      <c r="R138" s="2">
        <f t="shared" si="14"/>
        <v>13251471.793333331</v>
      </c>
      <c r="S138" s="34">
        <f>+'A) Base RI'!U138</f>
        <v>79</v>
      </c>
      <c r="T138" s="2">
        <f t="shared" si="15"/>
        <v>12171760.409999996</v>
      </c>
      <c r="U138" s="2">
        <f t="shared" si="16"/>
        <v>167740.14928270038</v>
      </c>
      <c r="V138" s="10">
        <f>+'A) Base RI'!P138</f>
        <v>87645.5</v>
      </c>
      <c r="W138" s="10">
        <f>+'A) Base RI'!Q138</f>
        <v>852829.4</v>
      </c>
      <c r="X138" s="10">
        <f>+'A) Base RI'!S138</f>
        <v>1599154.75</v>
      </c>
      <c r="Y138" s="2">
        <f t="shared" si="17"/>
        <v>2539629.65</v>
      </c>
      <c r="Z138" s="10">
        <f>+'A) Base RI'!O138</f>
        <v>382133.95</v>
      </c>
      <c r="AA138" s="10">
        <f>'A) Base RI'!V138</f>
        <v>7653</v>
      </c>
    </row>
    <row r="139" spans="1:27" x14ac:dyDescent="0.25">
      <c r="A139" s="8">
        <f>'A) Base RI'!A139</f>
        <v>5628</v>
      </c>
      <c r="B139" s="33" t="str">
        <f>'A) Base RI'!B139</f>
        <v>Chigny</v>
      </c>
      <c r="C139" s="10">
        <f>'A) Base RI'!C139+'A) Base RI'!D139</f>
        <v>1110373.8600000001</v>
      </c>
      <c r="D139" s="10">
        <f>'A) Base RI'!W139</f>
        <v>-4547.12</v>
      </c>
      <c r="E139" s="32">
        <f>'A) Base RI'!X139</f>
        <v>0</v>
      </c>
      <c r="F139" s="32">
        <f>'A) Base RI'!Y139</f>
        <v>0</v>
      </c>
      <c r="G139" s="2">
        <f t="shared" si="12"/>
        <v>1105826.74</v>
      </c>
      <c r="H139" s="10">
        <f>+'A) Base RI'!E139</f>
        <v>0</v>
      </c>
      <c r="I139" s="10">
        <f>+'A) Base RI'!F139</f>
        <v>0</v>
      </c>
      <c r="J139" s="10">
        <f>+'A) Base RI'!G139+'A) Base RI'!H139+'A) Base RI'!I139</f>
        <v>1944.24</v>
      </c>
      <c r="K139" s="10">
        <f>+'A) Base RI'!J139</f>
        <v>0</v>
      </c>
      <c r="L139" s="10">
        <f>+'A) Base RI'!K139</f>
        <v>18929.59</v>
      </c>
      <c r="M139" s="10">
        <f>+'A) Base RI'!L139</f>
        <v>859.5</v>
      </c>
      <c r="N139" s="10">
        <f>+'A) Base RI'!R139</f>
        <v>0</v>
      </c>
      <c r="O139" s="10">
        <f t="shared" si="13"/>
        <v>82267.7</v>
      </c>
      <c r="P139" s="10">
        <f>+'A) Base RI'!M139</f>
        <v>82267.7</v>
      </c>
      <c r="Q139" s="35">
        <f>'A) Base RI'!Z139</f>
        <v>1</v>
      </c>
      <c r="R139" s="2">
        <f t="shared" si="14"/>
        <v>1209827.77</v>
      </c>
      <c r="S139" s="34">
        <f>+'A) Base RI'!U139</f>
        <v>62</v>
      </c>
      <c r="T139" s="2">
        <f t="shared" si="15"/>
        <v>1126700.57</v>
      </c>
      <c r="U139" s="2">
        <f t="shared" si="16"/>
        <v>19513.351129032257</v>
      </c>
      <c r="V139" s="10">
        <f>+'A) Base RI'!P139</f>
        <v>0</v>
      </c>
      <c r="W139" s="10">
        <f>+'A) Base RI'!Q139</f>
        <v>45475.55</v>
      </c>
      <c r="X139" s="10">
        <f>+'A) Base RI'!S139</f>
        <v>58184.75</v>
      </c>
      <c r="Y139" s="2">
        <f t="shared" si="17"/>
        <v>103660.3</v>
      </c>
      <c r="Z139" s="10">
        <f>+'A) Base RI'!O139</f>
        <v>16284.8</v>
      </c>
      <c r="AA139" s="10">
        <f>'A) Base RI'!V139</f>
        <v>338</v>
      </c>
    </row>
    <row r="140" spans="1:27" x14ac:dyDescent="0.25">
      <c r="A140" s="8">
        <f>'A) Base RI'!A140</f>
        <v>5629</v>
      </c>
      <c r="B140" s="33" t="str">
        <f>'A) Base RI'!B140</f>
        <v>Clarmont</v>
      </c>
      <c r="C140" s="10">
        <f>'A) Base RI'!C140+'A) Base RI'!D140</f>
        <v>526156.01</v>
      </c>
      <c r="D140" s="10">
        <f>'A) Base RI'!W140</f>
        <v>-17162.919999999998</v>
      </c>
      <c r="E140" s="32">
        <f>'A) Base RI'!X140</f>
        <v>0</v>
      </c>
      <c r="F140" s="32">
        <f>'A) Base RI'!Y140</f>
        <v>0</v>
      </c>
      <c r="G140" s="2">
        <f t="shared" si="12"/>
        <v>508993.09</v>
      </c>
      <c r="H140" s="10">
        <f>+'A) Base RI'!E140</f>
        <v>0</v>
      </c>
      <c r="I140" s="10">
        <f>+'A) Base RI'!F140</f>
        <v>0</v>
      </c>
      <c r="J140" s="10">
        <f>+'A) Base RI'!G140+'A) Base RI'!H140+'A) Base RI'!I140</f>
        <v>7074.8700000000008</v>
      </c>
      <c r="K140" s="10">
        <f>+'A) Base RI'!J140</f>
        <v>0</v>
      </c>
      <c r="L140" s="10">
        <f>+'A) Base RI'!K140</f>
        <v>4511.34</v>
      </c>
      <c r="M140" s="10">
        <f>+'A) Base RI'!L140</f>
        <v>1728.55</v>
      </c>
      <c r="N140" s="10">
        <f>+'A) Base RI'!R140</f>
        <v>0</v>
      </c>
      <c r="O140" s="10">
        <f t="shared" si="13"/>
        <v>35909.1</v>
      </c>
      <c r="P140" s="10">
        <f>+'A) Base RI'!M140</f>
        <v>35909.1</v>
      </c>
      <c r="Q140" s="35">
        <f>'A) Base RI'!Z140</f>
        <v>1</v>
      </c>
      <c r="R140" s="2">
        <f t="shared" si="14"/>
        <v>558216.95000000007</v>
      </c>
      <c r="S140" s="34">
        <f>+'A) Base RI'!U140</f>
        <v>75</v>
      </c>
      <c r="T140" s="2">
        <f t="shared" si="15"/>
        <v>520579.30000000005</v>
      </c>
      <c r="U140" s="2">
        <f t="shared" si="16"/>
        <v>7442.8926666666675</v>
      </c>
      <c r="V140" s="10">
        <f>+'A) Base RI'!P140</f>
        <v>0</v>
      </c>
      <c r="W140" s="10">
        <f>+'A) Base RI'!Q140</f>
        <v>24134.6</v>
      </c>
      <c r="X140" s="10">
        <f>+'A) Base RI'!S140</f>
        <v>0</v>
      </c>
      <c r="Y140" s="2">
        <f t="shared" si="17"/>
        <v>24134.6</v>
      </c>
      <c r="Z140" s="10">
        <f>+'A) Base RI'!O140</f>
        <v>0</v>
      </c>
      <c r="AA140" s="10">
        <f>'A) Base RI'!V140</f>
        <v>189</v>
      </c>
    </row>
    <row r="141" spans="1:27" x14ac:dyDescent="0.25">
      <c r="A141" s="8">
        <f>'A) Base RI'!A141</f>
        <v>5631</v>
      </c>
      <c r="B141" s="33" t="str">
        <f>'A) Base RI'!B141</f>
        <v>Denens</v>
      </c>
      <c r="C141" s="10">
        <f>'A) Base RI'!C141+'A) Base RI'!D141</f>
        <v>2776115.04</v>
      </c>
      <c r="D141" s="10">
        <f>'A) Base RI'!W141</f>
        <v>-12514.81</v>
      </c>
      <c r="E141" s="32">
        <f>'A) Base RI'!X141</f>
        <v>0</v>
      </c>
      <c r="F141" s="32">
        <f>'A) Base RI'!Y141</f>
        <v>-204.82</v>
      </c>
      <c r="G141" s="2">
        <f t="shared" si="12"/>
        <v>2763395.41</v>
      </c>
      <c r="H141" s="10">
        <f>+'A) Base RI'!E141</f>
        <v>0</v>
      </c>
      <c r="I141" s="10">
        <f>+'A) Base RI'!F141</f>
        <v>0</v>
      </c>
      <c r="J141" s="10">
        <f>+'A) Base RI'!G141+'A) Base RI'!H141+'A) Base RI'!I141</f>
        <v>28334.480000000003</v>
      </c>
      <c r="K141" s="10">
        <f>+'A) Base RI'!J141</f>
        <v>111331.45</v>
      </c>
      <c r="L141" s="10">
        <f>+'A) Base RI'!K141</f>
        <v>69297.86</v>
      </c>
      <c r="M141" s="10">
        <f>+'A) Base RI'!L141</f>
        <v>-261.10000000000002</v>
      </c>
      <c r="N141" s="10">
        <f>+'A) Base RI'!R141</f>
        <v>10206.709999999999</v>
      </c>
      <c r="O141" s="10">
        <f t="shared" si="13"/>
        <v>193401.65</v>
      </c>
      <c r="P141" s="10">
        <f>+'A) Base RI'!M141</f>
        <v>193401.65</v>
      </c>
      <c r="Q141" s="35">
        <f>'A) Base RI'!Z141</f>
        <v>1</v>
      </c>
      <c r="R141" s="2">
        <f t="shared" si="14"/>
        <v>3175706.46</v>
      </c>
      <c r="S141" s="34">
        <f>+'A) Base RI'!U141</f>
        <v>70</v>
      </c>
      <c r="T141" s="2">
        <f t="shared" si="15"/>
        <v>2982565.91</v>
      </c>
      <c r="U141" s="2">
        <f t="shared" si="16"/>
        <v>45367.235142857142</v>
      </c>
      <c r="V141" s="10">
        <f>+'A) Base RI'!P141</f>
        <v>8896.2999999999993</v>
      </c>
      <c r="W141" s="10">
        <f>+'A) Base RI'!Q141</f>
        <v>71248.2</v>
      </c>
      <c r="X141" s="10">
        <f>+'A) Base RI'!S141</f>
        <v>131699.95000000001</v>
      </c>
      <c r="Y141" s="2">
        <f t="shared" si="17"/>
        <v>211844.45</v>
      </c>
      <c r="Z141" s="10">
        <f>+'A) Base RI'!O141</f>
        <v>0</v>
      </c>
      <c r="AA141" s="10">
        <f>'A) Base RI'!V141</f>
        <v>774</v>
      </c>
    </row>
    <row r="142" spans="1:27" x14ac:dyDescent="0.25">
      <c r="A142" s="8">
        <f>'A) Base RI'!A142</f>
        <v>5632</v>
      </c>
      <c r="B142" s="33" t="str">
        <f>'A) Base RI'!B142</f>
        <v>Denges</v>
      </c>
      <c r="C142" s="10">
        <f>'A) Base RI'!C142+'A) Base RI'!D142</f>
        <v>3528220.1300000004</v>
      </c>
      <c r="D142" s="10">
        <f>'A) Base RI'!W142</f>
        <v>-25911.85</v>
      </c>
      <c r="E142" s="32">
        <f>'A) Base RI'!X142</f>
        <v>0</v>
      </c>
      <c r="F142" s="32">
        <f>'A) Base RI'!Y142</f>
        <v>-282.55</v>
      </c>
      <c r="G142" s="2">
        <f t="shared" si="12"/>
        <v>3502025.7300000004</v>
      </c>
      <c r="H142" s="10">
        <f>+'A) Base RI'!E142</f>
        <v>0</v>
      </c>
      <c r="I142" s="10">
        <f>+'A) Base RI'!F142</f>
        <v>0</v>
      </c>
      <c r="J142" s="10">
        <f>+'A) Base RI'!G142+'A) Base RI'!H142+'A) Base RI'!I142</f>
        <v>115704.42</v>
      </c>
      <c r="K142" s="10">
        <f>+'A) Base RI'!J142</f>
        <v>0</v>
      </c>
      <c r="L142" s="10">
        <f>+'A) Base RI'!K142</f>
        <v>185267.79</v>
      </c>
      <c r="M142" s="10">
        <f>+'A) Base RI'!L142</f>
        <v>18381.8</v>
      </c>
      <c r="N142" s="10">
        <f>+'A) Base RI'!R142</f>
        <v>15184.06</v>
      </c>
      <c r="O142" s="10">
        <f t="shared" si="13"/>
        <v>327637.40000000002</v>
      </c>
      <c r="P142" s="10">
        <f>+'A) Base RI'!M142</f>
        <v>327637.40000000002</v>
      </c>
      <c r="Q142" s="35">
        <f>'A) Base RI'!Z142</f>
        <v>1</v>
      </c>
      <c r="R142" s="2">
        <f t="shared" si="14"/>
        <v>4164201.2</v>
      </c>
      <c r="S142" s="34">
        <f>+'A) Base RI'!U142</f>
        <v>62</v>
      </c>
      <c r="T142" s="2">
        <f t="shared" si="15"/>
        <v>3818182.0000000005</v>
      </c>
      <c r="U142" s="2">
        <f t="shared" si="16"/>
        <v>67164.535483870975</v>
      </c>
      <c r="V142" s="10">
        <f>+'A) Base RI'!P142</f>
        <v>0</v>
      </c>
      <c r="W142" s="10">
        <f>+'A) Base RI'!Q142</f>
        <v>157830.6</v>
      </c>
      <c r="X142" s="10">
        <f>+'A) Base RI'!S142</f>
        <v>95149.85</v>
      </c>
      <c r="Y142" s="2">
        <f t="shared" si="17"/>
        <v>252980.45</v>
      </c>
      <c r="Z142" s="10">
        <f>+'A) Base RI'!O142</f>
        <v>63037.35</v>
      </c>
      <c r="AA142" s="10">
        <f>'A) Base RI'!V142</f>
        <v>1614</v>
      </c>
    </row>
    <row r="143" spans="1:27" x14ac:dyDescent="0.25">
      <c r="A143" s="8">
        <f>'A) Base RI'!A143</f>
        <v>5633</v>
      </c>
      <c r="B143" s="33" t="str">
        <f>'A) Base RI'!B143</f>
        <v>Echandens</v>
      </c>
      <c r="C143" s="10">
        <f>'A) Base RI'!C143+'A) Base RI'!D143</f>
        <v>7036207.75</v>
      </c>
      <c r="D143" s="10">
        <f>'A) Base RI'!W143</f>
        <v>-121189.36</v>
      </c>
      <c r="E143" s="32">
        <f>'A) Base RI'!X143</f>
        <v>0</v>
      </c>
      <c r="F143" s="32">
        <f>'A) Base RI'!Y143</f>
        <v>0</v>
      </c>
      <c r="G143" s="2">
        <f t="shared" si="12"/>
        <v>6915018.3899999997</v>
      </c>
      <c r="H143" s="10">
        <f>+'A) Base RI'!E143</f>
        <v>0</v>
      </c>
      <c r="I143" s="10">
        <f>+'A) Base RI'!F143</f>
        <v>0</v>
      </c>
      <c r="J143" s="10">
        <f>+'A) Base RI'!G143+'A) Base RI'!H143+'A) Base RI'!I143</f>
        <v>438279.93999999994</v>
      </c>
      <c r="K143" s="10">
        <f>+'A) Base RI'!J143</f>
        <v>0</v>
      </c>
      <c r="L143" s="10">
        <f>+'A) Base RI'!K143</f>
        <v>219133.24</v>
      </c>
      <c r="M143" s="10">
        <f>+'A) Base RI'!L143</f>
        <v>22085.05</v>
      </c>
      <c r="N143" s="10">
        <f>+'A) Base RI'!R143</f>
        <v>158.19</v>
      </c>
      <c r="O143" s="10">
        <f t="shared" si="13"/>
        <v>596444.1</v>
      </c>
      <c r="P143" s="10">
        <f>+'A) Base RI'!M143</f>
        <v>596444.1</v>
      </c>
      <c r="Q143" s="35">
        <f>'A) Base RI'!Z143</f>
        <v>1</v>
      </c>
      <c r="R143" s="2">
        <f t="shared" si="14"/>
        <v>8191118.9100000001</v>
      </c>
      <c r="S143" s="34">
        <f>+'A) Base RI'!U143</f>
        <v>62</v>
      </c>
      <c r="T143" s="2">
        <f t="shared" si="15"/>
        <v>7572589.7600000007</v>
      </c>
      <c r="U143" s="2">
        <f t="shared" si="16"/>
        <v>132114.82112903227</v>
      </c>
      <c r="V143" s="10">
        <f>+'A) Base RI'!P143</f>
        <v>42687.199999999997</v>
      </c>
      <c r="W143" s="10">
        <f>+'A) Base RI'!Q143</f>
        <v>313303</v>
      </c>
      <c r="X143" s="10">
        <f>+'A) Base RI'!S143</f>
        <v>249959.14</v>
      </c>
      <c r="Y143" s="2">
        <f t="shared" si="17"/>
        <v>605949.34000000008</v>
      </c>
      <c r="Z143" s="10">
        <f>+'A) Base RI'!O143</f>
        <v>159886.15</v>
      </c>
      <c r="AA143" s="10">
        <f>'A) Base RI'!V143</f>
        <v>2757</v>
      </c>
    </row>
    <row r="144" spans="1:27" x14ac:dyDescent="0.25">
      <c r="A144" s="8">
        <f>'A) Base RI'!A144</f>
        <v>5634</v>
      </c>
      <c r="B144" s="33" t="str">
        <f>'A) Base RI'!B144</f>
        <v>Echichens</v>
      </c>
      <c r="C144" s="10">
        <f>'A) Base RI'!C144+'A) Base RI'!D144</f>
        <v>7770226.3499999996</v>
      </c>
      <c r="D144" s="10">
        <f>'A) Base RI'!W144</f>
        <v>-50443.32</v>
      </c>
      <c r="E144" s="32">
        <f>'A) Base RI'!X144</f>
        <v>0</v>
      </c>
      <c r="F144" s="32">
        <f>'A) Base RI'!Y144</f>
        <v>-1289.6500000000001</v>
      </c>
      <c r="G144" s="2">
        <f t="shared" si="12"/>
        <v>7718493.379999999</v>
      </c>
      <c r="H144" s="10">
        <f>+'A) Base RI'!E144</f>
        <v>0</v>
      </c>
      <c r="I144" s="10">
        <f>+'A) Base RI'!F144</f>
        <v>0</v>
      </c>
      <c r="J144" s="10">
        <f>+'A) Base RI'!G144+'A) Base RI'!H144+'A) Base RI'!I144</f>
        <v>77297.13</v>
      </c>
      <c r="K144" s="10">
        <f>+'A) Base RI'!J144</f>
        <v>112104</v>
      </c>
      <c r="L144" s="10">
        <f>+'A) Base RI'!K144</f>
        <v>100347.37</v>
      </c>
      <c r="M144" s="10">
        <f>+'A) Base RI'!L144</f>
        <v>19338.5</v>
      </c>
      <c r="N144" s="10">
        <f>+'A) Base RI'!R144</f>
        <v>21715.52</v>
      </c>
      <c r="O144" s="10">
        <f t="shared" si="13"/>
        <v>566075.30000000005</v>
      </c>
      <c r="P144" s="10">
        <f>+'A) Base RI'!M144</f>
        <v>566075.30000000005</v>
      </c>
      <c r="Q144" s="35">
        <f>'A) Base RI'!Z144</f>
        <v>1</v>
      </c>
      <c r="R144" s="2">
        <f t="shared" si="14"/>
        <v>8615371.1999999993</v>
      </c>
      <c r="S144" s="34">
        <f>+'A) Base RI'!U144</f>
        <v>68</v>
      </c>
      <c r="T144" s="2">
        <f t="shared" si="15"/>
        <v>8029957.3999999985</v>
      </c>
      <c r="U144" s="2">
        <f t="shared" si="16"/>
        <v>126696.63529411763</v>
      </c>
      <c r="V144" s="10">
        <f>+'A) Base RI'!P144</f>
        <v>63849.599999999999</v>
      </c>
      <c r="W144" s="10">
        <f>+'A) Base RI'!Q144</f>
        <v>647553.65</v>
      </c>
      <c r="X144" s="10">
        <f>+'A) Base RI'!S144</f>
        <v>324565.84999999998</v>
      </c>
      <c r="Y144" s="2">
        <f t="shared" si="17"/>
        <v>1035969.1</v>
      </c>
      <c r="Z144" s="10">
        <f>+'A) Base RI'!O144</f>
        <v>28133.7</v>
      </c>
      <c r="AA144" s="10">
        <f>'A) Base RI'!V144</f>
        <v>2712</v>
      </c>
    </row>
    <row r="145" spans="1:27" x14ac:dyDescent="0.25">
      <c r="A145" s="8">
        <f>'A) Base RI'!A145</f>
        <v>5635</v>
      </c>
      <c r="B145" s="33" t="str">
        <f>'A) Base RI'!B145</f>
        <v>Ecublens</v>
      </c>
      <c r="C145" s="10">
        <f>'A) Base RI'!C145+'A) Base RI'!D145</f>
        <v>20813920.91</v>
      </c>
      <c r="D145" s="10">
        <f>'A) Base RI'!W145</f>
        <v>-2110666.2799999998</v>
      </c>
      <c r="E145" s="32">
        <f>'A) Base RI'!X145</f>
        <v>0</v>
      </c>
      <c r="F145" s="32">
        <f>'A) Base RI'!Y145</f>
        <v>-58029.9</v>
      </c>
      <c r="G145" s="2">
        <f t="shared" si="12"/>
        <v>18645224.73</v>
      </c>
      <c r="H145" s="10">
        <f>+'A) Base RI'!E145</f>
        <v>0</v>
      </c>
      <c r="I145" s="10">
        <f>+'A) Base RI'!F145</f>
        <v>0</v>
      </c>
      <c r="J145" s="10">
        <f>+'A) Base RI'!G145+'A) Base RI'!H145+'A) Base RI'!I145</f>
        <v>3236941.9899999984</v>
      </c>
      <c r="K145" s="10">
        <f>+'A) Base RI'!J145</f>
        <v>49883.55</v>
      </c>
      <c r="L145" s="10">
        <f>+'A) Base RI'!K145</f>
        <v>1466306.67</v>
      </c>
      <c r="M145" s="10">
        <f>+'A) Base RI'!L145</f>
        <v>375200.3</v>
      </c>
      <c r="N145" s="10">
        <f>+'A) Base RI'!R145</f>
        <v>1831699.09</v>
      </c>
      <c r="O145" s="10">
        <f t="shared" si="13"/>
        <v>2205356.6315789474</v>
      </c>
      <c r="P145" s="10">
        <f>+'A) Base RI'!M145</f>
        <v>2095088.8</v>
      </c>
      <c r="Q145" s="35">
        <f>'A) Base RI'!Z145</f>
        <v>0.95</v>
      </c>
      <c r="R145" s="2">
        <f t="shared" si="14"/>
        <v>27810612.961578947</v>
      </c>
      <c r="S145" s="34">
        <f>+'A) Base RI'!U145</f>
        <v>62</v>
      </c>
      <c r="T145" s="2">
        <f t="shared" si="15"/>
        <v>25230056.029999997</v>
      </c>
      <c r="U145" s="2">
        <f t="shared" si="16"/>
        <v>448558.27357385395</v>
      </c>
      <c r="V145" s="10">
        <f>+'A) Base RI'!P145</f>
        <v>240163</v>
      </c>
      <c r="W145" s="10">
        <f>+'A) Base RI'!Q145</f>
        <v>637904.5</v>
      </c>
      <c r="X145" s="10">
        <f>+'A) Base RI'!S145</f>
        <v>592282.65</v>
      </c>
      <c r="Y145" s="2">
        <f t="shared" si="17"/>
        <v>1470350.15</v>
      </c>
      <c r="Z145" s="10">
        <f>+'A) Base RI'!O145</f>
        <v>2168934.3999999999</v>
      </c>
      <c r="AA145" s="10">
        <f>'A) Base RI'!V145</f>
        <v>12560</v>
      </c>
    </row>
    <row r="146" spans="1:27" x14ac:dyDescent="0.25">
      <c r="A146" s="8">
        <f>'A) Base RI'!A146</f>
        <v>5636</v>
      </c>
      <c r="B146" s="33" t="str">
        <f>'A) Base RI'!B146</f>
        <v>Etoy</v>
      </c>
      <c r="C146" s="10">
        <f>'A) Base RI'!C146+'A) Base RI'!D146</f>
        <v>6311904.7400000002</v>
      </c>
      <c r="D146" s="10">
        <f>'A) Base RI'!W146</f>
        <v>-68314.05</v>
      </c>
      <c r="E146" s="32">
        <f>'A) Base RI'!X146</f>
        <v>0</v>
      </c>
      <c r="F146" s="32">
        <f>'A) Base RI'!Y146</f>
        <v>-731.93</v>
      </c>
      <c r="G146" s="2">
        <f t="shared" si="12"/>
        <v>6242858.7600000007</v>
      </c>
      <c r="H146" s="10">
        <f>+'A) Base RI'!E146</f>
        <v>0</v>
      </c>
      <c r="I146" s="10">
        <f>+'A) Base RI'!F146</f>
        <v>0</v>
      </c>
      <c r="J146" s="10">
        <f>+'A) Base RI'!G146+'A) Base RI'!H146+'A) Base RI'!I146</f>
        <v>1271457.1299999999</v>
      </c>
      <c r="K146" s="10">
        <f>+'A) Base RI'!J146</f>
        <v>68376.399999999994</v>
      </c>
      <c r="L146" s="10">
        <f>+'A) Base RI'!K146</f>
        <v>528459.61</v>
      </c>
      <c r="M146" s="10">
        <f>+'A) Base RI'!L146</f>
        <v>83168</v>
      </c>
      <c r="N146" s="10">
        <f>+'A) Base RI'!R146</f>
        <v>37666.69</v>
      </c>
      <c r="O146" s="10">
        <f t="shared" si="13"/>
        <v>985456.65</v>
      </c>
      <c r="P146" s="10">
        <f>+'A) Base RI'!M146</f>
        <v>985456.65</v>
      </c>
      <c r="Q146" s="35">
        <f>'A) Base RI'!Z146</f>
        <v>1</v>
      </c>
      <c r="R146" s="2">
        <f t="shared" si="14"/>
        <v>9217443.2400000021</v>
      </c>
      <c r="S146" s="34">
        <f>+'A) Base RI'!U146</f>
        <v>61</v>
      </c>
      <c r="T146" s="2">
        <f t="shared" si="15"/>
        <v>8148818.5900000017</v>
      </c>
      <c r="U146" s="2">
        <f t="shared" si="16"/>
        <v>151105.62688524593</v>
      </c>
      <c r="V146" s="10">
        <f>+'A) Base RI'!P146</f>
        <v>29299.75</v>
      </c>
      <c r="W146" s="10">
        <f>+'A) Base RI'!Q146</f>
        <v>919081.05</v>
      </c>
      <c r="X146" s="10">
        <f>+'A) Base RI'!S146</f>
        <v>149314.9</v>
      </c>
      <c r="Y146" s="2">
        <f t="shared" si="17"/>
        <v>1097695.7</v>
      </c>
      <c r="Z146" s="10">
        <f>+'A) Base RI'!O146</f>
        <v>560619.75</v>
      </c>
      <c r="AA146" s="10">
        <f>'A) Base RI'!V146</f>
        <v>2908</v>
      </c>
    </row>
    <row r="147" spans="1:27" x14ac:dyDescent="0.25">
      <c r="A147" s="8">
        <f>'A) Base RI'!A147</f>
        <v>5637</v>
      </c>
      <c r="B147" s="33" t="str">
        <f>'A) Base RI'!B147</f>
        <v>Lavigny</v>
      </c>
      <c r="C147" s="10">
        <f>'A) Base RI'!C147+'A) Base RI'!D147</f>
        <v>2378757.1799999997</v>
      </c>
      <c r="D147" s="10">
        <f>'A) Base RI'!W147</f>
        <v>-22607.79</v>
      </c>
      <c r="E147" s="32">
        <f>'A) Base RI'!X147</f>
        <v>0</v>
      </c>
      <c r="F147" s="32">
        <f>'A) Base RI'!Y147</f>
        <v>-80.459999999999994</v>
      </c>
      <c r="G147" s="2">
        <f t="shared" si="12"/>
        <v>2356068.9299999997</v>
      </c>
      <c r="H147" s="10">
        <f>+'A) Base RI'!E147</f>
        <v>0</v>
      </c>
      <c r="I147" s="10">
        <f>+'A) Base RI'!F147</f>
        <v>0</v>
      </c>
      <c r="J147" s="10">
        <f>+'A) Base RI'!G147+'A) Base RI'!H147+'A) Base RI'!I147</f>
        <v>27247.699999999997</v>
      </c>
      <c r="K147" s="10">
        <f>+'A) Base RI'!J147</f>
        <v>0</v>
      </c>
      <c r="L147" s="10">
        <f>+'A) Base RI'!K147</f>
        <v>98356.86</v>
      </c>
      <c r="M147" s="10">
        <f>+'A) Base RI'!L147</f>
        <v>4736.6000000000004</v>
      </c>
      <c r="N147" s="10">
        <f>+'A) Base RI'!R147</f>
        <v>16109.05</v>
      </c>
      <c r="O147" s="10">
        <f t="shared" si="13"/>
        <v>186043.23333333331</v>
      </c>
      <c r="P147" s="10">
        <f>+'A) Base RI'!M147</f>
        <v>279064.84999999998</v>
      </c>
      <c r="Q147" s="35">
        <f>'A) Base RI'!Z147</f>
        <v>1.5</v>
      </c>
      <c r="R147" s="2">
        <f t="shared" si="14"/>
        <v>2688562.3733333331</v>
      </c>
      <c r="S147" s="34">
        <f>+'A) Base RI'!U147</f>
        <v>74.5</v>
      </c>
      <c r="T147" s="2">
        <f t="shared" si="15"/>
        <v>2497782.5399999996</v>
      </c>
      <c r="U147" s="2">
        <f t="shared" si="16"/>
        <v>36088.085548098432</v>
      </c>
      <c r="V147" s="10">
        <f>+'A) Base RI'!P147</f>
        <v>57122.7</v>
      </c>
      <c r="W147" s="10">
        <f>+'A) Base RI'!Q147</f>
        <v>25719.85</v>
      </c>
      <c r="X147" s="10">
        <f>+'A) Base RI'!S147</f>
        <v>24433.599999999999</v>
      </c>
      <c r="Y147" s="2">
        <f t="shared" si="17"/>
        <v>107276.15</v>
      </c>
      <c r="Z147" s="10">
        <f>+'A) Base RI'!O147</f>
        <v>214244</v>
      </c>
      <c r="AA147" s="10">
        <f>'A) Base RI'!V147</f>
        <v>1007</v>
      </c>
    </row>
    <row r="148" spans="1:27" x14ac:dyDescent="0.25">
      <c r="A148" s="8">
        <f>'A) Base RI'!A148</f>
        <v>5638</v>
      </c>
      <c r="B148" s="33" t="str">
        <f>'A) Base RI'!B148</f>
        <v>Lonay</v>
      </c>
      <c r="C148" s="10">
        <f>'A) Base RI'!C148+'A) Base RI'!D148</f>
        <v>6352943.5</v>
      </c>
      <c r="D148" s="10">
        <f>'A) Base RI'!W148</f>
        <v>-69205.56</v>
      </c>
      <c r="E148" s="32">
        <f>'A) Base RI'!X148</f>
        <v>0</v>
      </c>
      <c r="F148" s="32">
        <f>'A) Base RI'!Y148</f>
        <v>-3963.67</v>
      </c>
      <c r="G148" s="2">
        <f t="shared" si="12"/>
        <v>6279774.2700000005</v>
      </c>
      <c r="H148" s="10">
        <f>+'A) Base RI'!E148</f>
        <v>0</v>
      </c>
      <c r="I148" s="10">
        <f>+'A) Base RI'!F148</f>
        <v>0</v>
      </c>
      <c r="J148" s="10">
        <f>+'A) Base RI'!G148+'A) Base RI'!H148+'A) Base RI'!I148</f>
        <v>845454.91999999981</v>
      </c>
      <c r="K148" s="10">
        <f>+'A) Base RI'!J148</f>
        <v>125707.6</v>
      </c>
      <c r="L148" s="10">
        <f>+'A) Base RI'!K148</f>
        <v>150854.95000000001</v>
      </c>
      <c r="M148" s="10">
        <f>+'A) Base RI'!L148</f>
        <v>58783.25</v>
      </c>
      <c r="N148" s="10">
        <f>+'A) Base RI'!R148</f>
        <v>30336.52</v>
      </c>
      <c r="O148" s="10">
        <f t="shared" si="13"/>
        <v>610987.55000000005</v>
      </c>
      <c r="P148" s="10">
        <f>+'A) Base RI'!M148</f>
        <v>610987.55000000005</v>
      </c>
      <c r="Q148" s="35">
        <f>'A) Base RI'!Z148</f>
        <v>1</v>
      </c>
      <c r="R148" s="2">
        <f t="shared" si="14"/>
        <v>8101899.0599999996</v>
      </c>
      <c r="S148" s="34">
        <f>+'A) Base RI'!U148</f>
        <v>55</v>
      </c>
      <c r="T148" s="2">
        <f t="shared" si="15"/>
        <v>7432128.2599999998</v>
      </c>
      <c r="U148" s="2">
        <f t="shared" si="16"/>
        <v>147307.25563636364</v>
      </c>
      <c r="V148" s="10">
        <f>+'A) Base RI'!P148</f>
        <v>5372126.9000000004</v>
      </c>
      <c r="W148" s="10">
        <f>+'A) Base RI'!Q148</f>
        <v>327617.2</v>
      </c>
      <c r="X148" s="10">
        <f>+'A) Base RI'!S148</f>
        <v>212938.75</v>
      </c>
      <c r="Y148" s="2">
        <f t="shared" si="17"/>
        <v>5912682.8500000006</v>
      </c>
      <c r="Z148" s="10">
        <f>+'A) Base RI'!O148</f>
        <v>195178.05</v>
      </c>
      <c r="AA148" s="10">
        <f>'A) Base RI'!V148</f>
        <v>2492</v>
      </c>
    </row>
    <row r="149" spans="1:27" x14ac:dyDescent="0.25">
      <c r="A149" s="8">
        <f>'A) Base RI'!A149</f>
        <v>5639</v>
      </c>
      <c r="B149" s="33" t="str">
        <f>'A) Base RI'!B149</f>
        <v>Lully</v>
      </c>
      <c r="C149" s="10">
        <f>'A) Base RI'!C149+'A) Base RI'!D149</f>
        <v>2858491.58</v>
      </c>
      <c r="D149" s="10">
        <f>'A) Base RI'!W149</f>
        <v>-10891.22</v>
      </c>
      <c r="E149" s="32">
        <f>'A) Base RI'!X149</f>
        <v>0</v>
      </c>
      <c r="F149" s="32">
        <f>'A) Base RI'!Y149</f>
        <v>0</v>
      </c>
      <c r="G149" s="2">
        <f t="shared" si="12"/>
        <v>2847600.36</v>
      </c>
      <c r="H149" s="10">
        <f>+'A) Base RI'!E149</f>
        <v>0</v>
      </c>
      <c r="I149" s="10">
        <f>+'A) Base RI'!F149</f>
        <v>0</v>
      </c>
      <c r="J149" s="10">
        <f>+'A) Base RI'!G149+'A) Base RI'!H149+'A) Base RI'!I149</f>
        <v>53056.639999999999</v>
      </c>
      <c r="K149" s="10">
        <f>+'A) Base RI'!J149</f>
        <v>0</v>
      </c>
      <c r="L149" s="10">
        <f>+'A) Base RI'!K149</f>
        <v>34548.29</v>
      </c>
      <c r="M149" s="10">
        <f>+'A) Base RI'!L149</f>
        <v>2910.85</v>
      </c>
      <c r="N149" s="10">
        <f>+'A) Base RI'!R149</f>
        <v>0</v>
      </c>
      <c r="O149" s="10">
        <f t="shared" si="13"/>
        <v>186284.12</v>
      </c>
      <c r="P149" s="10">
        <f>+'A) Base RI'!M149</f>
        <v>232855.15</v>
      </c>
      <c r="Q149" s="35">
        <f>'A) Base RI'!Z149</f>
        <v>1.25</v>
      </c>
      <c r="R149" s="2">
        <f t="shared" si="14"/>
        <v>3124400.2600000002</v>
      </c>
      <c r="S149" s="34">
        <f>+'A) Base RI'!U149</f>
        <v>61</v>
      </c>
      <c r="T149" s="2">
        <f t="shared" si="15"/>
        <v>2935205.29</v>
      </c>
      <c r="U149" s="2">
        <f t="shared" si="16"/>
        <v>51219.676393442627</v>
      </c>
      <c r="V149" s="10">
        <f>+'A) Base RI'!P149</f>
        <v>4672.2</v>
      </c>
      <c r="W149" s="10">
        <f>+'A) Base RI'!Q149</f>
        <v>103464.2</v>
      </c>
      <c r="X149" s="10">
        <f>+'A) Base RI'!S149</f>
        <v>74264.649999999994</v>
      </c>
      <c r="Y149" s="2">
        <f t="shared" si="17"/>
        <v>182401.05</v>
      </c>
      <c r="Z149" s="10">
        <f>+'A) Base RI'!O149</f>
        <v>7673.95</v>
      </c>
      <c r="AA149" s="10">
        <f>'A) Base RI'!V149</f>
        <v>795</v>
      </c>
    </row>
    <row r="150" spans="1:27" x14ac:dyDescent="0.25">
      <c r="A150" s="8">
        <f>'A) Base RI'!A150</f>
        <v>5640</v>
      </c>
      <c r="B150" s="33" t="str">
        <f>'A) Base RI'!B150</f>
        <v>Lussy-sur-Morges</v>
      </c>
      <c r="C150" s="10">
        <f>'A) Base RI'!C150+'A) Base RI'!D150</f>
        <v>3255614.81</v>
      </c>
      <c r="D150" s="10">
        <f>'A) Base RI'!W150</f>
        <v>-1896.95</v>
      </c>
      <c r="E150" s="32">
        <f>'A) Base RI'!X150</f>
        <v>0</v>
      </c>
      <c r="F150" s="32">
        <f>'A) Base RI'!Y150</f>
        <v>-5013.92</v>
      </c>
      <c r="G150" s="2">
        <f t="shared" si="12"/>
        <v>3248703.94</v>
      </c>
      <c r="H150" s="10">
        <f>+'A) Base RI'!E150</f>
        <v>0</v>
      </c>
      <c r="I150" s="10">
        <f>+'A) Base RI'!F150</f>
        <v>0</v>
      </c>
      <c r="J150" s="10">
        <f>+'A) Base RI'!G150+'A) Base RI'!H150+'A) Base RI'!I150</f>
        <v>86867.16</v>
      </c>
      <c r="K150" s="10">
        <f>+'A) Base RI'!J150</f>
        <v>112456.95</v>
      </c>
      <c r="L150" s="10">
        <f>+'A) Base RI'!K150</f>
        <v>13011.45</v>
      </c>
      <c r="M150" s="10">
        <f>+'A) Base RI'!L150</f>
        <v>3311.15</v>
      </c>
      <c r="N150" s="10">
        <f>+'A) Base RI'!R150</f>
        <v>0</v>
      </c>
      <c r="O150" s="10">
        <f t="shared" si="13"/>
        <v>177094.65</v>
      </c>
      <c r="P150" s="10">
        <f>+'A) Base RI'!M150</f>
        <v>177094.65</v>
      </c>
      <c r="Q150" s="35">
        <f>'A) Base RI'!Z150</f>
        <v>1</v>
      </c>
      <c r="R150" s="2">
        <f t="shared" si="14"/>
        <v>3641445.3000000003</v>
      </c>
      <c r="S150" s="34">
        <f>+'A) Base RI'!U150</f>
        <v>66</v>
      </c>
      <c r="T150" s="2">
        <f t="shared" si="15"/>
        <v>3461039.5000000005</v>
      </c>
      <c r="U150" s="2">
        <f t="shared" si="16"/>
        <v>55173.413636363643</v>
      </c>
      <c r="V150" s="10">
        <f>+'A) Base RI'!P150</f>
        <v>1179708.6000000001</v>
      </c>
      <c r="W150" s="10">
        <f>+'A) Base RI'!Q150</f>
        <v>99486.5</v>
      </c>
      <c r="X150" s="10">
        <f>+'A) Base RI'!S150</f>
        <v>165951.20000000001</v>
      </c>
      <c r="Y150" s="2">
        <f t="shared" si="17"/>
        <v>1445146.3</v>
      </c>
      <c r="Z150" s="10">
        <f>+'A) Base RI'!O150</f>
        <v>20858.45</v>
      </c>
      <c r="AA150" s="10">
        <f>'A) Base RI'!V150</f>
        <v>667</v>
      </c>
    </row>
    <row r="151" spans="1:27" x14ac:dyDescent="0.25">
      <c r="A151" s="8">
        <f>'A) Base RI'!A151</f>
        <v>5642</v>
      </c>
      <c r="B151" s="33" t="str">
        <f>'A) Base RI'!B151</f>
        <v>Morges</v>
      </c>
      <c r="C151" s="10">
        <f>'A) Base RI'!C151+'A) Base RI'!D151</f>
        <v>39336680.07</v>
      </c>
      <c r="D151" s="10">
        <f>'A) Base RI'!W151</f>
        <v>-578734.39</v>
      </c>
      <c r="E151" s="32">
        <f>'A) Base RI'!X151</f>
        <v>0</v>
      </c>
      <c r="F151" s="32">
        <f>'A) Base RI'!Y151</f>
        <v>-30349.71</v>
      </c>
      <c r="G151" s="2">
        <f t="shared" si="12"/>
        <v>38727595.969999999</v>
      </c>
      <c r="H151" s="10">
        <f>+'A) Base RI'!E151</f>
        <v>0</v>
      </c>
      <c r="I151" s="10">
        <f>+'A) Base RI'!F151</f>
        <v>0</v>
      </c>
      <c r="J151" s="10">
        <f>+'A) Base RI'!G151+'A) Base RI'!H151+'A) Base RI'!I151</f>
        <v>5899348.7099999944</v>
      </c>
      <c r="K151" s="10">
        <f>+'A) Base RI'!J151</f>
        <v>532169.51</v>
      </c>
      <c r="L151" s="10">
        <f>+'A) Base RI'!K151</f>
        <v>1876864.23</v>
      </c>
      <c r="M151" s="10">
        <f>+'A) Base RI'!L151</f>
        <v>341755.65</v>
      </c>
      <c r="N151" s="10">
        <f>+'A) Base RI'!R151</f>
        <v>64558.37</v>
      </c>
      <c r="O151" s="10">
        <f t="shared" si="13"/>
        <v>3094735.4</v>
      </c>
      <c r="P151" s="10">
        <f>+'A) Base RI'!M151</f>
        <v>3094735.4</v>
      </c>
      <c r="Q151" s="35">
        <f>'A) Base RI'!Z151</f>
        <v>1</v>
      </c>
      <c r="R151" s="2">
        <f t="shared" si="14"/>
        <v>50537027.839999981</v>
      </c>
      <c r="S151" s="34">
        <f>+'A) Base RI'!U151</f>
        <v>68.5</v>
      </c>
      <c r="T151" s="2">
        <f t="shared" si="15"/>
        <v>47100536.789999984</v>
      </c>
      <c r="U151" s="2">
        <f t="shared" si="16"/>
        <v>737766.82978102157</v>
      </c>
      <c r="V151" s="10">
        <f>+'A) Base RI'!P151</f>
        <v>3711652.25</v>
      </c>
      <c r="W151" s="10">
        <f>+'A) Base RI'!Q151</f>
        <v>1319928.1499999999</v>
      </c>
      <c r="X151" s="10">
        <f>+'A) Base RI'!S151</f>
        <v>894656.9</v>
      </c>
      <c r="Y151" s="2">
        <f t="shared" si="17"/>
        <v>5926237.3000000007</v>
      </c>
      <c r="Z151" s="10">
        <f>+'A) Base RI'!O151</f>
        <v>1182879.75</v>
      </c>
      <c r="AA151" s="10">
        <f>'A) Base RI'!V151</f>
        <v>15839</v>
      </c>
    </row>
    <row r="152" spans="1:27" x14ac:dyDescent="0.25">
      <c r="A152" s="8">
        <f>'A) Base RI'!A152</f>
        <v>5643</v>
      </c>
      <c r="B152" s="33" t="str">
        <f>'A) Base RI'!B152</f>
        <v>Préverenges</v>
      </c>
      <c r="C152" s="10">
        <f>'A) Base RI'!C152+'A) Base RI'!D152</f>
        <v>14150863.309999999</v>
      </c>
      <c r="D152" s="10">
        <f>'A) Base RI'!W152</f>
        <v>-137338.57999999999</v>
      </c>
      <c r="E152" s="32">
        <f>'A) Base RI'!X152</f>
        <v>0</v>
      </c>
      <c r="F152" s="32">
        <f>'A) Base RI'!Y152</f>
        <v>-6905.63</v>
      </c>
      <c r="G152" s="2">
        <f t="shared" si="12"/>
        <v>14006619.099999998</v>
      </c>
      <c r="H152" s="10">
        <f>+'A) Base RI'!E152</f>
        <v>0</v>
      </c>
      <c r="I152" s="10">
        <f>+'A) Base RI'!F152</f>
        <v>0</v>
      </c>
      <c r="J152" s="10">
        <f>+'A) Base RI'!G152+'A) Base RI'!H152+'A) Base RI'!I152</f>
        <v>518988.44000000012</v>
      </c>
      <c r="K152" s="10">
        <f>+'A) Base RI'!J152</f>
        <v>525939.9</v>
      </c>
      <c r="L152" s="10">
        <f>+'A) Base RI'!K152</f>
        <v>480997.42</v>
      </c>
      <c r="M152" s="10">
        <f>+'A) Base RI'!L152</f>
        <v>90581.25</v>
      </c>
      <c r="N152" s="10">
        <f>+'A) Base RI'!R152</f>
        <v>32882.79</v>
      </c>
      <c r="O152" s="10">
        <f t="shared" si="13"/>
        <v>1087622.55</v>
      </c>
      <c r="P152" s="10">
        <f>+'A) Base RI'!M152</f>
        <v>1087622.55</v>
      </c>
      <c r="Q152" s="35">
        <f>'A) Base RI'!Z152</f>
        <v>1</v>
      </c>
      <c r="R152" s="2">
        <f t="shared" si="14"/>
        <v>16743631.449999997</v>
      </c>
      <c r="S152" s="34">
        <f>+'A) Base RI'!U152</f>
        <v>64</v>
      </c>
      <c r="T152" s="2">
        <f t="shared" si="15"/>
        <v>15565427.649999997</v>
      </c>
      <c r="U152" s="2">
        <f t="shared" si="16"/>
        <v>261619.24140624996</v>
      </c>
      <c r="V152" s="10">
        <f>+'A) Base RI'!P152</f>
        <v>87618.7</v>
      </c>
      <c r="W152" s="10">
        <f>+'A) Base RI'!Q152</f>
        <v>302692.05</v>
      </c>
      <c r="X152" s="10">
        <f>+'A) Base RI'!S152</f>
        <v>221118.95</v>
      </c>
      <c r="Y152" s="2">
        <f t="shared" si="17"/>
        <v>611429.69999999995</v>
      </c>
      <c r="Z152" s="10">
        <f>+'A) Base RI'!O152</f>
        <v>146777.79999999999</v>
      </c>
      <c r="AA152" s="10">
        <f>'A) Base RI'!V152</f>
        <v>5291</v>
      </c>
    </row>
    <row r="153" spans="1:27" x14ac:dyDescent="0.25">
      <c r="A153" s="8">
        <f>'A) Base RI'!A153</f>
        <v>5644</v>
      </c>
      <c r="B153" s="33" t="str">
        <f>'A) Base RI'!B153</f>
        <v>Reverolle</v>
      </c>
      <c r="C153" s="10">
        <f>'A) Base RI'!C153+'A) Base RI'!D153</f>
        <v>1027127.14</v>
      </c>
      <c r="D153" s="10">
        <f>'A) Base RI'!W153</f>
        <v>-1783.14</v>
      </c>
      <c r="E153" s="32">
        <f>'A) Base RI'!X153</f>
        <v>0</v>
      </c>
      <c r="F153" s="32">
        <f>'A) Base RI'!Y153</f>
        <v>0</v>
      </c>
      <c r="G153" s="2">
        <f t="shared" si="12"/>
        <v>1025344</v>
      </c>
      <c r="H153" s="10">
        <f>+'A) Base RI'!E153</f>
        <v>0</v>
      </c>
      <c r="I153" s="10">
        <f>+'A) Base RI'!F153</f>
        <v>0</v>
      </c>
      <c r="J153" s="10">
        <f>+'A) Base RI'!G153+'A) Base RI'!H153+'A) Base RI'!I153</f>
        <v>21502.980000000003</v>
      </c>
      <c r="K153" s="10">
        <f>+'A) Base RI'!J153</f>
        <v>0</v>
      </c>
      <c r="L153" s="10">
        <f>+'A) Base RI'!K153</f>
        <v>17628.66</v>
      </c>
      <c r="M153" s="10">
        <f>+'A) Base RI'!L153</f>
        <v>150</v>
      </c>
      <c r="N153" s="10">
        <f>+'A) Base RI'!R153</f>
        <v>0</v>
      </c>
      <c r="O153" s="10">
        <f t="shared" si="13"/>
        <v>72080.45</v>
      </c>
      <c r="P153" s="10">
        <f>+'A) Base RI'!M153</f>
        <v>72080.45</v>
      </c>
      <c r="Q153" s="35">
        <f>'A) Base RI'!Z153</f>
        <v>1</v>
      </c>
      <c r="R153" s="2">
        <f t="shared" si="14"/>
        <v>1136706.0899999999</v>
      </c>
      <c r="S153" s="34">
        <f>+'A) Base RI'!U153</f>
        <v>76</v>
      </c>
      <c r="T153" s="2">
        <f t="shared" si="15"/>
        <v>1064475.6399999999</v>
      </c>
      <c r="U153" s="2">
        <f t="shared" si="16"/>
        <v>14956.659078947367</v>
      </c>
      <c r="V153" s="10">
        <f>+'A) Base RI'!P153</f>
        <v>0</v>
      </c>
      <c r="W153" s="10">
        <f>+'A) Base RI'!Q153</f>
        <v>40112.050000000003</v>
      </c>
      <c r="X153" s="10">
        <f>+'A) Base RI'!S153</f>
        <v>4106.05</v>
      </c>
      <c r="Y153" s="2">
        <f t="shared" si="17"/>
        <v>44218.100000000006</v>
      </c>
      <c r="Z153" s="10">
        <f>+'A) Base RI'!O153</f>
        <v>11543.65</v>
      </c>
      <c r="AA153" s="10">
        <f>'A) Base RI'!V153</f>
        <v>382</v>
      </c>
    </row>
    <row r="154" spans="1:27" x14ac:dyDescent="0.25">
      <c r="A154" s="8">
        <f>'A) Base RI'!A154</f>
        <v>5645</v>
      </c>
      <c r="B154" s="33" t="str">
        <f>'A) Base RI'!B154</f>
        <v>Romanel-sur-Morges</v>
      </c>
      <c r="C154" s="10">
        <f>'A) Base RI'!C154+'A) Base RI'!D154</f>
        <v>1178573.4099999999</v>
      </c>
      <c r="D154" s="10">
        <f>'A) Base RI'!W154</f>
        <v>-13033.28</v>
      </c>
      <c r="E154" s="32">
        <f>'A) Base RI'!X154</f>
        <v>0</v>
      </c>
      <c r="F154" s="32">
        <f>'A) Base RI'!Y154</f>
        <v>-35.659999999999997</v>
      </c>
      <c r="G154" s="2">
        <f t="shared" si="12"/>
        <v>1165504.47</v>
      </c>
      <c r="H154" s="10">
        <f>+'A) Base RI'!E154</f>
        <v>0</v>
      </c>
      <c r="I154" s="10">
        <f>+'A) Base RI'!F154</f>
        <v>0</v>
      </c>
      <c r="J154" s="10">
        <f>+'A) Base RI'!G154+'A) Base RI'!H154+'A) Base RI'!I154</f>
        <v>54998.95</v>
      </c>
      <c r="K154" s="10">
        <f>+'A) Base RI'!J154</f>
        <v>0</v>
      </c>
      <c r="L154" s="10">
        <f>+'A) Base RI'!K154</f>
        <v>85108.88</v>
      </c>
      <c r="M154" s="10">
        <f>+'A) Base RI'!L154</f>
        <v>6457.6</v>
      </c>
      <c r="N154" s="10">
        <f>+'A) Base RI'!R154</f>
        <v>773.43</v>
      </c>
      <c r="O154" s="10">
        <f t="shared" si="13"/>
        <v>144275.6875</v>
      </c>
      <c r="P154" s="10">
        <f>+'A) Base RI'!M154</f>
        <v>115420.55</v>
      </c>
      <c r="Q154" s="35">
        <f>'A) Base RI'!Z154</f>
        <v>0.8</v>
      </c>
      <c r="R154" s="2">
        <f t="shared" si="14"/>
        <v>1457119.0174999998</v>
      </c>
      <c r="S154" s="34">
        <f>+'A) Base RI'!U154</f>
        <v>56</v>
      </c>
      <c r="T154" s="2">
        <f t="shared" si="15"/>
        <v>1306385.7299999997</v>
      </c>
      <c r="U154" s="2">
        <f t="shared" si="16"/>
        <v>26019.982455357142</v>
      </c>
      <c r="V154" s="10">
        <f>+'A) Base RI'!P154</f>
        <v>9635.4</v>
      </c>
      <c r="W154" s="10">
        <f>+'A) Base RI'!Q154</f>
        <v>14008.5</v>
      </c>
      <c r="X154" s="10">
        <f>+'A) Base RI'!S154</f>
        <v>0</v>
      </c>
      <c r="Y154" s="2">
        <f t="shared" si="17"/>
        <v>23643.9</v>
      </c>
      <c r="Z154" s="10">
        <f>+'A) Base RI'!O154</f>
        <v>64803.7</v>
      </c>
      <c r="AA154" s="10">
        <f>'A) Base RI'!V154</f>
        <v>470</v>
      </c>
    </row>
    <row r="155" spans="1:27" x14ac:dyDescent="0.25">
      <c r="A155" s="8">
        <f>'A) Base RI'!A155</f>
        <v>5646</v>
      </c>
      <c r="B155" s="33" t="str">
        <f>'A) Base RI'!B155</f>
        <v>Saint-Prex</v>
      </c>
      <c r="C155" s="10">
        <f>'A) Base RI'!C155+'A) Base RI'!D155</f>
        <v>13812939.719999999</v>
      </c>
      <c r="D155" s="10">
        <f>'A) Base RI'!W155</f>
        <v>-156511.45000000001</v>
      </c>
      <c r="E155" s="32">
        <f>'A) Base RI'!X155</f>
        <v>0</v>
      </c>
      <c r="F155" s="32">
        <f>'A) Base RI'!Y155</f>
        <v>-3473.21</v>
      </c>
      <c r="G155" s="2">
        <f t="shared" si="12"/>
        <v>13652955.059999999</v>
      </c>
      <c r="H155" s="10">
        <f>+'A) Base RI'!E155</f>
        <v>0</v>
      </c>
      <c r="I155" s="10">
        <f>+'A) Base RI'!F155</f>
        <v>0</v>
      </c>
      <c r="J155" s="10">
        <f>+'A) Base RI'!G155+'A) Base RI'!H155+'A) Base RI'!I155</f>
        <v>14563877.299999991</v>
      </c>
      <c r="K155" s="10">
        <f>+'A) Base RI'!J155</f>
        <v>796369.16</v>
      </c>
      <c r="L155" s="10">
        <f>+'A) Base RI'!K155</f>
        <v>400412.17</v>
      </c>
      <c r="M155" s="10">
        <f>+'A) Base RI'!L155</f>
        <v>90214.399999999994</v>
      </c>
      <c r="N155" s="10">
        <f>+'A) Base RI'!R155</f>
        <v>17737.5</v>
      </c>
      <c r="O155" s="10">
        <f t="shared" si="13"/>
        <v>1541528.45</v>
      </c>
      <c r="P155" s="10">
        <f>+'A) Base RI'!M155</f>
        <v>1541528.45</v>
      </c>
      <c r="Q155" s="35">
        <f>'A) Base RI'!Z155</f>
        <v>1</v>
      </c>
      <c r="R155" s="2">
        <f t="shared" si="14"/>
        <v>31063094.039999992</v>
      </c>
      <c r="S155" s="34">
        <f>+'A) Base RI'!U155</f>
        <v>55</v>
      </c>
      <c r="T155" s="2">
        <f t="shared" si="15"/>
        <v>29431351.189999994</v>
      </c>
      <c r="U155" s="2">
        <f t="shared" si="16"/>
        <v>564783.52799999982</v>
      </c>
      <c r="V155" s="10">
        <f>+'A) Base RI'!P155</f>
        <v>324599.7</v>
      </c>
      <c r="W155" s="10">
        <f>+'A) Base RI'!Q155</f>
        <v>730417.9</v>
      </c>
      <c r="X155" s="10">
        <f>+'A) Base RI'!S155</f>
        <v>825938.3</v>
      </c>
      <c r="Y155" s="2">
        <f t="shared" si="17"/>
        <v>1880955.9000000001</v>
      </c>
      <c r="Z155" s="10">
        <f>+'A) Base RI'!O155</f>
        <v>442944.65</v>
      </c>
      <c r="AA155" s="10">
        <f>'A) Base RI'!V155</f>
        <v>5695</v>
      </c>
    </row>
    <row r="156" spans="1:27" x14ac:dyDescent="0.25">
      <c r="A156" s="8">
        <f>'A) Base RI'!A156</f>
        <v>5648</v>
      </c>
      <c r="B156" s="33" t="str">
        <f>'A) Base RI'!B156</f>
        <v>Saint-Sulpice</v>
      </c>
      <c r="C156" s="10">
        <f>'A) Base RI'!C156+'A) Base RI'!D156</f>
        <v>16254940.350000001</v>
      </c>
      <c r="D156" s="10">
        <f>'A) Base RI'!W156</f>
        <v>-44795.58</v>
      </c>
      <c r="E156" s="32">
        <f>'A) Base RI'!X156</f>
        <v>0</v>
      </c>
      <c r="F156" s="32">
        <f>'A) Base RI'!Y156</f>
        <v>-18715.68</v>
      </c>
      <c r="G156" s="2">
        <f t="shared" si="12"/>
        <v>16191429.090000002</v>
      </c>
      <c r="H156" s="10">
        <f>+'A) Base RI'!E156</f>
        <v>0</v>
      </c>
      <c r="I156" s="10">
        <f>+'A) Base RI'!F156</f>
        <v>0</v>
      </c>
      <c r="J156" s="10">
        <f>+'A) Base RI'!G156+'A) Base RI'!H156+'A) Base RI'!I156</f>
        <v>990782.00000000012</v>
      </c>
      <c r="K156" s="10">
        <f>+'A) Base RI'!J156</f>
        <v>400643.54</v>
      </c>
      <c r="L156" s="10">
        <f>+'A) Base RI'!K156</f>
        <v>866041.95</v>
      </c>
      <c r="M156" s="10">
        <f>+'A) Base RI'!L156</f>
        <v>74742.2</v>
      </c>
      <c r="N156" s="10">
        <f>+'A) Base RI'!R156</f>
        <v>1736.93</v>
      </c>
      <c r="O156" s="10">
        <f t="shared" si="13"/>
        <v>1326045.3499999999</v>
      </c>
      <c r="P156" s="10">
        <f>+'A) Base RI'!M156</f>
        <v>1060836.28</v>
      </c>
      <c r="Q156" s="35">
        <f>'A) Base RI'!Z156</f>
        <v>0.8</v>
      </c>
      <c r="R156" s="2">
        <f t="shared" si="14"/>
        <v>19851421.060000002</v>
      </c>
      <c r="S156" s="34">
        <f>+'A) Base RI'!U156</f>
        <v>55</v>
      </c>
      <c r="T156" s="2">
        <f t="shared" si="15"/>
        <v>18450633.510000002</v>
      </c>
      <c r="U156" s="2">
        <f t="shared" si="16"/>
        <v>360934.92836363643</v>
      </c>
      <c r="V156" s="10">
        <f>+'A) Base RI'!P156</f>
        <v>608307.6</v>
      </c>
      <c r="W156" s="10">
        <f>+'A) Base RI'!Q156</f>
        <v>1232099.75</v>
      </c>
      <c r="X156" s="10">
        <f>+'A) Base RI'!S156</f>
        <v>554617.85</v>
      </c>
      <c r="Y156" s="2">
        <f t="shared" si="17"/>
        <v>2395025.2000000002</v>
      </c>
      <c r="Z156" s="10">
        <f>+'A) Base RI'!O156</f>
        <v>51473.55</v>
      </c>
      <c r="AA156" s="10">
        <f>'A) Base RI'!V156</f>
        <v>4524</v>
      </c>
    </row>
    <row r="157" spans="1:27" x14ac:dyDescent="0.25">
      <c r="A157" s="8">
        <f>'A) Base RI'!A157</f>
        <v>5649</v>
      </c>
      <c r="B157" s="33" t="str">
        <f>'A) Base RI'!B157</f>
        <v>Tolochenaz</v>
      </c>
      <c r="C157" s="10">
        <f>'A) Base RI'!C157+'A) Base RI'!D157</f>
        <v>4882888.82</v>
      </c>
      <c r="D157" s="10">
        <f>'A) Base RI'!W157</f>
        <v>-55457.45</v>
      </c>
      <c r="E157" s="32">
        <f>'A) Base RI'!X157</f>
        <v>0</v>
      </c>
      <c r="F157" s="32">
        <f>'A) Base RI'!Y157</f>
        <v>-690.72</v>
      </c>
      <c r="G157" s="2">
        <f t="shared" si="12"/>
        <v>4826740.6500000004</v>
      </c>
      <c r="H157" s="10">
        <f>+'A) Base RI'!E157</f>
        <v>0</v>
      </c>
      <c r="I157" s="10">
        <f>+'A) Base RI'!F157</f>
        <v>0</v>
      </c>
      <c r="J157" s="10">
        <f>+'A) Base RI'!G157+'A) Base RI'!H157+'A) Base RI'!I157</f>
        <v>5695138.1399999997</v>
      </c>
      <c r="K157" s="10">
        <f>+'A) Base RI'!J157</f>
        <v>159637.71</v>
      </c>
      <c r="L157" s="10">
        <f>+'A) Base RI'!K157</f>
        <v>161641.66</v>
      </c>
      <c r="M157" s="10">
        <f>+'A) Base RI'!L157</f>
        <v>63516.6</v>
      </c>
      <c r="N157" s="10">
        <f>+'A) Base RI'!R157</f>
        <v>30.2</v>
      </c>
      <c r="O157" s="10">
        <f t="shared" si="13"/>
        <v>540169.69999999995</v>
      </c>
      <c r="P157" s="10">
        <f>+'A) Base RI'!M157</f>
        <v>540169.69999999995</v>
      </c>
      <c r="Q157" s="35">
        <f>'A) Base RI'!Z157</f>
        <v>1</v>
      </c>
      <c r="R157" s="2">
        <f t="shared" si="14"/>
        <v>11446874.659999998</v>
      </c>
      <c r="S157" s="34">
        <f>+'A) Base RI'!U157</f>
        <v>65</v>
      </c>
      <c r="T157" s="2">
        <f t="shared" si="15"/>
        <v>10843188.359999999</v>
      </c>
      <c r="U157" s="2">
        <f t="shared" si="16"/>
        <v>176105.76399999997</v>
      </c>
      <c r="V157" s="10">
        <f>+'A) Base RI'!P157</f>
        <v>5548.9</v>
      </c>
      <c r="W157" s="10">
        <f>+'A) Base RI'!Q157</f>
        <v>121751.25</v>
      </c>
      <c r="X157" s="10">
        <f>+'A) Base RI'!S157</f>
        <v>263442.95</v>
      </c>
      <c r="Y157" s="2">
        <f t="shared" si="17"/>
        <v>390743.1</v>
      </c>
      <c r="Z157" s="10">
        <f>+'A) Base RI'!O157</f>
        <v>610323.6</v>
      </c>
      <c r="AA157" s="10">
        <f>'A) Base RI'!V157</f>
        <v>1883</v>
      </c>
    </row>
    <row r="158" spans="1:27" x14ac:dyDescent="0.25">
      <c r="A158" s="8">
        <f>'A) Base RI'!A158</f>
        <v>5650</v>
      </c>
      <c r="B158" s="33" t="str">
        <f>'A) Base RI'!B158</f>
        <v>Vaux-sur-Morges</v>
      </c>
      <c r="C158" s="10">
        <f>'A) Base RI'!C158+'A) Base RI'!D158</f>
        <v>9434726.5199999996</v>
      </c>
      <c r="D158" s="10">
        <f>'A) Base RI'!W158</f>
        <v>-116.03</v>
      </c>
      <c r="E158" s="32">
        <f>'A) Base RI'!X158</f>
        <v>0</v>
      </c>
      <c r="F158" s="32">
        <f>'A) Base RI'!Y158</f>
        <v>0</v>
      </c>
      <c r="G158" s="2">
        <f t="shared" si="12"/>
        <v>9434610.4900000002</v>
      </c>
      <c r="H158" s="10">
        <f>+'A) Base RI'!E158</f>
        <v>0</v>
      </c>
      <c r="I158" s="10">
        <f>+'A) Base RI'!F158</f>
        <v>0</v>
      </c>
      <c r="J158" s="10">
        <f>+'A) Base RI'!G158+'A) Base RI'!H158+'A) Base RI'!I158</f>
        <v>14499.66</v>
      </c>
      <c r="K158" s="10">
        <f>+'A) Base RI'!J158</f>
        <v>0</v>
      </c>
      <c r="L158" s="10">
        <f>+'A) Base RI'!K158</f>
        <v>4629.63</v>
      </c>
      <c r="M158" s="10">
        <f>+'A) Base RI'!L158</f>
        <v>0</v>
      </c>
      <c r="N158" s="10">
        <f>+'A) Base RI'!R158</f>
        <v>0</v>
      </c>
      <c r="O158" s="10">
        <f t="shared" si="13"/>
        <v>43606.96</v>
      </c>
      <c r="P158" s="10">
        <f>+'A) Base RI'!M158</f>
        <v>54508.7</v>
      </c>
      <c r="Q158" s="35">
        <f>'A) Base RI'!Z158</f>
        <v>1.25</v>
      </c>
      <c r="R158" s="2">
        <f t="shared" si="14"/>
        <v>9497346.7400000021</v>
      </c>
      <c r="S158" s="34">
        <f>+'A) Base RI'!U158</f>
        <v>56</v>
      </c>
      <c r="T158" s="2">
        <f t="shared" si="15"/>
        <v>9453739.7800000012</v>
      </c>
      <c r="U158" s="2">
        <f t="shared" si="16"/>
        <v>169595.47750000004</v>
      </c>
      <c r="V158" s="10">
        <f>+'A) Base RI'!P158</f>
        <v>0</v>
      </c>
      <c r="W158" s="10">
        <f>+'A) Base RI'!Q158</f>
        <v>12100</v>
      </c>
      <c r="X158" s="10">
        <f>+'A) Base RI'!S158</f>
        <v>10000.5</v>
      </c>
      <c r="Y158" s="2">
        <f t="shared" si="17"/>
        <v>22100.5</v>
      </c>
      <c r="Z158" s="10">
        <f>+'A) Base RI'!O158</f>
        <v>93.95</v>
      </c>
      <c r="AA158" s="10">
        <f>'A) Base RI'!V158</f>
        <v>199</v>
      </c>
    </row>
    <row r="159" spans="1:27" x14ac:dyDescent="0.25">
      <c r="A159" s="8">
        <f>'A) Base RI'!A159</f>
        <v>5651</v>
      </c>
      <c r="B159" s="33" t="str">
        <f>'A) Base RI'!B159</f>
        <v>Villars-Sainte-Croix</v>
      </c>
      <c r="C159" s="10">
        <f>'A) Base RI'!C159+'A) Base RI'!D159</f>
        <v>2103515.06</v>
      </c>
      <c r="D159" s="10">
        <f>'A) Base RI'!W159</f>
        <v>-11745.78</v>
      </c>
      <c r="E159" s="32">
        <f>'A) Base RI'!X159</f>
        <v>0</v>
      </c>
      <c r="F159" s="32">
        <f>'A) Base RI'!Y159</f>
        <v>-94.59</v>
      </c>
      <c r="G159" s="2">
        <f t="shared" si="12"/>
        <v>2091674.69</v>
      </c>
      <c r="H159" s="10">
        <f>+'A) Base RI'!E159</f>
        <v>0</v>
      </c>
      <c r="I159" s="10">
        <f>+'A) Base RI'!F159</f>
        <v>0</v>
      </c>
      <c r="J159" s="10">
        <f>+'A) Base RI'!G159+'A) Base RI'!H159+'A) Base RI'!I159</f>
        <v>389333.3</v>
      </c>
      <c r="K159" s="10">
        <f>+'A) Base RI'!J159</f>
        <v>0</v>
      </c>
      <c r="L159" s="10">
        <f>+'A) Base RI'!K159</f>
        <v>48414.5</v>
      </c>
      <c r="M159" s="10">
        <f>+'A) Base RI'!L159</f>
        <v>18278</v>
      </c>
      <c r="N159" s="10">
        <f>+'A) Base RI'!R159</f>
        <v>2357.8000000000002</v>
      </c>
      <c r="O159" s="10">
        <f t="shared" si="13"/>
        <v>264848.09999999998</v>
      </c>
      <c r="P159" s="10">
        <f>+'A) Base RI'!M159</f>
        <v>264848.09999999998</v>
      </c>
      <c r="Q159" s="35">
        <f>'A) Base RI'!Z159</f>
        <v>1</v>
      </c>
      <c r="R159" s="2">
        <f t="shared" si="14"/>
        <v>2814906.3899999997</v>
      </c>
      <c r="S159" s="34">
        <f>+'A) Base RI'!U159</f>
        <v>59</v>
      </c>
      <c r="T159" s="2">
        <f t="shared" si="15"/>
        <v>2531780.2899999996</v>
      </c>
      <c r="U159" s="2">
        <f t="shared" si="16"/>
        <v>47710.277796610164</v>
      </c>
      <c r="V159" s="10">
        <f>+'A) Base RI'!P159</f>
        <v>0</v>
      </c>
      <c r="W159" s="10">
        <f>+'A) Base RI'!Q159</f>
        <v>231689.8</v>
      </c>
      <c r="X159" s="10">
        <f>+'A) Base RI'!S159</f>
        <v>42894.6</v>
      </c>
      <c r="Y159" s="2">
        <f t="shared" si="17"/>
        <v>274584.39999999997</v>
      </c>
      <c r="Z159" s="10">
        <f>+'A) Base RI'!O159</f>
        <v>166753.75</v>
      </c>
      <c r="AA159" s="10">
        <f>'A) Base RI'!V159</f>
        <v>935</v>
      </c>
    </row>
    <row r="160" spans="1:27" x14ac:dyDescent="0.25">
      <c r="A160" s="8">
        <f>'A) Base RI'!A160</f>
        <v>5652</v>
      </c>
      <c r="B160" s="33" t="str">
        <f>'A) Base RI'!B160</f>
        <v>Villars-sous-Yens</v>
      </c>
      <c r="C160" s="10">
        <f>'A) Base RI'!C160+'A) Base RI'!D160</f>
        <v>1813085.78</v>
      </c>
      <c r="D160" s="10">
        <f>'A) Base RI'!W160</f>
        <v>-6913.36</v>
      </c>
      <c r="E160" s="32">
        <f>'A) Base RI'!X160</f>
        <v>0</v>
      </c>
      <c r="F160" s="32">
        <f>'A) Base RI'!Y160</f>
        <v>-143.91999999999999</v>
      </c>
      <c r="G160" s="2">
        <f t="shared" si="12"/>
        <v>1806028.5</v>
      </c>
      <c r="H160" s="10">
        <f>+'A) Base RI'!E160</f>
        <v>0</v>
      </c>
      <c r="I160" s="10">
        <f>+'A) Base RI'!F160</f>
        <v>0</v>
      </c>
      <c r="J160" s="10">
        <f>+'A) Base RI'!G160+'A) Base RI'!H160+'A) Base RI'!I160</f>
        <v>10955.7</v>
      </c>
      <c r="K160" s="10">
        <f>+'A) Base RI'!J160</f>
        <v>0</v>
      </c>
      <c r="L160" s="10">
        <f>+'A) Base RI'!K160</f>
        <v>36632.910000000003</v>
      </c>
      <c r="M160" s="10">
        <f>+'A) Base RI'!L160</f>
        <v>614.15</v>
      </c>
      <c r="N160" s="10">
        <f>+'A) Base RI'!R160</f>
        <v>0</v>
      </c>
      <c r="O160" s="10">
        <f t="shared" si="13"/>
        <v>106119.20833333334</v>
      </c>
      <c r="P160" s="10">
        <f>+'A) Base RI'!M160</f>
        <v>127343.05</v>
      </c>
      <c r="Q160" s="35">
        <f>'A) Base RI'!Z160</f>
        <v>1.2</v>
      </c>
      <c r="R160" s="2">
        <f t="shared" si="14"/>
        <v>1960350.468333333</v>
      </c>
      <c r="S160" s="34">
        <f>+'A) Base RI'!U160</f>
        <v>76</v>
      </c>
      <c r="T160" s="2">
        <f t="shared" si="15"/>
        <v>1853617.1099999999</v>
      </c>
      <c r="U160" s="2">
        <f t="shared" si="16"/>
        <v>25794.085109649121</v>
      </c>
      <c r="V160" s="10">
        <f>+'A) Base RI'!P160</f>
        <v>0</v>
      </c>
      <c r="W160" s="10">
        <f>+'A) Base RI'!Q160</f>
        <v>41371</v>
      </c>
      <c r="X160" s="10">
        <f>+'A) Base RI'!S160</f>
        <v>11871.95</v>
      </c>
      <c r="Y160" s="2">
        <f t="shared" si="17"/>
        <v>53242.95</v>
      </c>
      <c r="Z160" s="10">
        <f>+'A) Base RI'!O160</f>
        <v>7470.6</v>
      </c>
      <c r="AA160" s="10">
        <f>'A) Base RI'!V160</f>
        <v>614</v>
      </c>
    </row>
    <row r="161" spans="1:27" x14ac:dyDescent="0.25">
      <c r="A161" s="8">
        <f>'A) Base RI'!A161</f>
        <v>5653</v>
      </c>
      <c r="B161" s="33" t="str">
        <f>'A) Base RI'!B161</f>
        <v>Vufflens-le-Château</v>
      </c>
      <c r="C161" s="10">
        <f>'A) Base RI'!C161+'A) Base RI'!D161</f>
        <v>2830480.58</v>
      </c>
      <c r="D161" s="10">
        <f>'A) Base RI'!W161</f>
        <v>-8804.7199999999993</v>
      </c>
      <c r="E161" s="32">
        <f>'A) Base RI'!X161</f>
        <v>0</v>
      </c>
      <c r="F161" s="32">
        <f>'A) Base RI'!Y161</f>
        <v>-2908.68</v>
      </c>
      <c r="G161" s="2">
        <f t="shared" si="12"/>
        <v>2818767.1799999997</v>
      </c>
      <c r="H161" s="10">
        <f>+'A) Base RI'!E161</f>
        <v>0</v>
      </c>
      <c r="I161" s="10">
        <f>+'A) Base RI'!F161</f>
        <v>0</v>
      </c>
      <c r="J161" s="10">
        <f>+'A) Base RI'!G161+'A) Base RI'!H161+'A) Base RI'!I161</f>
        <v>5747.38</v>
      </c>
      <c r="K161" s="10">
        <f>+'A) Base RI'!J161</f>
        <v>92686.65</v>
      </c>
      <c r="L161" s="10">
        <f>+'A) Base RI'!K161</f>
        <v>45413.88</v>
      </c>
      <c r="M161" s="10">
        <f>+'A) Base RI'!L161</f>
        <v>1537</v>
      </c>
      <c r="N161" s="10">
        <f>+'A) Base RI'!R161</f>
        <v>0</v>
      </c>
      <c r="O161" s="10">
        <f t="shared" si="13"/>
        <v>231607</v>
      </c>
      <c r="P161" s="10">
        <f>+'A) Base RI'!M161</f>
        <v>185285.6</v>
      </c>
      <c r="Q161" s="35">
        <f>'A) Base RI'!Z161</f>
        <v>0.8</v>
      </c>
      <c r="R161" s="2">
        <f t="shared" si="14"/>
        <v>3195759.0899999994</v>
      </c>
      <c r="S161" s="34">
        <f>+'A) Base RI'!U161</f>
        <v>55</v>
      </c>
      <c r="T161" s="2">
        <f t="shared" si="15"/>
        <v>2962615.0899999994</v>
      </c>
      <c r="U161" s="2">
        <f t="shared" si="16"/>
        <v>58104.710727272715</v>
      </c>
      <c r="V161" s="10">
        <f>+'A) Base RI'!P161</f>
        <v>0</v>
      </c>
      <c r="W161" s="10">
        <f>+'A) Base RI'!Q161</f>
        <v>66731.55</v>
      </c>
      <c r="X161" s="10">
        <f>+'A) Base RI'!S161</f>
        <v>9370.1</v>
      </c>
      <c r="Y161" s="2">
        <f t="shared" si="17"/>
        <v>76101.650000000009</v>
      </c>
      <c r="Z161" s="10">
        <f>+'A) Base RI'!O161</f>
        <v>406.8</v>
      </c>
      <c r="AA161" s="10">
        <f>'A) Base RI'!V161</f>
        <v>884</v>
      </c>
    </row>
    <row r="162" spans="1:27" x14ac:dyDescent="0.25">
      <c r="A162" s="8">
        <f>'A) Base RI'!A162</f>
        <v>5654</v>
      </c>
      <c r="B162" s="33" t="str">
        <f>'A) Base RI'!B162</f>
        <v>Vullierens</v>
      </c>
      <c r="C162" s="10">
        <f>'A) Base RI'!C162+'A) Base RI'!D162</f>
        <v>1275551.5</v>
      </c>
      <c r="D162" s="10">
        <f>'A) Base RI'!W162</f>
        <v>-10334.25</v>
      </c>
      <c r="E162" s="32">
        <f>'A) Base RI'!X162</f>
        <v>0</v>
      </c>
      <c r="F162" s="32">
        <f>'A) Base RI'!Y162</f>
        <v>-1458.99</v>
      </c>
      <c r="G162" s="2">
        <f t="shared" si="12"/>
        <v>1263758.26</v>
      </c>
      <c r="H162" s="10">
        <f>+'A) Base RI'!E162</f>
        <v>0</v>
      </c>
      <c r="I162" s="10">
        <f>+'A) Base RI'!F162</f>
        <v>0</v>
      </c>
      <c r="J162" s="10">
        <f>+'A) Base RI'!G162+'A) Base RI'!H162+'A) Base RI'!I162</f>
        <v>18278.95</v>
      </c>
      <c r="K162" s="10">
        <f>+'A) Base RI'!J162</f>
        <v>0</v>
      </c>
      <c r="L162" s="10">
        <f>+'A) Base RI'!K162</f>
        <v>37052.31</v>
      </c>
      <c r="M162" s="10">
        <f>+'A) Base RI'!L162</f>
        <v>1251.95</v>
      </c>
      <c r="N162" s="10">
        <f>+'A) Base RI'!R162</f>
        <v>0</v>
      </c>
      <c r="O162" s="10">
        <f t="shared" si="13"/>
        <v>89335.35</v>
      </c>
      <c r="P162" s="10">
        <f>+'A) Base RI'!M162</f>
        <v>89335.35</v>
      </c>
      <c r="Q162" s="35">
        <f>'A) Base RI'!Z162</f>
        <v>1</v>
      </c>
      <c r="R162" s="2">
        <f t="shared" si="14"/>
        <v>1409676.82</v>
      </c>
      <c r="S162" s="34">
        <f>+'A) Base RI'!U162</f>
        <v>76</v>
      </c>
      <c r="T162" s="2">
        <f t="shared" si="15"/>
        <v>1319089.52</v>
      </c>
      <c r="U162" s="2">
        <f t="shared" si="16"/>
        <v>18548.379210526316</v>
      </c>
      <c r="V162" s="10">
        <f>+'A) Base RI'!P162</f>
        <v>4667.3</v>
      </c>
      <c r="W162" s="10">
        <f>+'A) Base RI'!Q162</f>
        <v>13695.05</v>
      </c>
      <c r="X162" s="10">
        <f>+'A) Base RI'!S162</f>
        <v>17352.400000000001</v>
      </c>
      <c r="Y162" s="2">
        <f t="shared" si="17"/>
        <v>35714.75</v>
      </c>
      <c r="Z162" s="10">
        <f>+'A) Base RI'!O162</f>
        <v>2445.85</v>
      </c>
      <c r="AA162" s="10">
        <f>'A) Base RI'!V162</f>
        <v>499</v>
      </c>
    </row>
    <row r="163" spans="1:27" x14ac:dyDescent="0.25">
      <c r="A163" s="8">
        <f>'A) Base RI'!A163</f>
        <v>5655</v>
      </c>
      <c r="B163" s="33" t="str">
        <f>'A) Base RI'!B163</f>
        <v>Yens</v>
      </c>
      <c r="C163" s="10">
        <f>'A) Base RI'!C163+'A) Base RI'!D163</f>
        <v>4687538.33</v>
      </c>
      <c r="D163" s="10">
        <f>'A) Base RI'!W163</f>
        <v>-11152.45</v>
      </c>
      <c r="E163" s="32">
        <f>'A) Base RI'!X163</f>
        <v>0</v>
      </c>
      <c r="F163" s="32">
        <f>'A) Base RI'!Y163</f>
        <v>-536.85</v>
      </c>
      <c r="G163" s="2">
        <f t="shared" si="12"/>
        <v>4675849.03</v>
      </c>
      <c r="H163" s="10">
        <f>+'A) Base RI'!E163</f>
        <v>0</v>
      </c>
      <c r="I163" s="10">
        <f>+'A) Base RI'!F163</f>
        <v>0</v>
      </c>
      <c r="J163" s="10">
        <f>+'A) Base RI'!G163+'A) Base RI'!H163+'A) Base RI'!I163</f>
        <v>92552.82</v>
      </c>
      <c r="K163" s="10">
        <f>+'A) Base RI'!J163</f>
        <v>-11254.2</v>
      </c>
      <c r="L163" s="10">
        <f>+'A) Base RI'!K163</f>
        <v>85854.02</v>
      </c>
      <c r="M163" s="10">
        <f>+'A) Base RI'!L163</f>
        <v>8464</v>
      </c>
      <c r="N163" s="10">
        <f>+'A) Base RI'!R163</f>
        <v>1492.99</v>
      </c>
      <c r="O163" s="10">
        <f t="shared" si="13"/>
        <v>371490.85</v>
      </c>
      <c r="P163" s="10">
        <f>+'A) Base RI'!M163</f>
        <v>371490.85</v>
      </c>
      <c r="Q163" s="35">
        <f>'A) Base RI'!Z163</f>
        <v>1</v>
      </c>
      <c r="R163" s="2">
        <f t="shared" si="14"/>
        <v>5224449.51</v>
      </c>
      <c r="S163" s="34">
        <f>+'A) Base RI'!U163</f>
        <v>73</v>
      </c>
      <c r="T163" s="2">
        <f t="shared" si="15"/>
        <v>4844494.66</v>
      </c>
      <c r="U163" s="2">
        <f t="shared" si="16"/>
        <v>71567.801506849311</v>
      </c>
      <c r="V163" s="10">
        <f>+'A) Base RI'!P163</f>
        <v>121137.3</v>
      </c>
      <c r="W163" s="10">
        <f>+'A) Base RI'!Q163</f>
        <v>301458.3</v>
      </c>
      <c r="X163" s="10">
        <f>+'A) Base RI'!S163</f>
        <v>354268.85</v>
      </c>
      <c r="Y163" s="2">
        <f t="shared" si="17"/>
        <v>776864.45</v>
      </c>
      <c r="Z163" s="10">
        <f>+'A) Base RI'!O163</f>
        <v>60612.05</v>
      </c>
      <c r="AA163" s="10">
        <f>'A) Base RI'!V163</f>
        <v>1395</v>
      </c>
    </row>
    <row r="164" spans="1:27" x14ac:dyDescent="0.25">
      <c r="A164" s="8">
        <f>'A) Base RI'!A164</f>
        <v>5661</v>
      </c>
      <c r="B164" s="33" t="str">
        <f>'A) Base RI'!B164</f>
        <v>Boulens</v>
      </c>
      <c r="C164" s="10">
        <f>'A) Base RI'!C164+'A) Base RI'!D164</f>
        <v>661942</v>
      </c>
      <c r="D164" s="10">
        <f>'A) Base RI'!W164</f>
        <v>-34.590000000000003</v>
      </c>
      <c r="E164" s="32">
        <f>'A) Base RI'!X164</f>
        <v>0</v>
      </c>
      <c r="F164" s="32">
        <f>'A) Base RI'!Y164</f>
        <v>0</v>
      </c>
      <c r="G164" s="2">
        <f t="shared" si="12"/>
        <v>661907.41</v>
      </c>
      <c r="H164" s="10">
        <f>+'A) Base RI'!E164</f>
        <v>0</v>
      </c>
      <c r="I164" s="10">
        <f>+'A) Base RI'!F164</f>
        <v>1710</v>
      </c>
      <c r="J164" s="10">
        <f>+'A) Base RI'!G164+'A) Base RI'!H164+'A) Base RI'!I164</f>
        <v>1367.1999999999998</v>
      </c>
      <c r="K164" s="10">
        <f>+'A) Base RI'!J164</f>
        <v>0</v>
      </c>
      <c r="L164" s="10">
        <f>+'A) Base RI'!K164</f>
        <v>4775.05</v>
      </c>
      <c r="M164" s="10">
        <f>+'A) Base RI'!L164</f>
        <v>202.5</v>
      </c>
      <c r="N164" s="10">
        <f>+'A) Base RI'!R164</f>
        <v>1100</v>
      </c>
      <c r="O164" s="10">
        <f t="shared" si="13"/>
        <v>44429.599999999999</v>
      </c>
      <c r="P164" s="10">
        <f>+'A) Base RI'!M164</f>
        <v>44429.599999999999</v>
      </c>
      <c r="Q164" s="35">
        <f>'A) Base RI'!Z164</f>
        <v>1</v>
      </c>
      <c r="R164" s="2">
        <f t="shared" si="14"/>
        <v>715491.76</v>
      </c>
      <c r="S164" s="34">
        <f>+'A) Base RI'!U164</f>
        <v>79</v>
      </c>
      <c r="T164" s="2">
        <f t="shared" si="15"/>
        <v>669149.66</v>
      </c>
      <c r="U164" s="2">
        <f t="shared" si="16"/>
        <v>9056.8577215189871</v>
      </c>
      <c r="V164" s="10">
        <f>+'A) Base RI'!P164</f>
        <v>0</v>
      </c>
      <c r="W164" s="10">
        <f>+'A) Base RI'!Q164</f>
        <v>12018.25</v>
      </c>
      <c r="X164" s="10">
        <f>+'A) Base RI'!S164</f>
        <v>3640.55</v>
      </c>
      <c r="Y164" s="2">
        <f t="shared" si="17"/>
        <v>15658.8</v>
      </c>
      <c r="Z164" s="10">
        <f>+'A) Base RI'!O164</f>
        <v>13524.6</v>
      </c>
      <c r="AA164" s="10">
        <f>'A) Base RI'!V164</f>
        <v>377</v>
      </c>
    </row>
    <row r="165" spans="1:27" x14ac:dyDescent="0.25">
      <c r="A165" s="8">
        <f>'A) Base RI'!A165</f>
        <v>5663</v>
      </c>
      <c r="B165" s="33" t="str">
        <f>'A) Base RI'!B165</f>
        <v>Bussy-sur-Moudon</v>
      </c>
      <c r="C165" s="10">
        <f>'A) Base RI'!C165+'A) Base RI'!D165</f>
        <v>414326.72</v>
      </c>
      <c r="D165" s="10">
        <f>'A) Base RI'!W165</f>
        <v>-1735.59</v>
      </c>
      <c r="E165" s="32">
        <f>'A) Base RI'!X165</f>
        <v>0</v>
      </c>
      <c r="F165" s="32">
        <f>'A) Base RI'!Y165</f>
        <v>0</v>
      </c>
      <c r="G165" s="2">
        <f t="shared" si="12"/>
        <v>412591.12999999995</v>
      </c>
      <c r="H165" s="10">
        <f>+'A) Base RI'!E165</f>
        <v>0</v>
      </c>
      <c r="I165" s="10">
        <f>+'A) Base RI'!F165</f>
        <v>1290</v>
      </c>
      <c r="J165" s="10">
        <f>+'A) Base RI'!G165+'A) Base RI'!H165+'A) Base RI'!I165</f>
        <v>3193.45</v>
      </c>
      <c r="K165" s="10">
        <f>+'A) Base RI'!J165</f>
        <v>0</v>
      </c>
      <c r="L165" s="10">
        <f>+'A) Base RI'!K165</f>
        <v>4576.3</v>
      </c>
      <c r="M165" s="10">
        <f>+'A) Base RI'!L165</f>
        <v>456.15</v>
      </c>
      <c r="N165" s="10">
        <f>+'A) Base RI'!R165</f>
        <v>0</v>
      </c>
      <c r="O165" s="10">
        <f t="shared" si="13"/>
        <v>30302.3</v>
      </c>
      <c r="P165" s="10">
        <f>+'A) Base RI'!M165</f>
        <v>30302.3</v>
      </c>
      <c r="Q165" s="35">
        <f>'A) Base RI'!Z165</f>
        <v>1</v>
      </c>
      <c r="R165" s="2">
        <f t="shared" si="14"/>
        <v>452409.32999999996</v>
      </c>
      <c r="S165" s="34">
        <f>+'A) Base RI'!U165</f>
        <v>80</v>
      </c>
      <c r="T165" s="2">
        <f t="shared" si="15"/>
        <v>420360.87999999995</v>
      </c>
      <c r="U165" s="2">
        <f t="shared" si="16"/>
        <v>5655.1166249999997</v>
      </c>
      <c r="V165" s="10">
        <f>+'A) Base RI'!P165</f>
        <v>19363.400000000001</v>
      </c>
      <c r="W165" s="10">
        <f>+'A) Base RI'!Q165</f>
        <v>9130</v>
      </c>
      <c r="X165" s="10">
        <f>+'A) Base RI'!S165</f>
        <v>0</v>
      </c>
      <c r="Y165" s="2">
        <f t="shared" si="17"/>
        <v>28493.4</v>
      </c>
      <c r="Z165" s="10">
        <f>+'A) Base RI'!O165</f>
        <v>0</v>
      </c>
      <c r="AA165" s="10">
        <f>'A) Base RI'!V165</f>
        <v>209</v>
      </c>
    </row>
    <row r="166" spans="1:27" x14ac:dyDescent="0.25">
      <c r="A166" s="8">
        <f>'A) Base RI'!A166</f>
        <v>5665</v>
      </c>
      <c r="B166" s="33" t="str">
        <f>'A) Base RI'!B166</f>
        <v>Chavannes-sur-Moudon</v>
      </c>
      <c r="C166" s="10">
        <f>'A) Base RI'!C166+'A) Base RI'!D166</f>
        <v>345875.75</v>
      </c>
      <c r="D166" s="10">
        <f>'A) Base RI'!W166</f>
        <v>-5811.92</v>
      </c>
      <c r="E166" s="32">
        <f>'A) Base RI'!X166</f>
        <v>0</v>
      </c>
      <c r="F166" s="32">
        <f>'A) Base RI'!Y166</f>
        <v>0</v>
      </c>
      <c r="G166" s="2">
        <f t="shared" si="12"/>
        <v>340063.83</v>
      </c>
      <c r="H166" s="10">
        <f>+'A) Base RI'!E166</f>
        <v>0</v>
      </c>
      <c r="I166" s="10">
        <f>+'A) Base RI'!F166</f>
        <v>0</v>
      </c>
      <c r="J166" s="10">
        <f>+'A) Base RI'!G166+'A) Base RI'!H166+'A) Base RI'!I166</f>
        <v>2039.62</v>
      </c>
      <c r="K166" s="10">
        <f>+'A) Base RI'!J166</f>
        <v>0</v>
      </c>
      <c r="L166" s="10">
        <f>+'A) Base RI'!K166</f>
        <v>1084.27</v>
      </c>
      <c r="M166" s="10">
        <f>+'A) Base RI'!L166</f>
        <v>4.5</v>
      </c>
      <c r="N166" s="10">
        <f>+'A) Base RI'!R166</f>
        <v>0</v>
      </c>
      <c r="O166" s="10">
        <f t="shared" si="13"/>
        <v>23890.799999999999</v>
      </c>
      <c r="P166" s="10">
        <f>+'A) Base RI'!M166</f>
        <v>23890.799999999999</v>
      </c>
      <c r="Q166" s="35">
        <f>'A) Base RI'!Z166</f>
        <v>1</v>
      </c>
      <c r="R166" s="2">
        <f t="shared" si="14"/>
        <v>367083.02</v>
      </c>
      <c r="S166" s="34">
        <f>+'A) Base RI'!U166</f>
        <v>73</v>
      </c>
      <c r="T166" s="2">
        <f t="shared" si="15"/>
        <v>343187.72000000003</v>
      </c>
      <c r="U166" s="2">
        <f t="shared" si="16"/>
        <v>5028.5345205479452</v>
      </c>
      <c r="V166" s="10">
        <f>+'A) Base RI'!P166</f>
        <v>0</v>
      </c>
      <c r="W166" s="10">
        <f>+'A) Base RI'!Q166</f>
        <v>3091.35</v>
      </c>
      <c r="X166" s="10">
        <f>+'A) Base RI'!S166</f>
        <v>0</v>
      </c>
      <c r="Y166" s="2">
        <f t="shared" si="17"/>
        <v>3091.35</v>
      </c>
      <c r="Z166" s="10">
        <f>+'A) Base RI'!O166</f>
        <v>0</v>
      </c>
      <c r="AA166" s="10">
        <f>'A) Base RI'!V166</f>
        <v>220</v>
      </c>
    </row>
    <row r="167" spans="1:27" x14ac:dyDescent="0.25">
      <c r="A167" s="8">
        <f>'A) Base RI'!A167</f>
        <v>5669</v>
      </c>
      <c r="B167" s="33" t="str">
        <f>'A) Base RI'!B167</f>
        <v>Curtilles</v>
      </c>
      <c r="C167" s="10">
        <f>'A) Base RI'!C167+'A) Base RI'!D167</f>
        <v>626129.63</v>
      </c>
      <c r="D167" s="10">
        <f>'A) Base RI'!W167</f>
        <v>-7769.79</v>
      </c>
      <c r="E167" s="32">
        <f>'A) Base RI'!X167</f>
        <v>0</v>
      </c>
      <c r="F167" s="32">
        <f>'A) Base RI'!Y167</f>
        <v>-102.05</v>
      </c>
      <c r="G167" s="2">
        <f t="shared" si="12"/>
        <v>618257.78999999992</v>
      </c>
      <c r="H167" s="10">
        <f>+'A) Base RI'!E167</f>
        <v>0</v>
      </c>
      <c r="I167" s="10">
        <f>+'A) Base RI'!F167</f>
        <v>0</v>
      </c>
      <c r="J167" s="10">
        <f>+'A) Base RI'!G167+'A) Base RI'!H167+'A) Base RI'!I167</f>
        <v>2613.27</v>
      </c>
      <c r="K167" s="10">
        <f>+'A) Base RI'!J167</f>
        <v>0</v>
      </c>
      <c r="L167" s="10">
        <f>+'A) Base RI'!K167</f>
        <v>11123.14</v>
      </c>
      <c r="M167" s="10">
        <f>+'A) Base RI'!L167</f>
        <v>356.7</v>
      </c>
      <c r="N167" s="10">
        <f>+'A) Base RI'!R167</f>
        <v>0</v>
      </c>
      <c r="O167" s="10">
        <f t="shared" si="13"/>
        <v>44846.8</v>
      </c>
      <c r="P167" s="10">
        <f>+'A) Base RI'!M167</f>
        <v>22423.4</v>
      </c>
      <c r="Q167" s="35">
        <f>'A) Base RI'!Z167</f>
        <v>0.5</v>
      </c>
      <c r="R167" s="2">
        <f t="shared" si="14"/>
        <v>677197.7</v>
      </c>
      <c r="S167" s="34">
        <f>+'A) Base RI'!U167</f>
        <v>75</v>
      </c>
      <c r="T167" s="2">
        <f t="shared" si="15"/>
        <v>631994.19999999995</v>
      </c>
      <c r="U167" s="2">
        <f t="shared" si="16"/>
        <v>9029.3026666666665</v>
      </c>
      <c r="V167" s="10">
        <f>+'A) Base RI'!P167</f>
        <v>19284.599999999999</v>
      </c>
      <c r="W167" s="10">
        <f>+'A) Base RI'!Q167</f>
        <v>15239.4</v>
      </c>
      <c r="X167" s="10">
        <f>+'A) Base RI'!S167</f>
        <v>31148.2</v>
      </c>
      <c r="Y167" s="2">
        <f t="shared" si="17"/>
        <v>65672.2</v>
      </c>
      <c r="Z167" s="10">
        <f>+'A) Base RI'!O167</f>
        <v>0</v>
      </c>
      <c r="AA167" s="10">
        <f>'A) Base RI'!V167</f>
        <v>318</v>
      </c>
    </row>
    <row r="168" spans="1:27" x14ac:dyDescent="0.25">
      <c r="A168" s="8">
        <f>'A) Base RI'!A168</f>
        <v>5671</v>
      </c>
      <c r="B168" s="33" t="str">
        <f>'A) Base RI'!B168</f>
        <v>Dompierre</v>
      </c>
      <c r="C168" s="10">
        <f>'A) Base RI'!C168+'A) Base RI'!D168</f>
        <v>454074.18</v>
      </c>
      <c r="D168" s="10">
        <f>'A) Base RI'!W168</f>
        <v>-117.47</v>
      </c>
      <c r="E168" s="32">
        <f>'A) Base RI'!X168</f>
        <v>0</v>
      </c>
      <c r="F168" s="32">
        <f>'A) Base RI'!Y168</f>
        <v>0</v>
      </c>
      <c r="G168" s="2">
        <f t="shared" si="12"/>
        <v>453956.71</v>
      </c>
      <c r="H168" s="10">
        <f>+'A) Base RI'!E168</f>
        <v>0</v>
      </c>
      <c r="I168" s="10">
        <f>+'A) Base RI'!F168</f>
        <v>1685.8</v>
      </c>
      <c r="J168" s="10">
        <f>+'A) Base RI'!G168+'A) Base RI'!H168+'A) Base RI'!I168</f>
        <v>7971.0499999999993</v>
      </c>
      <c r="K168" s="10">
        <f>+'A) Base RI'!J168</f>
        <v>0</v>
      </c>
      <c r="L168" s="10">
        <f>+'A) Base RI'!K168</f>
        <v>6972.68</v>
      </c>
      <c r="M168" s="10">
        <f>+'A) Base RI'!L168</f>
        <v>223.5</v>
      </c>
      <c r="N168" s="10">
        <f>+'A) Base RI'!R168</f>
        <v>3246.14</v>
      </c>
      <c r="O168" s="10">
        <f t="shared" si="13"/>
        <v>32638.400000000001</v>
      </c>
      <c r="P168" s="10">
        <f>+'A) Base RI'!M168</f>
        <v>32638.400000000001</v>
      </c>
      <c r="Q168" s="35">
        <f>'A) Base RI'!Z168</f>
        <v>1</v>
      </c>
      <c r="R168" s="2">
        <f t="shared" si="14"/>
        <v>506694.28</v>
      </c>
      <c r="S168" s="34">
        <f>+'A) Base RI'!U168</f>
        <v>80</v>
      </c>
      <c r="T168" s="2">
        <f t="shared" si="15"/>
        <v>472146.58</v>
      </c>
      <c r="U168" s="2">
        <f t="shared" si="16"/>
        <v>6333.6785</v>
      </c>
      <c r="V168" s="10">
        <f>+'A) Base RI'!P168</f>
        <v>0</v>
      </c>
      <c r="W168" s="10">
        <f>+'A) Base RI'!Q168</f>
        <v>55</v>
      </c>
      <c r="X168" s="10">
        <f>+'A) Base RI'!S168</f>
        <v>0</v>
      </c>
      <c r="Y168" s="2">
        <f t="shared" si="17"/>
        <v>55</v>
      </c>
      <c r="Z168" s="10">
        <f>+'A) Base RI'!O168</f>
        <v>0</v>
      </c>
      <c r="AA168" s="10">
        <f>'A) Base RI'!V168</f>
        <v>259</v>
      </c>
    </row>
    <row r="169" spans="1:27" x14ac:dyDescent="0.25">
      <c r="A169" s="8">
        <f>'A) Base RI'!A169</f>
        <v>5673</v>
      </c>
      <c r="B169" s="33" t="str">
        <f>'A) Base RI'!B169</f>
        <v>Hermenches</v>
      </c>
      <c r="C169" s="10">
        <f>'A) Base RI'!C169+'A) Base RI'!D169</f>
        <v>627045.02</v>
      </c>
      <c r="D169" s="10">
        <f>'A) Base RI'!W169</f>
        <v>-11882.98</v>
      </c>
      <c r="E169" s="32">
        <f>'A) Base RI'!X169</f>
        <v>0</v>
      </c>
      <c r="F169" s="32">
        <f>'A) Base RI'!Y169</f>
        <v>-14.04</v>
      </c>
      <c r="G169" s="2">
        <f t="shared" si="12"/>
        <v>615148</v>
      </c>
      <c r="H169" s="10">
        <f>+'A) Base RI'!E169</f>
        <v>0</v>
      </c>
      <c r="I169" s="10">
        <f>+'A) Base RI'!F169</f>
        <v>1890</v>
      </c>
      <c r="J169" s="10">
        <f>+'A) Base RI'!G169+'A) Base RI'!H169+'A) Base RI'!I169</f>
        <v>-334.49999999999994</v>
      </c>
      <c r="K169" s="10">
        <f>+'A) Base RI'!J169</f>
        <v>0</v>
      </c>
      <c r="L169" s="10">
        <f>+'A) Base RI'!K169</f>
        <v>2208.61</v>
      </c>
      <c r="M169" s="10">
        <f>+'A) Base RI'!L169</f>
        <v>7.5</v>
      </c>
      <c r="N169" s="10">
        <f>+'A) Base RI'!R169</f>
        <v>5429.99</v>
      </c>
      <c r="O169" s="10">
        <f t="shared" si="13"/>
        <v>44099.583333333336</v>
      </c>
      <c r="P169" s="10">
        <f>+'A) Base RI'!M169</f>
        <v>26459.75</v>
      </c>
      <c r="Q169" s="35">
        <f>'A) Base RI'!Z169</f>
        <v>0.6</v>
      </c>
      <c r="R169" s="2">
        <f t="shared" si="14"/>
        <v>668449.18333333335</v>
      </c>
      <c r="S169" s="34">
        <f>+'A) Base RI'!U169</f>
        <v>75</v>
      </c>
      <c r="T169" s="2">
        <f t="shared" si="15"/>
        <v>622452.1</v>
      </c>
      <c r="U169" s="2">
        <f t="shared" si="16"/>
        <v>8912.655777777778</v>
      </c>
      <c r="V169" s="10">
        <f>+'A) Base RI'!P169</f>
        <v>0</v>
      </c>
      <c r="W169" s="10">
        <f>+'A) Base RI'!Q169</f>
        <v>0</v>
      </c>
      <c r="X169" s="10">
        <f>+'A) Base RI'!S169</f>
        <v>0</v>
      </c>
      <c r="Y169" s="2">
        <f t="shared" si="17"/>
        <v>0</v>
      </c>
      <c r="Z169" s="10">
        <f>+'A) Base RI'!O169</f>
        <v>17820.650000000001</v>
      </c>
      <c r="AA169" s="10">
        <f>'A) Base RI'!V169</f>
        <v>379</v>
      </c>
    </row>
    <row r="170" spans="1:27" x14ac:dyDescent="0.25">
      <c r="A170" s="8">
        <f>'A) Base RI'!A170</f>
        <v>5674</v>
      </c>
      <c r="B170" s="33" t="str">
        <f>'A) Base RI'!B170</f>
        <v>Lovatens</v>
      </c>
      <c r="C170" s="10">
        <f>'A) Base RI'!C170+'A) Base RI'!D170</f>
        <v>252822.56</v>
      </c>
      <c r="D170" s="10">
        <f>'A) Base RI'!W170</f>
        <v>-5006.3</v>
      </c>
      <c r="E170" s="32">
        <f>'A) Base RI'!X170</f>
        <v>0</v>
      </c>
      <c r="F170" s="32">
        <f>'A) Base RI'!Y170</f>
        <v>0</v>
      </c>
      <c r="G170" s="2">
        <f t="shared" si="12"/>
        <v>247816.26</v>
      </c>
      <c r="H170" s="10">
        <f>+'A) Base RI'!E170</f>
        <v>0</v>
      </c>
      <c r="I170" s="10">
        <f>+'A) Base RI'!F170</f>
        <v>0</v>
      </c>
      <c r="J170" s="10">
        <f>+'A) Base RI'!G170+'A) Base RI'!H170+'A) Base RI'!I170</f>
        <v>521.74</v>
      </c>
      <c r="K170" s="10">
        <f>+'A) Base RI'!J170</f>
        <v>0</v>
      </c>
      <c r="L170" s="10">
        <f>+'A) Base RI'!K170</f>
        <v>3163.94</v>
      </c>
      <c r="M170" s="10">
        <f>+'A) Base RI'!L170</f>
        <v>0</v>
      </c>
      <c r="N170" s="10">
        <f>+'A) Base RI'!R170</f>
        <v>0</v>
      </c>
      <c r="O170" s="10">
        <f t="shared" si="13"/>
        <v>19616.000000000004</v>
      </c>
      <c r="P170" s="10">
        <f>+'A) Base RI'!M170</f>
        <v>13731.2</v>
      </c>
      <c r="Q170" s="35">
        <f>'A) Base RI'!Z170</f>
        <v>0.7</v>
      </c>
      <c r="R170" s="2">
        <f t="shared" si="14"/>
        <v>271117.94</v>
      </c>
      <c r="S170" s="34">
        <f>+'A) Base RI'!U170</f>
        <v>75</v>
      </c>
      <c r="T170" s="2">
        <f t="shared" si="15"/>
        <v>251501.94</v>
      </c>
      <c r="U170" s="2">
        <f t="shared" si="16"/>
        <v>3614.9058666666665</v>
      </c>
      <c r="V170" s="10">
        <f>+'A) Base RI'!P170</f>
        <v>0</v>
      </c>
      <c r="W170" s="10">
        <f>+'A) Base RI'!Q170</f>
        <v>4985.75</v>
      </c>
      <c r="X170" s="10">
        <f>+'A) Base RI'!S170</f>
        <v>0</v>
      </c>
      <c r="Y170" s="2">
        <f t="shared" si="17"/>
        <v>4985.75</v>
      </c>
      <c r="Z170" s="10">
        <f>+'A) Base RI'!O170</f>
        <v>0</v>
      </c>
      <c r="AA170" s="10">
        <f>'A) Base RI'!V170</f>
        <v>141</v>
      </c>
    </row>
    <row r="171" spans="1:27" x14ac:dyDescent="0.25">
      <c r="A171" s="8">
        <f>'A) Base RI'!A171</f>
        <v>5675</v>
      </c>
      <c r="B171" s="33" t="str">
        <f>'A) Base RI'!B171</f>
        <v>Lucens</v>
      </c>
      <c r="C171" s="10">
        <f>'A) Base RI'!C171+'A) Base RI'!D171</f>
        <v>4530829.0699999994</v>
      </c>
      <c r="D171" s="10">
        <f>'A) Base RI'!W171</f>
        <v>-203470.33</v>
      </c>
      <c r="E171" s="32">
        <f>'A) Base RI'!X171</f>
        <v>0</v>
      </c>
      <c r="F171" s="32">
        <f>'A) Base RI'!Y171</f>
        <v>-446.12</v>
      </c>
      <c r="G171" s="2">
        <f t="shared" si="12"/>
        <v>4326912.6199999992</v>
      </c>
      <c r="H171" s="10">
        <f>+'A) Base RI'!E171</f>
        <v>0</v>
      </c>
      <c r="I171" s="10">
        <f>+'A) Base RI'!F171</f>
        <v>0</v>
      </c>
      <c r="J171" s="10">
        <f>+'A) Base RI'!G171+'A) Base RI'!H171+'A) Base RI'!I171</f>
        <v>310197.46000000002</v>
      </c>
      <c r="K171" s="10">
        <f>+'A) Base RI'!J171</f>
        <v>0</v>
      </c>
      <c r="L171" s="10">
        <f>+'A) Base RI'!K171</f>
        <v>251555.6</v>
      </c>
      <c r="M171" s="10">
        <f>+'A) Base RI'!L171</f>
        <v>39202.300000000003</v>
      </c>
      <c r="N171" s="10">
        <f>+'A) Base RI'!R171</f>
        <v>60217</v>
      </c>
      <c r="O171" s="10">
        <f t="shared" si="13"/>
        <v>574727.63636363635</v>
      </c>
      <c r="P171" s="10">
        <f>+'A) Base RI'!M171</f>
        <v>632200.4</v>
      </c>
      <c r="Q171" s="35">
        <f>'A) Base RI'!Z171</f>
        <v>1.1000000000000001</v>
      </c>
      <c r="R171" s="2">
        <f t="shared" si="14"/>
        <v>5562812.6163636353</v>
      </c>
      <c r="S171" s="34">
        <f>+'A) Base RI'!U171</f>
        <v>66</v>
      </c>
      <c r="T171" s="2">
        <f t="shared" si="15"/>
        <v>4948882.6799999988</v>
      </c>
      <c r="U171" s="2">
        <f t="shared" si="16"/>
        <v>84285.039641873256</v>
      </c>
      <c r="V171" s="10">
        <f>+'A) Base RI'!P171</f>
        <v>89020.7</v>
      </c>
      <c r="W171" s="10">
        <f>+'A) Base RI'!Q171</f>
        <v>433755.55</v>
      </c>
      <c r="X171" s="10">
        <f>+'A) Base RI'!S171</f>
        <v>103487.3</v>
      </c>
      <c r="Y171" s="2">
        <f t="shared" si="17"/>
        <v>626263.55000000005</v>
      </c>
      <c r="Z171" s="10">
        <f>+'A) Base RI'!O171</f>
        <v>31940.15</v>
      </c>
      <c r="AA171" s="10">
        <f>'A) Base RI'!V171</f>
        <v>4157</v>
      </c>
    </row>
    <row r="172" spans="1:27" x14ac:dyDescent="0.25">
      <c r="A172" s="8">
        <f>'A) Base RI'!A172</f>
        <v>5678</v>
      </c>
      <c r="B172" s="33" t="str">
        <f>'A) Base RI'!B172</f>
        <v>Moudon</v>
      </c>
      <c r="C172" s="10">
        <f>'A) Base RI'!C172+'A) Base RI'!D172</f>
        <v>7151525.5499999998</v>
      </c>
      <c r="D172" s="10">
        <f>'A) Base RI'!W172</f>
        <v>-352806.21</v>
      </c>
      <c r="E172" s="32">
        <f>'A) Base RI'!X172</f>
        <v>0</v>
      </c>
      <c r="F172" s="32">
        <f>'A) Base RI'!Y172</f>
        <v>-207.4</v>
      </c>
      <c r="G172" s="2">
        <f t="shared" si="12"/>
        <v>6798511.9399999995</v>
      </c>
      <c r="H172" s="10">
        <f>+'A) Base RI'!E172</f>
        <v>0</v>
      </c>
      <c r="I172" s="10">
        <f>+'A) Base RI'!F172</f>
        <v>32093.62</v>
      </c>
      <c r="J172" s="10">
        <f>+'A) Base RI'!G172+'A) Base RI'!H172+'A) Base RI'!I172</f>
        <v>535680.78</v>
      </c>
      <c r="K172" s="10">
        <f>+'A) Base RI'!J172</f>
        <v>0</v>
      </c>
      <c r="L172" s="10">
        <f>+'A) Base RI'!K172</f>
        <v>504233.7</v>
      </c>
      <c r="M172" s="10">
        <f>+'A) Base RI'!L172</f>
        <v>32719.95</v>
      </c>
      <c r="N172" s="10">
        <f>+'A) Base RI'!R172</f>
        <v>34105.11</v>
      </c>
      <c r="O172" s="10">
        <f t="shared" si="13"/>
        <v>747835.25</v>
      </c>
      <c r="P172" s="10">
        <f>+'A) Base RI'!M172</f>
        <v>747835.25</v>
      </c>
      <c r="Q172" s="35">
        <f>'A) Base RI'!Z172</f>
        <v>1</v>
      </c>
      <c r="R172" s="2">
        <f t="shared" si="14"/>
        <v>8685180.3500000015</v>
      </c>
      <c r="S172" s="34">
        <f>+'A) Base RI'!U172</f>
        <v>75</v>
      </c>
      <c r="T172" s="2">
        <f t="shared" si="15"/>
        <v>7872531.5300000003</v>
      </c>
      <c r="U172" s="2">
        <f t="shared" si="16"/>
        <v>115802.40466666668</v>
      </c>
      <c r="V172" s="10">
        <f>+'A) Base RI'!P172</f>
        <v>197619.3</v>
      </c>
      <c r="W172" s="10">
        <f>+'A) Base RI'!Q172</f>
        <v>509690.55</v>
      </c>
      <c r="X172" s="10">
        <f>+'A) Base RI'!S172</f>
        <v>621837.30000000005</v>
      </c>
      <c r="Y172" s="2">
        <f t="shared" si="17"/>
        <v>1329147.1499999999</v>
      </c>
      <c r="Z172" s="10">
        <f>+'A) Base RI'!O172</f>
        <v>155146.65</v>
      </c>
      <c r="AA172" s="10">
        <f>'A) Base RI'!V172</f>
        <v>6185</v>
      </c>
    </row>
    <row r="173" spans="1:27" x14ac:dyDescent="0.25">
      <c r="A173" s="8">
        <f>'A) Base RI'!A173</f>
        <v>5680</v>
      </c>
      <c r="B173" s="33" t="str">
        <f>'A) Base RI'!B173</f>
        <v>Ogens</v>
      </c>
      <c r="C173" s="10">
        <f>'A) Base RI'!C173+'A) Base RI'!D173</f>
        <v>523624.24</v>
      </c>
      <c r="D173" s="10">
        <f>'A) Base RI'!W173</f>
        <v>-82.23</v>
      </c>
      <c r="E173" s="32">
        <f>'A) Base RI'!X173</f>
        <v>0</v>
      </c>
      <c r="F173" s="32">
        <f>'A) Base RI'!Y173</f>
        <v>0</v>
      </c>
      <c r="G173" s="2">
        <f t="shared" si="12"/>
        <v>523542.01</v>
      </c>
      <c r="H173" s="10">
        <f>+'A) Base RI'!E173</f>
        <v>0</v>
      </c>
      <c r="I173" s="10">
        <f>+'A) Base RI'!F173</f>
        <v>0</v>
      </c>
      <c r="J173" s="10">
        <f>+'A) Base RI'!G173+'A) Base RI'!H173+'A) Base RI'!I173</f>
        <v>4274.8100000000004</v>
      </c>
      <c r="K173" s="10">
        <f>+'A) Base RI'!J173</f>
        <v>0</v>
      </c>
      <c r="L173" s="10">
        <f>+'A) Base RI'!K173</f>
        <v>6964.23</v>
      </c>
      <c r="M173" s="10">
        <f>+'A) Base RI'!L173</f>
        <v>55</v>
      </c>
      <c r="N173" s="10">
        <f>+'A) Base RI'!R173</f>
        <v>0</v>
      </c>
      <c r="O173" s="10">
        <f t="shared" si="13"/>
        <v>42714.533333333333</v>
      </c>
      <c r="P173" s="10">
        <f>+'A) Base RI'!M173</f>
        <v>64071.8</v>
      </c>
      <c r="Q173" s="35">
        <f>'A) Base RI'!Z173</f>
        <v>1.5</v>
      </c>
      <c r="R173" s="2">
        <f t="shared" si="14"/>
        <v>577550.58333333337</v>
      </c>
      <c r="S173" s="34">
        <f>+'A) Base RI'!U173</f>
        <v>78</v>
      </c>
      <c r="T173" s="2">
        <f t="shared" si="15"/>
        <v>534781.05000000005</v>
      </c>
      <c r="U173" s="2">
        <f t="shared" si="16"/>
        <v>7404.4946581196582</v>
      </c>
      <c r="V173" s="10">
        <f>+'A) Base RI'!P173</f>
        <v>1697.3</v>
      </c>
      <c r="W173" s="10">
        <f>+'A) Base RI'!Q173</f>
        <v>11623.35</v>
      </c>
      <c r="X173" s="10">
        <f>+'A) Base RI'!S173</f>
        <v>22755.1</v>
      </c>
      <c r="Y173" s="2">
        <f t="shared" si="17"/>
        <v>36075.75</v>
      </c>
      <c r="Z173" s="10">
        <f>+'A) Base RI'!O173</f>
        <v>0</v>
      </c>
      <c r="AA173" s="10">
        <f>'A) Base RI'!V173</f>
        <v>304</v>
      </c>
    </row>
    <row r="174" spans="1:27" x14ac:dyDescent="0.25">
      <c r="A174" s="8">
        <f>'A) Base RI'!A174</f>
        <v>5683</v>
      </c>
      <c r="B174" s="33" t="str">
        <f>'A) Base RI'!B174</f>
        <v>Prévonloup</v>
      </c>
      <c r="C174" s="10">
        <f>'A) Base RI'!C174+'A) Base RI'!D174</f>
        <v>270226.8</v>
      </c>
      <c r="D174" s="10">
        <f>'A) Base RI'!W174</f>
        <v>-17268.87</v>
      </c>
      <c r="E174" s="32">
        <f>'A) Base RI'!X174</f>
        <v>0</v>
      </c>
      <c r="F174" s="32">
        <f>'A) Base RI'!Y174</f>
        <v>0</v>
      </c>
      <c r="G174" s="2">
        <f t="shared" si="12"/>
        <v>252957.93</v>
      </c>
      <c r="H174" s="10">
        <f>+'A) Base RI'!E174</f>
        <v>0</v>
      </c>
      <c r="I174" s="10">
        <f>+'A) Base RI'!F174</f>
        <v>0</v>
      </c>
      <c r="J174" s="10">
        <f>+'A) Base RI'!G174+'A) Base RI'!H174+'A) Base RI'!I174</f>
        <v>6038.54</v>
      </c>
      <c r="K174" s="10">
        <f>+'A) Base RI'!J174</f>
        <v>0</v>
      </c>
      <c r="L174" s="10">
        <f>+'A) Base RI'!K174</f>
        <v>5189.08</v>
      </c>
      <c r="M174" s="10">
        <f>+'A) Base RI'!L174</f>
        <v>65</v>
      </c>
      <c r="N174" s="10">
        <f>+'A) Base RI'!R174</f>
        <v>0</v>
      </c>
      <c r="O174" s="10">
        <f t="shared" si="13"/>
        <v>22586</v>
      </c>
      <c r="P174" s="10">
        <f>+'A) Base RI'!M174</f>
        <v>22586</v>
      </c>
      <c r="Q174" s="35">
        <f>'A) Base RI'!Z174</f>
        <v>1</v>
      </c>
      <c r="R174" s="2">
        <f t="shared" si="14"/>
        <v>286836.55</v>
      </c>
      <c r="S174" s="34">
        <f>+'A) Base RI'!U174</f>
        <v>74</v>
      </c>
      <c r="T174" s="2">
        <f t="shared" si="15"/>
        <v>264185.55</v>
      </c>
      <c r="U174" s="2">
        <f t="shared" si="16"/>
        <v>3876.1695945945944</v>
      </c>
      <c r="V174" s="10">
        <f>+'A) Base RI'!P174</f>
        <v>6298.6</v>
      </c>
      <c r="W174" s="10">
        <f>+'A) Base RI'!Q174</f>
        <v>18607.400000000001</v>
      </c>
      <c r="X174" s="10">
        <f>+'A) Base RI'!S174</f>
        <v>0</v>
      </c>
      <c r="Y174" s="2">
        <f t="shared" si="17"/>
        <v>24906</v>
      </c>
      <c r="Z174" s="10">
        <f>+'A) Base RI'!O174</f>
        <v>0</v>
      </c>
      <c r="AA174" s="10">
        <f>'A) Base RI'!V174</f>
        <v>160</v>
      </c>
    </row>
    <row r="175" spans="1:27" x14ac:dyDescent="0.25">
      <c r="A175" s="8">
        <f>'A) Base RI'!A175</f>
        <v>5684</v>
      </c>
      <c r="B175" s="33" t="str">
        <f>'A) Base RI'!B175</f>
        <v>Rossenges</v>
      </c>
      <c r="C175" s="10">
        <f>'A) Base RI'!C175+'A) Base RI'!D175</f>
        <v>167525.54999999999</v>
      </c>
      <c r="D175" s="10">
        <f>'A) Base RI'!W175</f>
        <v>-11.26</v>
      </c>
      <c r="E175" s="32">
        <f>'A) Base RI'!X175</f>
        <v>0</v>
      </c>
      <c r="F175" s="32">
        <f>'A) Base RI'!Y175</f>
        <v>-6.05</v>
      </c>
      <c r="G175" s="2">
        <f t="shared" si="12"/>
        <v>167508.24</v>
      </c>
      <c r="H175" s="10">
        <f>+'A) Base RI'!E175</f>
        <v>0</v>
      </c>
      <c r="I175" s="10">
        <f>+'A) Base RI'!F175</f>
        <v>0</v>
      </c>
      <c r="J175" s="10">
        <f>+'A) Base RI'!G175+'A) Base RI'!H175+'A) Base RI'!I175</f>
        <v>173.45</v>
      </c>
      <c r="K175" s="10">
        <f>+'A) Base RI'!J175</f>
        <v>0</v>
      </c>
      <c r="L175" s="10">
        <f>+'A) Base RI'!K175</f>
        <v>0</v>
      </c>
      <c r="M175" s="10">
        <f>+'A) Base RI'!L175</f>
        <v>0</v>
      </c>
      <c r="N175" s="10">
        <f>+'A) Base RI'!R175</f>
        <v>0</v>
      </c>
      <c r="O175" s="10">
        <f t="shared" si="13"/>
        <v>8405</v>
      </c>
      <c r="P175" s="10">
        <f>+'A) Base RI'!M175</f>
        <v>6724</v>
      </c>
      <c r="Q175" s="35">
        <f>'A) Base RI'!Z175</f>
        <v>0.8</v>
      </c>
      <c r="R175" s="2">
        <f t="shared" si="14"/>
        <v>176086.69</v>
      </c>
      <c r="S175" s="34">
        <f>+'A) Base RI'!U175</f>
        <v>60</v>
      </c>
      <c r="T175" s="2">
        <f t="shared" si="15"/>
        <v>167681.69</v>
      </c>
      <c r="U175" s="2">
        <f t="shared" si="16"/>
        <v>2934.7781666666665</v>
      </c>
      <c r="V175" s="10">
        <f>+'A) Base RI'!P175</f>
        <v>0</v>
      </c>
      <c r="W175" s="10">
        <f>+'A) Base RI'!Q175</f>
        <v>0</v>
      </c>
      <c r="X175" s="10">
        <f>+'A) Base RI'!S175</f>
        <v>0</v>
      </c>
      <c r="Y175" s="2">
        <f t="shared" si="17"/>
        <v>0</v>
      </c>
      <c r="Z175" s="10">
        <f>+'A) Base RI'!O175</f>
        <v>0</v>
      </c>
      <c r="AA175" s="10">
        <f>'A) Base RI'!V175</f>
        <v>63</v>
      </c>
    </row>
    <row r="176" spans="1:27" x14ac:dyDescent="0.25">
      <c r="A176" s="8">
        <f>'A) Base RI'!A176</f>
        <v>5688</v>
      </c>
      <c r="B176" s="33" t="str">
        <f>'A) Base RI'!B176</f>
        <v>Syens</v>
      </c>
      <c r="C176" s="10">
        <f>'A) Base RI'!C176+'A) Base RI'!D176</f>
        <v>410158.17000000004</v>
      </c>
      <c r="D176" s="10">
        <f>'A) Base RI'!W176</f>
        <v>-1.67</v>
      </c>
      <c r="E176" s="32">
        <f>'A) Base RI'!X176</f>
        <v>0</v>
      </c>
      <c r="F176" s="32">
        <f>'A) Base RI'!Y176</f>
        <v>0</v>
      </c>
      <c r="G176" s="2">
        <f t="shared" si="12"/>
        <v>410156.50000000006</v>
      </c>
      <c r="H176" s="10">
        <f>+'A) Base RI'!E176</f>
        <v>0</v>
      </c>
      <c r="I176" s="10">
        <f>+'A) Base RI'!F176</f>
        <v>0</v>
      </c>
      <c r="J176" s="10">
        <f>+'A) Base RI'!G176+'A) Base RI'!H176+'A) Base RI'!I176</f>
        <v>20784.769999999997</v>
      </c>
      <c r="K176" s="10">
        <f>+'A) Base RI'!J176</f>
        <v>0</v>
      </c>
      <c r="L176" s="10">
        <f>+'A) Base RI'!K176</f>
        <v>5953.31</v>
      </c>
      <c r="M176" s="10">
        <f>+'A) Base RI'!L176</f>
        <v>-788</v>
      </c>
      <c r="N176" s="10">
        <f>+'A) Base RI'!R176</f>
        <v>0</v>
      </c>
      <c r="O176" s="10">
        <f t="shared" si="13"/>
        <v>23517.9</v>
      </c>
      <c r="P176" s="10">
        <f>+'A) Base RI'!M176</f>
        <v>23517.9</v>
      </c>
      <c r="Q176" s="35">
        <f>'A) Base RI'!Z176</f>
        <v>1</v>
      </c>
      <c r="R176" s="2">
        <f t="shared" si="14"/>
        <v>459624.4800000001</v>
      </c>
      <c r="S176" s="34">
        <f>+'A) Base RI'!U176</f>
        <v>75.599999999999994</v>
      </c>
      <c r="T176" s="2">
        <f t="shared" si="15"/>
        <v>436894.58000000007</v>
      </c>
      <c r="U176" s="2">
        <f t="shared" si="16"/>
        <v>6079.6888888888907</v>
      </c>
      <c r="V176" s="10">
        <f>+'A) Base RI'!P176</f>
        <v>0</v>
      </c>
      <c r="W176" s="10">
        <f>+'A) Base RI'!Q176</f>
        <v>21021.8</v>
      </c>
      <c r="X176" s="10">
        <f>+'A) Base RI'!S176</f>
        <v>9861</v>
      </c>
      <c r="Y176" s="2">
        <f t="shared" si="17"/>
        <v>30882.799999999999</v>
      </c>
      <c r="Z176" s="10">
        <f>+'A) Base RI'!O176</f>
        <v>0</v>
      </c>
      <c r="AA176" s="10">
        <f>'A) Base RI'!V176</f>
        <v>150</v>
      </c>
    </row>
    <row r="177" spans="1:27" x14ac:dyDescent="0.25">
      <c r="A177" s="8">
        <f>'A) Base RI'!A177</f>
        <v>5690</v>
      </c>
      <c r="B177" s="33" t="str">
        <f>'A) Base RI'!B177</f>
        <v>Villars-le-Comte</v>
      </c>
      <c r="C177" s="10">
        <f>'A) Base RI'!C177+'A) Base RI'!D177</f>
        <v>228868.34</v>
      </c>
      <c r="D177" s="10">
        <f>'A) Base RI'!W177</f>
        <v>-535.49</v>
      </c>
      <c r="E177" s="32">
        <f>'A) Base RI'!X177</f>
        <v>0</v>
      </c>
      <c r="F177" s="32">
        <f>'A) Base RI'!Y177</f>
        <v>0</v>
      </c>
      <c r="G177" s="2">
        <f t="shared" si="12"/>
        <v>228332.85</v>
      </c>
      <c r="H177" s="10">
        <f>+'A) Base RI'!E177</f>
        <v>0</v>
      </c>
      <c r="I177" s="10">
        <f>+'A) Base RI'!F177</f>
        <v>900</v>
      </c>
      <c r="J177" s="10">
        <f>+'A) Base RI'!G177+'A) Base RI'!H177+'A) Base RI'!I177</f>
        <v>1316.73</v>
      </c>
      <c r="K177" s="10">
        <f>+'A) Base RI'!J177</f>
        <v>0</v>
      </c>
      <c r="L177" s="10">
        <f>+'A) Base RI'!K177</f>
        <v>60.29</v>
      </c>
      <c r="M177" s="10">
        <f>+'A) Base RI'!L177</f>
        <v>184.1</v>
      </c>
      <c r="N177" s="10">
        <f>+'A) Base RI'!R177</f>
        <v>483.44</v>
      </c>
      <c r="O177" s="10">
        <f t="shared" si="13"/>
        <v>19707.291666666668</v>
      </c>
      <c r="P177" s="10">
        <f>+'A) Base RI'!M177</f>
        <v>23648.75</v>
      </c>
      <c r="Q177" s="35">
        <f>'A) Base RI'!Z177</f>
        <v>1.2</v>
      </c>
      <c r="R177" s="2">
        <f t="shared" si="14"/>
        <v>250984.70166666669</v>
      </c>
      <c r="S177" s="34">
        <f>+'A) Base RI'!U177</f>
        <v>70</v>
      </c>
      <c r="T177" s="2">
        <f t="shared" si="15"/>
        <v>230193.31000000003</v>
      </c>
      <c r="U177" s="2">
        <f t="shared" si="16"/>
        <v>3585.4957380952383</v>
      </c>
      <c r="V177" s="10">
        <f>+'A) Base RI'!P177</f>
        <v>288.89999999999998</v>
      </c>
      <c r="W177" s="10">
        <f>+'A) Base RI'!Q177</f>
        <v>8698</v>
      </c>
      <c r="X177" s="10">
        <f>+'A) Base RI'!S177</f>
        <v>14684.7</v>
      </c>
      <c r="Y177" s="2">
        <f t="shared" si="17"/>
        <v>23671.599999999999</v>
      </c>
      <c r="Z177" s="10">
        <f>+'A) Base RI'!O177</f>
        <v>0</v>
      </c>
      <c r="AA177" s="10">
        <f>'A) Base RI'!V177</f>
        <v>142</v>
      </c>
    </row>
    <row r="178" spans="1:27" x14ac:dyDescent="0.25">
      <c r="A178" s="8">
        <f>'A) Base RI'!A178</f>
        <v>5692</v>
      </c>
      <c r="B178" s="33" t="str">
        <f>'A) Base RI'!B178</f>
        <v>Vucherens</v>
      </c>
      <c r="C178" s="10">
        <f>'A) Base RI'!C178+'A) Base RI'!D178</f>
        <v>1273808.0099999998</v>
      </c>
      <c r="D178" s="10">
        <f>'A) Base RI'!W178</f>
        <v>-38256.26</v>
      </c>
      <c r="E178" s="32">
        <f>'A) Base RI'!X178</f>
        <v>0</v>
      </c>
      <c r="F178" s="32">
        <f>'A) Base RI'!Y178</f>
        <v>-305.61</v>
      </c>
      <c r="G178" s="2">
        <f t="shared" si="12"/>
        <v>1235246.1399999997</v>
      </c>
      <c r="H178" s="10">
        <f>+'A) Base RI'!E178</f>
        <v>0</v>
      </c>
      <c r="I178" s="10">
        <f>+'A) Base RI'!F178</f>
        <v>0</v>
      </c>
      <c r="J178" s="10">
        <f>+'A) Base RI'!G178+'A) Base RI'!H178+'A) Base RI'!I178</f>
        <v>9121.31</v>
      </c>
      <c r="K178" s="10">
        <f>+'A) Base RI'!J178</f>
        <v>0</v>
      </c>
      <c r="L178" s="10">
        <f>+'A) Base RI'!K178</f>
        <v>21327.52</v>
      </c>
      <c r="M178" s="10">
        <f>+'A) Base RI'!L178</f>
        <v>427.65</v>
      </c>
      <c r="N178" s="10">
        <f>+'A) Base RI'!R178</f>
        <v>11704.82</v>
      </c>
      <c r="O178" s="10">
        <f t="shared" si="13"/>
        <v>85867</v>
      </c>
      <c r="P178" s="10">
        <f>+'A) Base RI'!M178</f>
        <v>85867</v>
      </c>
      <c r="Q178" s="35">
        <f>'A) Base RI'!Z178</f>
        <v>1</v>
      </c>
      <c r="R178" s="2">
        <f t="shared" si="14"/>
        <v>1363694.4399999997</v>
      </c>
      <c r="S178" s="34">
        <f>+'A) Base RI'!U178</f>
        <v>79</v>
      </c>
      <c r="T178" s="2">
        <f t="shared" si="15"/>
        <v>1277399.7899999998</v>
      </c>
      <c r="U178" s="2">
        <f t="shared" si="16"/>
        <v>17261.954936708858</v>
      </c>
      <c r="V178" s="10">
        <f>+'A) Base RI'!P178</f>
        <v>13919.4</v>
      </c>
      <c r="W178" s="10">
        <f>+'A) Base RI'!Q178</f>
        <v>39343.699999999997</v>
      </c>
      <c r="X178" s="10">
        <f>+'A) Base RI'!S178</f>
        <v>32543.55</v>
      </c>
      <c r="Y178" s="2">
        <f t="shared" si="17"/>
        <v>85806.65</v>
      </c>
      <c r="Z178" s="10">
        <f>+'A) Base RI'!O178</f>
        <v>2838.25</v>
      </c>
      <c r="AA178" s="10">
        <f>'A) Base RI'!V178</f>
        <v>583</v>
      </c>
    </row>
    <row r="179" spans="1:27" x14ac:dyDescent="0.25">
      <c r="A179" s="8">
        <f>'A) Base RI'!A179</f>
        <v>5693</v>
      </c>
      <c r="B179" s="33" t="str">
        <f>'A) Base RI'!B179</f>
        <v>Montanaire</v>
      </c>
      <c r="C179" s="10">
        <f>'A) Base RI'!C179+'A) Base RI'!D179</f>
        <v>4608002.6400000006</v>
      </c>
      <c r="D179" s="10">
        <f>'A) Base RI'!W179</f>
        <v>-73552.210000000006</v>
      </c>
      <c r="E179" s="32">
        <f>'A) Base RI'!X179</f>
        <v>0</v>
      </c>
      <c r="F179" s="32">
        <f>'A) Base RI'!Y179</f>
        <v>-48.91</v>
      </c>
      <c r="G179" s="2">
        <f t="shared" si="12"/>
        <v>4534401.5200000005</v>
      </c>
      <c r="H179" s="10">
        <f>+'A) Base RI'!E179</f>
        <v>0</v>
      </c>
      <c r="I179" s="10">
        <f>+'A) Base RI'!F179</f>
        <v>0</v>
      </c>
      <c r="J179" s="10">
        <f>+'A) Base RI'!G179+'A) Base RI'!H179+'A) Base RI'!I179</f>
        <v>103155.31000000001</v>
      </c>
      <c r="K179" s="10">
        <f>+'A) Base RI'!J179</f>
        <v>0</v>
      </c>
      <c r="L179" s="10">
        <f>+'A) Base RI'!K179</f>
        <v>54016.31</v>
      </c>
      <c r="M179" s="10">
        <f>+'A) Base RI'!L179</f>
        <v>4542.8</v>
      </c>
      <c r="N179" s="10">
        <f>+'A) Base RI'!R179</f>
        <v>16548.990000000002</v>
      </c>
      <c r="O179" s="10">
        <f t="shared" si="13"/>
        <v>339121.4</v>
      </c>
      <c r="P179" s="10">
        <f>+'A) Base RI'!M179</f>
        <v>339121.4</v>
      </c>
      <c r="Q179" s="35">
        <f>'A) Base RI'!Z179</f>
        <v>1</v>
      </c>
      <c r="R179" s="2">
        <f t="shared" si="14"/>
        <v>5051786.33</v>
      </c>
      <c r="S179" s="34">
        <f>+'A) Base RI'!U179</f>
        <v>72</v>
      </c>
      <c r="T179" s="2">
        <f t="shared" si="15"/>
        <v>4708122.13</v>
      </c>
      <c r="U179" s="2">
        <f t="shared" si="16"/>
        <v>70163.69902777778</v>
      </c>
      <c r="V179" s="10">
        <f>+'A) Base RI'!P179</f>
        <v>8265.7000000000007</v>
      </c>
      <c r="W179" s="10">
        <f>+'A) Base RI'!Q179</f>
        <v>228598.39999999999</v>
      </c>
      <c r="X179" s="10">
        <f>+'A) Base RI'!S179</f>
        <v>185304.3</v>
      </c>
      <c r="Y179" s="2">
        <f t="shared" si="17"/>
        <v>422168.4</v>
      </c>
      <c r="Z179" s="10">
        <f>+'A) Base RI'!O179</f>
        <v>57935.15</v>
      </c>
      <c r="AA179" s="10">
        <f>'A) Base RI'!V179</f>
        <v>2606</v>
      </c>
    </row>
    <row r="180" spans="1:27" x14ac:dyDescent="0.25">
      <c r="A180" s="8">
        <f>'A) Base RI'!A180</f>
        <v>5701</v>
      </c>
      <c r="B180" s="33" t="str">
        <f>'A) Base RI'!B180</f>
        <v>Arnex-sur-Nyon</v>
      </c>
      <c r="C180" s="10">
        <f>'A) Base RI'!C180+'A) Base RI'!D180</f>
        <v>789980.38</v>
      </c>
      <c r="D180" s="10">
        <f>'A) Base RI'!W180</f>
        <v>-2579.6</v>
      </c>
      <c r="E180" s="32">
        <f>'A) Base RI'!X180</f>
        <v>0</v>
      </c>
      <c r="F180" s="32">
        <f>'A) Base RI'!Y180</f>
        <v>-126.35</v>
      </c>
      <c r="G180" s="2">
        <f t="shared" si="12"/>
        <v>787274.43</v>
      </c>
      <c r="H180" s="10">
        <f>+'A) Base RI'!E180</f>
        <v>0</v>
      </c>
      <c r="I180" s="10">
        <f>+'A) Base RI'!F180</f>
        <v>0</v>
      </c>
      <c r="J180" s="10">
        <f>+'A) Base RI'!G180+'A) Base RI'!H180+'A) Base RI'!I180</f>
        <v>16171.859999999999</v>
      </c>
      <c r="K180" s="10">
        <f>+'A) Base RI'!J180</f>
        <v>162607.29999999999</v>
      </c>
      <c r="L180" s="10">
        <f>+'A) Base RI'!K180</f>
        <v>-19691.87</v>
      </c>
      <c r="M180" s="10">
        <f>+'A) Base RI'!L180</f>
        <v>315</v>
      </c>
      <c r="N180" s="10">
        <f>+'A) Base RI'!R180</f>
        <v>5062.01</v>
      </c>
      <c r="O180" s="10">
        <f t="shared" si="13"/>
        <v>62275.4</v>
      </c>
      <c r="P180" s="10">
        <f>+'A) Base RI'!M180</f>
        <v>62275.4</v>
      </c>
      <c r="Q180" s="35">
        <f>'A) Base RI'!Z180</f>
        <v>1</v>
      </c>
      <c r="R180" s="2">
        <f t="shared" si="14"/>
        <v>1014014.1300000001</v>
      </c>
      <c r="S180" s="34">
        <f>+'A) Base RI'!U180</f>
        <v>70</v>
      </c>
      <c r="T180" s="2">
        <f t="shared" si="15"/>
        <v>951423.7300000001</v>
      </c>
      <c r="U180" s="2">
        <f t="shared" si="16"/>
        <v>14485.916142857144</v>
      </c>
      <c r="V180" s="10">
        <f>+'A) Base RI'!P180</f>
        <v>0</v>
      </c>
      <c r="W180" s="10">
        <f>+'A) Base RI'!Q180</f>
        <v>7582.65</v>
      </c>
      <c r="X180" s="10">
        <f>+'A) Base RI'!S180</f>
        <v>24782</v>
      </c>
      <c r="Y180" s="2">
        <f t="shared" si="17"/>
        <v>32364.65</v>
      </c>
      <c r="Z180" s="10">
        <f>+'A) Base RI'!O180</f>
        <v>0</v>
      </c>
      <c r="AA180" s="10">
        <f>'A) Base RI'!V180</f>
        <v>224</v>
      </c>
    </row>
    <row r="181" spans="1:27" x14ac:dyDescent="0.25">
      <c r="A181" s="8">
        <f>'A) Base RI'!A181</f>
        <v>5702</v>
      </c>
      <c r="B181" s="33" t="str">
        <f>'A) Base RI'!B181</f>
        <v>Arzier-Le Muids</v>
      </c>
      <c r="C181" s="10">
        <f>'A) Base RI'!C181+'A) Base RI'!D181</f>
        <v>8731917.3100000005</v>
      </c>
      <c r="D181" s="10">
        <f>'A) Base RI'!W181</f>
        <v>-153813.23000000001</v>
      </c>
      <c r="E181" s="32">
        <f>'A) Base RI'!X181</f>
        <v>0</v>
      </c>
      <c r="F181" s="32">
        <f>'A) Base RI'!Y181</f>
        <v>-4384.04</v>
      </c>
      <c r="G181" s="2">
        <f t="shared" si="12"/>
        <v>8573720.040000001</v>
      </c>
      <c r="H181" s="10">
        <f>+'A) Base RI'!E181</f>
        <v>0</v>
      </c>
      <c r="I181" s="10">
        <f>+'A) Base RI'!F181</f>
        <v>0</v>
      </c>
      <c r="J181" s="10">
        <f>+'A) Base RI'!G181+'A) Base RI'!H181+'A) Base RI'!I181</f>
        <v>91778.07</v>
      </c>
      <c r="K181" s="10">
        <f>+'A) Base RI'!J181</f>
        <v>343031.4</v>
      </c>
      <c r="L181" s="10">
        <f>+'A) Base RI'!K181</f>
        <v>210282.67</v>
      </c>
      <c r="M181" s="10">
        <f>+'A) Base RI'!L181</f>
        <v>15823.5</v>
      </c>
      <c r="N181" s="10">
        <f>+'A) Base RI'!R181</f>
        <v>12040.32</v>
      </c>
      <c r="O181" s="10">
        <f t="shared" si="13"/>
        <v>708818.9</v>
      </c>
      <c r="P181" s="10">
        <f>+'A) Base RI'!M181</f>
        <v>1063228.3500000001</v>
      </c>
      <c r="Q181" s="35">
        <f>'A) Base RI'!Z181</f>
        <v>1.5</v>
      </c>
      <c r="R181" s="2">
        <f t="shared" si="14"/>
        <v>9955494.9000000022</v>
      </c>
      <c r="S181" s="34">
        <f>+'A) Base RI'!U181</f>
        <v>64</v>
      </c>
      <c r="T181" s="2">
        <f t="shared" si="15"/>
        <v>9230852.5000000019</v>
      </c>
      <c r="U181" s="2">
        <f t="shared" si="16"/>
        <v>155554.60781250003</v>
      </c>
      <c r="V181" s="10">
        <f>+'A) Base RI'!P181</f>
        <v>17699.900000000001</v>
      </c>
      <c r="W181" s="10">
        <f>+'A) Base RI'!Q181</f>
        <v>739142.5</v>
      </c>
      <c r="X181" s="10">
        <f>+'A) Base RI'!S181</f>
        <v>379058.65</v>
      </c>
      <c r="Y181" s="2">
        <f t="shared" si="17"/>
        <v>1135901.05</v>
      </c>
      <c r="Z181" s="10">
        <f>+'A) Base RI'!O181</f>
        <v>59677.1</v>
      </c>
      <c r="AA181" s="10">
        <f>'A) Base RI'!V181</f>
        <v>2653</v>
      </c>
    </row>
    <row r="182" spans="1:27" x14ac:dyDescent="0.25">
      <c r="A182" s="8">
        <f>'A) Base RI'!A182</f>
        <v>5703</v>
      </c>
      <c r="B182" s="33" t="str">
        <f>'A) Base RI'!B182</f>
        <v>Bassins</v>
      </c>
      <c r="C182" s="10">
        <f>'A) Base RI'!C182+'A) Base RI'!D182</f>
        <v>3836058.88</v>
      </c>
      <c r="D182" s="10">
        <f>'A) Base RI'!W182</f>
        <v>-59283.93</v>
      </c>
      <c r="E182" s="32">
        <f>'A) Base RI'!X182</f>
        <v>0</v>
      </c>
      <c r="F182" s="32">
        <f>'A) Base RI'!Y182</f>
        <v>-111.72</v>
      </c>
      <c r="G182" s="2">
        <f t="shared" si="12"/>
        <v>3776663.2299999995</v>
      </c>
      <c r="H182" s="10">
        <f>+'A) Base RI'!E182</f>
        <v>0</v>
      </c>
      <c r="I182" s="10">
        <f>+'A) Base RI'!F182</f>
        <v>0</v>
      </c>
      <c r="J182" s="10">
        <f>+'A) Base RI'!G182+'A) Base RI'!H182+'A) Base RI'!I182</f>
        <v>12970</v>
      </c>
      <c r="K182" s="10">
        <f>+'A) Base RI'!J182</f>
        <v>31009.9</v>
      </c>
      <c r="L182" s="10">
        <f>+'A) Base RI'!K182</f>
        <v>69004.45</v>
      </c>
      <c r="M182" s="10">
        <f>+'A) Base RI'!L182</f>
        <v>725.55</v>
      </c>
      <c r="N182" s="10">
        <f>+'A) Base RI'!R182</f>
        <v>9434.24</v>
      </c>
      <c r="O182" s="10">
        <f t="shared" si="13"/>
        <v>290056.67857142858</v>
      </c>
      <c r="P182" s="10">
        <f>+'A) Base RI'!M182</f>
        <v>406079.35</v>
      </c>
      <c r="Q182" s="35">
        <f>'A) Base RI'!Z182</f>
        <v>1.4</v>
      </c>
      <c r="R182" s="2">
        <f t="shared" si="14"/>
        <v>4189864.0485714283</v>
      </c>
      <c r="S182" s="34">
        <f>+'A) Base RI'!U182</f>
        <v>74</v>
      </c>
      <c r="T182" s="2">
        <f t="shared" si="15"/>
        <v>3899081.82</v>
      </c>
      <c r="U182" s="2">
        <f t="shared" si="16"/>
        <v>56619.784440154435</v>
      </c>
      <c r="V182" s="10">
        <f>+'A) Base RI'!P182</f>
        <v>83558.899999999994</v>
      </c>
      <c r="W182" s="10">
        <f>+'A) Base RI'!Q182</f>
        <v>208730.7</v>
      </c>
      <c r="X182" s="10">
        <f>+'A) Base RI'!S182</f>
        <v>115535.85</v>
      </c>
      <c r="Y182" s="2">
        <f t="shared" si="17"/>
        <v>407825.44999999995</v>
      </c>
      <c r="Z182" s="10">
        <f>+'A) Base RI'!O182</f>
        <v>30853.25</v>
      </c>
      <c r="AA182" s="10">
        <f>'A) Base RI'!V182</f>
        <v>1356</v>
      </c>
    </row>
    <row r="183" spans="1:27" x14ac:dyDescent="0.25">
      <c r="A183" s="8">
        <f>'A) Base RI'!A183</f>
        <v>5704</v>
      </c>
      <c r="B183" s="33" t="str">
        <f>'A) Base RI'!B183</f>
        <v>Begnins</v>
      </c>
      <c r="C183" s="10">
        <f>'A) Base RI'!C183+'A) Base RI'!D183</f>
        <v>7546833.7100000009</v>
      </c>
      <c r="D183" s="10">
        <f>'A) Base RI'!W183</f>
        <v>-65401.7</v>
      </c>
      <c r="E183" s="32">
        <f>'A) Base RI'!X183</f>
        <v>0</v>
      </c>
      <c r="F183" s="32">
        <f>'A) Base RI'!Y183</f>
        <v>-26880.61</v>
      </c>
      <c r="G183" s="2">
        <f t="shared" si="12"/>
        <v>7454551.4000000004</v>
      </c>
      <c r="H183" s="10">
        <f>+'A) Base RI'!E183</f>
        <v>0</v>
      </c>
      <c r="I183" s="10">
        <f>+'A) Base RI'!F183</f>
        <v>0</v>
      </c>
      <c r="J183" s="10">
        <f>+'A) Base RI'!G183+'A) Base RI'!H183+'A) Base RI'!I183</f>
        <v>104753.64000000001</v>
      </c>
      <c r="K183" s="10">
        <f>+'A) Base RI'!J183</f>
        <v>347197.4</v>
      </c>
      <c r="L183" s="10">
        <f>+'A) Base RI'!K183</f>
        <v>144270.57999999999</v>
      </c>
      <c r="M183" s="10">
        <f>+'A) Base RI'!L183</f>
        <v>11027.1</v>
      </c>
      <c r="N183" s="10">
        <f>+'A) Base RI'!R183</f>
        <v>5370.89</v>
      </c>
      <c r="O183" s="10">
        <f t="shared" si="13"/>
        <v>454007.60000000003</v>
      </c>
      <c r="P183" s="10">
        <f>+'A) Base RI'!M183</f>
        <v>681011.4</v>
      </c>
      <c r="Q183" s="35">
        <f>'A) Base RI'!Z183</f>
        <v>1.5</v>
      </c>
      <c r="R183" s="2">
        <f t="shared" si="14"/>
        <v>8521178.6099999994</v>
      </c>
      <c r="S183" s="34">
        <f>+'A) Base RI'!U183</f>
        <v>67</v>
      </c>
      <c r="T183" s="2">
        <f t="shared" si="15"/>
        <v>8056143.9100000001</v>
      </c>
      <c r="U183" s="2">
        <f t="shared" si="16"/>
        <v>127181.77029850746</v>
      </c>
      <c r="V183" s="10">
        <f>+'A) Base RI'!P183</f>
        <v>48913.599999999999</v>
      </c>
      <c r="W183" s="10">
        <f>+'A) Base RI'!Q183</f>
        <v>574413.19999999995</v>
      </c>
      <c r="X183" s="10">
        <f>+'A) Base RI'!S183</f>
        <v>256668</v>
      </c>
      <c r="Y183" s="2">
        <f t="shared" si="17"/>
        <v>879994.79999999993</v>
      </c>
      <c r="Z183" s="10">
        <f>+'A) Base RI'!O183</f>
        <v>52344.800000000003</v>
      </c>
      <c r="AA183" s="10">
        <f>'A) Base RI'!V183</f>
        <v>1910</v>
      </c>
    </row>
    <row r="184" spans="1:27" x14ac:dyDescent="0.25">
      <c r="A184" s="8">
        <f>'A) Base RI'!A184</f>
        <v>5705</v>
      </c>
      <c r="B184" s="33" t="str">
        <f>'A) Base RI'!B184</f>
        <v>Bogis-Bossey</v>
      </c>
      <c r="C184" s="10">
        <f>'A) Base RI'!C184+'A) Base RI'!D184</f>
        <v>3593156.3</v>
      </c>
      <c r="D184" s="10">
        <f>'A) Base RI'!W184</f>
        <v>9810.83</v>
      </c>
      <c r="E184" s="32">
        <f>'A) Base RI'!X184</f>
        <v>0</v>
      </c>
      <c r="F184" s="32">
        <f>'A) Base RI'!Y184</f>
        <v>-2106.69</v>
      </c>
      <c r="G184" s="2">
        <f t="shared" si="12"/>
        <v>3600860.44</v>
      </c>
      <c r="H184" s="10">
        <f>+'A) Base RI'!E184</f>
        <v>0</v>
      </c>
      <c r="I184" s="10">
        <f>+'A) Base RI'!F184</f>
        <v>0</v>
      </c>
      <c r="J184" s="10">
        <f>+'A) Base RI'!G184+'A) Base RI'!H184+'A) Base RI'!I184</f>
        <v>13927.79</v>
      </c>
      <c r="K184" s="10">
        <f>+'A) Base RI'!J184</f>
        <v>24013.45</v>
      </c>
      <c r="L184" s="10">
        <f>+'A) Base RI'!K184</f>
        <v>-9048.5499999999993</v>
      </c>
      <c r="M184" s="10">
        <f>+'A) Base RI'!L184</f>
        <v>9030.75</v>
      </c>
      <c r="N184" s="10">
        <f>+'A) Base RI'!R184</f>
        <v>249.18</v>
      </c>
      <c r="O184" s="10">
        <f t="shared" si="13"/>
        <v>208583.65</v>
      </c>
      <c r="P184" s="10">
        <f>+'A) Base RI'!M184</f>
        <v>208583.65</v>
      </c>
      <c r="Q184" s="35">
        <f>'A) Base RI'!Z184</f>
        <v>1</v>
      </c>
      <c r="R184" s="2">
        <f t="shared" si="14"/>
        <v>3847616.7100000004</v>
      </c>
      <c r="S184" s="34">
        <f>+'A) Base RI'!U184</f>
        <v>70</v>
      </c>
      <c r="T184" s="2">
        <f t="shared" si="15"/>
        <v>3630002.3100000005</v>
      </c>
      <c r="U184" s="2">
        <f t="shared" si="16"/>
        <v>54965.953000000009</v>
      </c>
      <c r="V184" s="10">
        <f>+'A) Base RI'!P184</f>
        <v>0</v>
      </c>
      <c r="W184" s="10">
        <f>+'A) Base RI'!Q184</f>
        <v>128713.35</v>
      </c>
      <c r="X184" s="10">
        <f>+'A) Base RI'!S184</f>
        <v>55009.45</v>
      </c>
      <c r="Y184" s="2">
        <f t="shared" si="17"/>
        <v>183722.8</v>
      </c>
      <c r="Z184" s="10">
        <f>+'A) Base RI'!O184</f>
        <v>31710.05</v>
      </c>
      <c r="AA184" s="10">
        <f>'A) Base RI'!V184</f>
        <v>893</v>
      </c>
    </row>
    <row r="185" spans="1:27" x14ac:dyDescent="0.25">
      <c r="A185" s="8">
        <f>'A) Base RI'!A185</f>
        <v>5706</v>
      </c>
      <c r="B185" s="33" t="str">
        <f>'A) Base RI'!B185</f>
        <v>Borex</v>
      </c>
      <c r="C185" s="10">
        <f>'A) Base RI'!C185+'A) Base RI'!D185</f>
        <v>3775535.31</v>
      </c>
      <c r="D185" s="10">
        <f>'A) Base RI'!W185</f>
        <v>-4371</v>
      </c>
      <c r="E185" s="32">
        <f>'A) Base RI'!X185</f>
        <v>0</v>
      </c>
      <c r="F185" s="32">
        <f>'A) Base RI'!Y185</f>
        <v>-3038.36</v>
      </c>
      <c r="G185" s="2">
        <f t="shared" si="12"/>
        <v>3768125.95</v>
      </c>
      <c r="H185" s="10">
        <f>+'A) Base RI'!E185</f>
        <v>0</v>
      </c>
      <c r="I185" s="10">
        <f>+'A) Base RI'!F185</f>
        <v>0</v>
      </c>
      <c r="J185" s="10">
        <f>+'A) Base RI'!G185+'A) Base RI'!H185+'A) Base RI'!I185</f>
        <v>5874.6900000000005</v>
      </c>
      <c r="K185" s="10">
        <f>+'A) Base RI'!J185</f>
        <v>-7735.75</v>
      </c>
      <c r="L185" s="10">
        <f>+'A) Base RI'!K185</f>
        <v>149570.38</v>
      </c>
      <c r="M185" s="10">
        <f>+'A) Base RI'!L185</f>
        <v>2095</v>
      </c>
      <c r="N185" s="10">
        <f>+'A) Base RI'!R185</f>
        <v>2183.56</v>
      </c>
      <c r="O185" s="10">
        <f t="shared" si="13"/>
        <v>247595.86666666667</v>
      </c>
      <c r="P185" s="10">
        <f>+'A) Base RI'!M185</f>
        <v>371393.8</v>
      </c>
      <c r="Q185" s="35">
        <f>'A) Base RI'!Z185</f>
        <v>1.5</v>
      </c>
      <c r="R185" s="2">
        <f t="shared" si="14"/>
        <v>4167709.6966666668</v>
      </c>
      <c r="S185" s="34">
        <f>+'A) Base RI'!U185</f>
        <v>58</v>
      </c>
      <c r="T185" s="2">
        <f t="shared" si="15"/>
        <v>3918018.83</v>
      </c>
      <c r="U185" s="2">
        <f t="shared" si="16"/>
        <v>71857.063735632182</v>
      </c>
      <c r="V185" s="10">
        <f>+'A) Base RI'!P185</f>
        <v>0</v>
      </c>
      <c r="W185" s="10">
        <f>+'A) Base RI'!Q185</f>
        <v>175420.95</v>
      </c>
      <c r="X185" s="10">
        <f>+'A) Base RI'!S185</f>
        <v>180488.55</v>
      </c>
      <c r="Y185" s="2">
        <f t="shared" si="17"/>
        <v>355909.5</v>
      </c>
      <c r="Z185" s="10">
        <f>+'A) Base RI'!O185</f>
        <v>7454.75</v>
      </c>
      <c r="AA185" s="10">
        <f>'A) Base RI'!V185</f>
        <v>1126</v>
      </c>
    </row>
    <row r="186" spans="1:27" x14ac:dyDescent="0.25">
      <c r="A186" s="8">
        <f>'A) Base RI'!A186</f>
        <v>5707</v>
      </c>
      <c r="B186" s="33" t="str">
        <f>'A) Base RI'!B186</f>
        <v>Chavannes-de-Bogis</v>
      </c>
      <c r="C186" s="10">
        <f>'A) Base RI'!C186+'A) Base RI'!D186</f>
        <v>4104842.78</v>
      </c>
      <c r="D186" s="10">
        <f>'A) Base RI'!W186</f>
        <v>-11406.83</v>
      </c>
      <c r="E186" s="32">
        <f>'A) Base RI'!X186</f>
        <v>0</v>
      </c>
      <c r="F186" s="32">
        <f>'A) Base RI'!Y186</f>
        <v>-412.19</v>
      </c>
      <c r="G186" s="2">
        <f t="shared" si="12"/>
        <v>4093023.76</v>
      </c>
      <c r="H186" s="10">
        <f>+'A) Base RI'!E186</f>
        <v>0</v>
      </c>
      <c r="I186" s="10">
        <f>+'A) Base RI'!F186</f>
        <v>0</v>
      </c>
      <c r="J186" s="10">
        <f>+'A) Base RI'!G186+'A) Base RI'!H186+'A) Base RI'!I186</f>
        <v>211720.78</v>
      </c>
      <c r="K186" s="10">
        <f>+'A) Base RI'!J186</f>
        <v>65487.75</v>
      </c>
      <c r="L186" s="10">
        <f>+'A) Base RI'!K186</f>
        <v>80914.27</v>
      </c>
      <c r="M186" s="10">
        <f>+'A) Base RI'!L186</f>
        <v>53277.9</v>
      </c>
      <c r="N186" s="10">
        <f>+'A) Base RI'!R186</f>
        <v>239.11</v>
      </c>
      <c r="O186" s="10">
        <f t="shared" si="13"/>
        <v>456510.16666666669</v>
      </c>
      <c r="P186" s="10">
        <f>+'A) Base RI'!M186</f>
        <v>684765.25</v>
      </c>
      <c r="Q186" s="35">
        <f>'A) Base RI'!Z186</f>
        <v>1.5</v>
      </c>
      <c r="R186" s="2">
        <f t="shared" si="14"/>
        <v>4961173.7366666673</v>
      </c>
      <c r="S186" s="34">
        <f>+'A) Base RI'!U186</f>
        <v>59</v>
      </c>
      <c r="T186" s="2">
        <f t="shared" si="15"/>
        <v>4451385.67</v>
      </c>
      <c r="U186" s="2">
        <f t="shared" si="16"/>
        <v>84087.690451977411</v>
      </c>
      <c r="V186" s="10">
        <f>+'A) Base RI'!P186</f>
        <v>0</v>
      </c>
      <c r="W186" s="10">
        <f>+'A) Base RI'!Q186</f>
        <v>153278.79999999999</v>
      </c>
      <c r="X186" s="10">
        <f>+'A) Base RI'!S186</f>
        <v>152294.35</v>
      </c>
      <c r="Y186" s="2">
        <f t="shared" si="17"/>
        <v>305573.15000000002</v>
      </c>
      <c r="Z186" s="10">
        <f>+'A) Base RI'!O186</f>
        <v>502784.35</v>
      </c>
      <c r="AA186" s="10">
        <f>'A) Base RI'!V186</f>
        <v>1290</v>
      </c>
    </row>
    <row r="187" spans="1:27" x14ac:dyDescent="0.25">
      <c r="A187" s="8">
        <f>'A) Base RI'!A187</f>
        <v>5708</v>
      </c>
      <c r="B187" s="33" t="str">
        <f>'A) Base RI'!B187</f>
        <v>Chavannes-des-Bois</v>
      </c>
      <c r="C187" s="10">
        <f>'A) Base RI'!C187+'A) Base RI'!D187</f>
        <v>3044337.98</v>
      </c>
      <c r="D187" s="10">
        <f>'A) Base RI'!W187</f>
        <v>-9021.5400000000009</v>
      </c>
      <c r="E187" s="32">
        <f>'A) Base RI'!X187</f>
        <v>0</v>
      </c>
      <c r="F187" s="32">
        <f>'A) Base RI'!Y187</f>
        <v>-295.5</v>
      </c>
      <c r="G187" s="2">
        <f t="shared" si="12"/>
        <v>3035020.94</v>
      </c>
      <c r="H187" s="10">
        <f>+'A) Base RI'!E187</f>
        <v>0</v>
      </c>
      <c r="I187" s="10">
        <f>+'A) Base RI'!F187</f>
        <v>0</v>
      </c>
      <c r="J187" s="10">
        <f>+'A) Base RI'!G187+'A) Base RI'!H187+'A) Base RI'!I187</f>
        <v>8587.880000000001</v>
      </c>
      <c r="K187" s="10">
        <f>+'A) Base RI'!J187</f>
        <v>41192.199999999997</v>
      </c>
      <c r="L187" s="10">
        <f>+'A) Base RI'!K187</f>
        <v>45859.03</v>
      </c>
      <c r="M187" s="10">
        <f>+'A) Base RI'!L187</f>
        <v>14784.15</v>
      </c>
      <c r="N187" s="10">
        <f>+'A) Base RI'!R187</f>
        <v>0</v>
      </c>
      <c r="O187" s="10">
        <f t="shared" si="13"/>
        <v>250326.5</v>
      </c>
      <c r="P187" s="10">
        <f>+'A) Base RI'!M187</f>
        <v>375489.75</v>
      </c>
      <c r="Q187" s="35">
        <f>'A) Base RI'!Z187</f>
        <v>1.5</v>
      </c>
      <c r="R187" s="2">
        <f t="shared" si="14"/>
        <v>3395770.6999999997</v>
      </c>
      <c r="S187" s="34">
        <f>+'A) Base RI'!U187</f>
        <v>59</v>
      </c>
      <c r="T187" s="2">
        <f t="shared" si="15"/>
        <v>3130660.05</v>
      </c>
      <c r="U187" s="2">
        <f t="shared" si="16"/>
        <v>57555.435593220333</v>
      </c>
      <c r="V187" s="10">
        <f>+'A) Base RI'!P187</f>
        <v>0</v>
      </c>
      <c r="W187" s="10">
        <f>+'A) Base RI'!Q187</f>
        <v>144980.04999999999</v>
      </c>
      <c r="X187" s="10">
        <f>+'A) Base RI'!S187</f>
        <v>-49615.6</v>
      </c>
      <c r="Y187" s="2">
        <f t="shared" si="17"/>
        <v>95364.449999999983</v>
      </c>
      <c r="Z187" s="10">
        <f>+'A) Base RI'!O187</f>
        <v>945.8</v>
      </c>
      <c r="AA187" s="10">
        <f>'A) Base RI'!V187</f>
        <v>942</v>
      </c>
    </row>
    <row r="188" spans="1:27" x14ac:dyDescent="0.25">
      <c r="A188" s="8">
        <f>'A) Base RI'!A188</f>
        <v>5709</v>
      </c>
      <c r="B188" s="33" t="str">
        <f>'A) Base RI'!B188</f>
        <v>Chéserex</v>
      </c>
      <c r="C188" s="10">
        <f>'A) Base RI'!C188+'A) Base RI'!D188</f>
        <v>3351946.22</v>
      </c>
      <c r="D188" s="10">
        <f>'A) Base RI'!W188</f>
        <v>-15005.14</v>
      </c>
      <c r="E188" s="32">
        <f>'A) Base RI'!X188</f>
        <v>0</v>
      </c>
      <c r="F188" s="32">
        <f>'A) Base RI'!Y188</f>
        <v>-2178.7399999999998</v>
      </c>
      <c r="G188" s="2">
        <f t="shared" si="12"/>
        <v>3334762.34</v>
      </c>
      <c r="H188" s="10">
        <f>+'A) Base RI'!E188</f>
        <v>0</v>
      </c>
      <c r="I188" s="10">
        <f>+'A) Base RI'!F188</f>
        <v>0</v>
      </c>
      <c r="J188" s="10">
        <f>+'A) Base RI'!G188+'A) Base RI'!H188+'A) Base RI'!I188</f>
        <v>94399.409999999989</v>
      </c>
      <c r="K188" s="10">
        <f>+'A) Base RI'!J188</f>
        <v>504917</v>
      </c>
      <c r="L188" s="10">
        <f>+'A) Base RI'!K188</f>
        <v>93140.81</v>
      </c>
      <c r="M188" s="10">
        <f>+'A) Base RI'!L188</f>
        <v>3043.2</v>
      </c>
      <c r="N188" s="10">
        <f>+'A) Base RI'!R188</f>
        <v>12474.04</v>
      </c>
      <c r="O188" s="10">
        <f t="shared" si="13"/>
        <v>325013.3</v>
      </c>
      <c r="P188" s="10">
        <f>+'A) Base RI'!M188</f>
        <v>325013.3</v>
      </c>
      <c r="Q188" s="35">
        <f>'A) Base RI'!Z188</f>
        <v>1</v>
      </c>
      <c r="R188" s="2">
        <f t="shared" si="14"/>
        <v>4367750.1000000006</v>
      </c>
      <c r="S188" s="34">
        <f>+'A) Base RI'!U188</f>
        <v>57</v>
      </c>
      <c r="T188" s="2">
        <f t="shared" si="15"/>
        <v>4039693.6</v>
      </c>
      <c r="U188" s="2">
        <f t="shared" si="16"/>
        <v>76627.19473684211</v>
      </c>
      <c r="V188" s="10">
        <f>+'A) Base RI'!P188</f>
        <v>1543109.9</v>
      </c>
      <c r="W188" s="10">
        <f>+'A) Base RI'!Q188</f>
        <v>101516.6</v>
      </c>
      <c r="X188" s="10">
        <f>+'A) Base RI'!S188</f>
        <v>18655.900000000001</v>
      </c>
      <c r="Y188" s="2">
        <f t="shared" si="17"/>
        <v>1663282.4</v>
      </c>
      <c r="Z188" s="10">
        <f>+'A) Base RI'!O188</f>
        <v>31415.15</v>
      </c>
      <c r="AA188" s="10">
        <f>'A) Base RI'!V188</f>
        <v>1219</v>
      </c>
    </row>
    <row r="189" spans="1:27" x14ac:dyDescent="0.25">
      <c r="A189" s="8">
        <f>'A) Base RI'!A189</f>
        <v>5710</v>
      </c>
      <c r="B189" s="33" t="str">
        <f>'A) Base RI'!B189</f>
        <v>Coinsins</v>
      </c>
      <c r="C189" s="10">
        <f>'A) Base RI'!C189+'A) Base RI'!D189</f>
        <v>1674728.75</v>
      </c>
      <c r="D189" s="10">
        <f>'A) Base RI'!W189</f>
        <v>-6733.17</v>
      </c>
      <c r="E189" s="32">
        <f>'A) Base RI'!X189</f>
        <v>0</v>
      </c>
      <c r="F189" s="32">
        <f>'A) Base RI'!Y189</f>
        <v>-5194.26</v>
      </c>
      <c r="G189" s="2">
        <f t="shared" si="12"/>
        <v>1662801.32</v>
      </c>
      <c r="H189" s="10">
        <f>+'A) Base RI'!E189</f>
        <v>0</v>
      </c>
      <c r="I189" s="10">
        <f>+'A) Base RI'!F189</f>
        <v>0</v>
      </c>
      <c r="J189" s="10">
        <f>+'A) Base RI'!G189+'A) Base RI'!H189+'A) Base RI'!I189</f>
        <v>3050019.0300000003</v>
      </c>
      <c r="K189" s="10">
        <f>+'A) Base RI'!J189</f>
        <v>67980.399999999994</v>
      </c>
      <c r="L189" s="10">
        <f>+'A) Base RI'!K189</f>
        <v>-148199.64000000001</v>
      </c>
      <c r="M189" s="10">
        <f>+'A) Base RI'!L189</f>
        <v>884.65</v>
      </c>
      <c r="N189" s="10">
        <f>+'A) Base RI'!R189</f>
        <v>-2000.25</v>
      </c>
      <c r="O189" s="10">
        <f t="shared" si="13"/>
        <v>124534.1</v>
      </c>
      <c r="P189" s="10">
        <f>+'A) Base RI'!M189</f>
        <v>124534.1</v>
      </c>
      <c r="Q189" s="35">
        <f>'A) Base RI'!Z189</f>
        <v>1</v>
      </c>
      <c r="R189" s="2">
        <f t="shared" si="14"/>
        <v>4756019.6100000013</v>
      </c>
      <c r="S189" s="34">
        <f>+'A) Base RI'!U189</f>
        <v>51</v>
      </c>
      <c r="T189" s="2">
        <f t="shared" si="15"/>
        <v>4630600.8600000013</v>
      </c>
      <c r="U189" s="2">
        <f t="shared" si="16"/>
        <v>93255.286470588253</v>
      </c>
      <c r="V189" s="10">
        <f>+'A) Base RI'!P189</f>
        <v>0</v>
      </c>
      <c r="W189" s="10">
        <f>+'A) Base RI'!Q189</f>
        <v>94473.5</v>
      </c>
      <c r="X189" s="10">
        <f>+'A) Base RI'!S189</f>
        <v>38670.65</v>
      </c>
      <c r="Y189" s="2">
        <f t="shared" si="17"/>
        <v>133144.15</v>
      </c>
      <c r="Z189" s="10">
        <f>+'A) Base RI'!O189</f>
        <v>68325.600000000006</v>
      </c>
      <c r="AA189" s="10">
        <f>'A) Base RI'!V189</f>
        <v>484</v>
      </c>
    </row>
    <row r="190" spans="1:27" x14ac:dyDescent="0.25">
      <c r="A190" s="8">
        <f>'A) Base RI'!A190</f>
        <v>5711</v>
      </c>
      <c r="B190" s="33" t="str">
        <f>'A) Base RI'!B190</f>
        <v>Commugny</v>
      </c>
      <c r="C190" s="10">
        <f>'A) Base RI'!C190+'A) Base RI'!D190</f>
        <v>13079799.709999999</v>
      </c>
      <c r="D190" s="10">
        <f>'A) Base RI'!W190</f>
        <v>-26805.72</v>
      </c>
      <c r="E190" s="32">
        <f>'A) Base RI'!X190</f>
        <v>0</v>
      </c>
      <c r="F190" s="32">
        <f>'A) Base RI'!Y190</f>
        <v>-46502.91</v>
      </c>
      <c r="G190" s="2">
        <f t="shared" si="12"/>
        <v>13006491.079999998</v>
      </c>
      <c r="H190" s="10">
        <f>+'A) Base RI'!E190</f>
        <v>0</v>
      </c>
      <c r="I190" s="10">
        <f>+'A) Base RI'!F190</f>
        <v>0</v>
      </c>
      <c r="J190" s="10">
        <f>+'A) Base RI'!G190+'A) Base RI'!H190+'A) Base RI'!I190</f>
        <v>60698.16</v>
      </c>
      <c r="K190" s="10">
        <f>+'A) Base RI'!J190</f>
        <v>268640.59999999998</v>
      </c>
      <c r="L190" s="10">
        <f>+'A) Base RI'!K190</f>
        <v>225781.68</v>
      </c>
      <c r="M190" s="10">
        <f>+'A) Base RI'!L190</f>
        <v>13899.65</v>
      </c>
      <c r="N190" s="10">
        <f>+'A) Base RI'!R190</f>
        <v>3510.53</v>
      </c>
      <c r="O190" s="10">
        <f t="shared" si="13"/>
        <v>826308.65384615387</v>
      </c>
      <c r="P190" s="10">
        <f>+'A) Base RI'!M190</f>
        <v>1074201.25</v>
      </c>
      <c r="Q190" s="35">
        <f>'A) Base RI'!Z190</f>
        <v>1.3</v>
      </c>
      <c r="R190" s="2">
        <f t="shared" si="14"/>
        <v>14405330.353846151</v>
      </c>
      <c r="S190" s="34">
        <f>+'A) Base RI'!U190</f>
        <v>57</v>
      </c>
      <c r="T190" s="2">
        <f t="shared" si="15"/>
        <v>13565122.049999997</v>
      </c>
      <c r="U190" s="2">
        <f t="shared" si="16"/>
        <v>252725.09392712548</v>
      </c>
      <c r="V190" s="10">
        <f>+'A) Base RI'!P190</f>
        <v>2511.4499999999998</v>
      </c>
      <c r="W190" s="10">
        <f>+'A) Base RI'!Q190</f>
        <v>533602</v>
      </c>
      <c r="X190" s="10">
        <f>+'A) Base RI'!S190</f>
        <v>523976.85</v>
      </c>
      <c r="Y190" s="2">
        <f t="shared" si="17"/>
        <v>1060090.2999999998</v>
      </c>
      <c r="Z190" s="10">
        <f>+'A) Base RI'!O190</f>
        <v>39037</v>
      </c>
      <c r="AA190" s="10">
        <f>'A) Base RI'!V190</f>
        <v>2858</v>
      </c>
    </row>
    <row r="191" spans="1:27" x14ac:dyDescent="0.25">
      <c r="A191" s="8">
        <f>'A) Base RI'!A191</f>
        <v>5712</v>
      </c>
      <c r="B191" s="33" t="str">
        <f>'A) Base RI'!B191</f>
        <v>Coppet</v>
      </c>
      <c r="C191" s="10">
        <f>'A) Base RI'!C191+'A) Base RI'!D191</f>
        <v>14257758.939999999</v>
      </c>
      <c r="D191" s="10">
        <f>'A) Base RI'!W191</f>
        <v>-61123.09</v>
      </c>
      <c r="E191" s="32">
        <f>'A) Base RI'!X191</f>
        <v>0</v>
      </c>
      <c r="F191" s="32">
        <f>'A) Base RI'!Y191</f>
        <v>-7578.95</v>
      </c>
      <c r="G191" s="2">
        <f t="shared" si="12"/>
        <v>14189056.9</v>
      </c>
      <c r="H191" s="10">
        <f>+'A) Base RI'!E191</f>
        <v>0</v>
      </c>
      <c r="I191" s="10">
        <f>+'A) Base RI'!F191</f>
        <v>0</v>
      </c>
      <c r="J191" s="10">
        <f>+'A) Base RI'!G191+'A) Base RI'!H191+'A) Base RI'!I191</f>
        <v>135462.91</v>
      </c>
      <c r="K191" s="10">
        <f>+'A) Base RI'!J191</f>
        <v>1358856.25</v>
      </c>
      <c r="L191" s="10">
        <f>+'A) Base RI'!K191</f>
        <v>483021.53</v>
      </c>
      <c r="M191" s="10">
        <f>+'A) Base RI'!L191</f>
        <v>21010.25</v>
      </c>
      <c r="N191" s="10">
        <f>+'A) Base RI'!R191</f>
        <v>12552.36</v>
      </c>
      <c r="O191" s="10">
        <f t="shared" si="13"/>
        <v>1028148.0333333333</v>
      </c>
      <c r="P191" s="10">
        <f>+'A) Base RI'!M191</f>
        <v>1542222.05</v>
      </c>
      <c r="Q191" s="35">
        <f>'A) Base RI'!Z191</f>
        <v>1.5</v>
      </c>
      <c r="R191" s="2">
        <f t="shared" si="14"/>
        <v>17228108.233333334</v>
      </c>
      <c r="S191" s="34">
        <f>+'A) Base RI'!U191</f>
        <v>53</v>
      </c>
      <c r="T191" s="2">
        <f t="shared" si="15"/>
        <v>16178949.949999999</v>
      </c>
      <c r="U191" s="2">
        <f t="shared" si="16"/>
        <v>325058.64591194969</v>
      </c>
      <c r="V191" s="10">
        <f>+'A) Base RI'!P191</f>
        <v>536217.35</v>
      </c>
      <c r="W191" s="10">
        <f>+'A) Base RI'!Q191</f>
        <v>1028000.05</v>
      </c>
      <c r="X191" s="10">
        <f>+'A) Base RI'!S191</f>
        <v>595884.80000000005</v>
      </c>
      <c r="Y191" s="2">
        <f t="shared" si="17"/>
        <v>2160102.2000000002</v>
      </c>
      <c r="Z191" s="10">
        <f>+'A) Base RI'!O191</f>
        <v>155045.04999999999</v>
      </c>
      <c r="AA191" s="10">
        <f>'A) Base RI'!V191</f>
        <v>3123</v>
      </c>
    </row>
    <row r="192" spans="1:27" x14ac:dyDescent="0.25">
      <c r="A192" s="8">
        <f>'A) Base RI'!A192</f>
        <v>5713</v>
      </c>
      <c r="B192" s="33" t="str">
        <f>'A) Base RI'!B192</f>
        <v>Crans-près-Céligny</v>
      </c>
      <c r="C192" s="10">
        <f>'A) Base RI'!C192+'A) Base RI'!D192</f>
        <v>11291903.25</v>
      </c>
      <c r="D192" s="10">
        <f>'A) Base RI'!W192</f>
        <v>-42736.82</v>
      </c>
      <c r="E192" s="32">
        <f>'A) Base RI'!X192</f>
        <v>0</v>
      </c>
      <c r="F192" s="32">
        <f>'A) Base RI'!Y192</f>
        <v>-47874.84</v>
      </c>
      <c r="G192" s="2">
        <f t="shared" si="12"/>
        <v>11201291.59</v>
      </c>
      <c r="H192" s="10">
        <f>+'A) Base RI'!E192</f>
        <v>0</v>
      </c>
      <c r="I192" s="10">
        <f>+'A) Base RI'!F192</f>
        <v>0</v>
      </c>
      <c r="J192" s="10">
        <f>+'A) Base RI'!G192+'A) Base RI'!H192+'A) Base RI'!I192</f>
        <v>45579.77</v>
      </c>
      <c r="K192" s="10">
        <f>+'A) Base RI'!J192</f>
        <v>648030.66</v>
      </c>
      <c r="L192" s="10">
        <f>+'A) Base RI'!K192</f>
        <v>4347.24</v>
      </c>
      <c r="M192" s="10">
        <f>+'A) Base RI'!L192</f>
        <v>9069</v>
      </c>
      <c r="N192" s="10">
        <f>+'A) Base RI'!R192</f>
        <v>1354.9</v>
      </c>
      <c r="O192" s="10">
        <f t="shared" si="13"/>
        <v>756395.15</v>
      </c>
      <c r="P192" s="10">
        <f>+'A) Base RI'!M192</f>
        <v>756395.15</v>
      </c>
      <c r="Q192" s="35">
        <f>'A) Base RI'!Z192</f>
        <v>1</v>
      </c>
      <c r="R192" s="2">
        <f t="shared" si="14"/>
        <v>12666068.310000001</v>
      </c>
      <c r="S192" s="34">
        <f>+'A) Base RI'!U192</f>
        <v>53</v>
      </c>
      <c r="T192" s="2">
        <f t="shared" si="15"/>
        <v>11900604.16</v>
      </c>
      <c r="U192" s="2">
        <f t="shared" si="16"/>
        <v>238982.42094339622</v>
      </c>
      <c r="V192" s="10">
        <f>+'A) Base RI'!P192</f>
        <v>1624.2</v>
      </c>
      <c r="W192" s="10">
        <f>+'A) Base RI'!Q192</f>
        <v>471274.55</v>
      </c>
      <c r="X192" s="10">
        <f>+'A) Base RI'!S192</f>
        <v>505588.75</v>
      </c>
      <c r="Y192" s="2">
        <f t="shared" si="17"/>
        <v>978487.5</v>
      </c>
      <c r="Z192" s="10">
        <f>+'A) Base RI'!O192</f>
        <v>26286.5</v>
      </c>
      <c r="AA192" s="10">
        <f>'A) Base RI'!V192</f>
        <v>2177</v>
      </c>
    </row>
    <row r="193" spans="1:27" x14ac:dyDescent="0.25">
      <c r="A193" s="8">
        <f>'A) Base RI'!A193</f>
        <v>5714</v>
      </c>
      <c r="B193" s="33" t="str">
        <f>'A) Base RI'!B193</f>
        <v>Crassier</v>
      </c>
      <c r="C193" s="10">
        <f>'A) Base RI'!C193+'A) Base RI'!D193</f>
        <v>4666272.25</v>
      </c>
      <c r="D193" s="10">
        <f>'A) Base RI'!W193</f>
        <v>-7513.31</v>
      </c>
      <c r="E193" s="32">
        <f>'A) Base RI'!X193</f>
        <v>0</v>
      </c>
      <c r="F193" s="32">
        <f>'A) Base RI'!Y193</f>
        <v>-1506.98</v>
      </c>
      <c r="G193" s="2">
        <f t="shared" si="12"/>
        <v>4657251.96</v>
      </c>
      <c r="H193" s="10">
        <f>+'A) Base RI'!E193</f>
        <v>0</v>
      </c>
      <c r="I193" s="10">
        <f>+'A) Base RI'!F193</f>
        <v>0</v>
      </c>
      <c r="J193" s="10">
        <f>+'A) Base RI'!G193+'A) Base RI'!H193+'A) Base RI'!I193</f>
        <v>101238.81</v>
      </c>
      <c r="K193" s="10">
        <f>+'A) Base RI'!J193</f>
        <v>109269.99</v>
      </c>
      <c r="L193" s="10">
        <f>+'A) Base RI'!K193</f>
        <v>62704.79</v>
      </c>
      <c r="M193" s="10">
        <f>+'A) Base RI'!L193</f>
        <v>5548</v>
      </c>
      <c r="N193" s="10">
        <f>+'A) Base RI'!R193</f>
        <v>4417.63</v>
      </c>
      <c r="O193" s="10">
        <f t="shared" si="13"/>
        <v>267844.3</v>
      </c>
      <c r="P193" s="10">
        <f>+'A) Base RI'!M193</f>
        <v>267844.3</v>
      </c>
      <c r="Q193" s="35">
        <f>'A) Base RI'!Z193</f>
        <v>1</v>
      </c>
      <c r="R193" s="2">
        <f t="shared" si="14"/>
        <v>5208275.4799999995</v>
      </c>
      <c r="S193" s="34">
        <f>+'A) Base RI'!U193</f>
        <v>64</v>
      </c>
      <c r="T193" s="2">
        <f t="shared" si="15"/>
        <v>4934883.18</v>
      </c>
      <c r="U193" s="2">
        <f t="shared" si="16"/>
        <v>81379.304374999992</v>
      </c>
      <c r="V193" s="10">
        <f>+'A) Base RI'!P193</f>
        <v>287460.84999999998</v>
      </c>
      <c r="W193" s="10">
        <f>+'A) Base RI'!Q193</f>
        <v>97715.6</v>
      </c>
      <c r="X193" s="10">
        <f>+'A) Base RI'!S193</f>
        <v>59593.45</v>
      </c>
      <c r="Y193" s="2">
        <f t="shared" si="17"/>
        <v>444769.89999999997</v>
      </c>
      <c r="Z193" s="10">
        <f>+'A) Base RI'!O193</f>
        <v>73600.649999999994</v>
      </c>
      <c r="AA193" s="10">
        <f>'A) Base RI'!V193</f>
        <v>1161</v>
      </c>
    </row>
    <row r="194" spans="1:27" x14ac:dyDescent="0.25">
      <c r="A194" s="8">
        <f>'A) Base RI'!A194</f>
        <v>5715</v>
      </c>
      <c r="B194" s="33" t="str">
        <f>'A) Base RI'!B194</f>
        <v>Duillier</v>
      </c>
      <c r="C194" s="10">
        <f>'A) Base RI'!C194+'A) Base RI'!D194</f>
        <v>3553596.31</v>
      </c>
      <c r="D194" s="10">
        <f>'A) Base RI'!W194</f>
        <v>-45487.27</v>
      </c>
      <c r="E194" s="32">
        <f>'A) Base RI'!X194</f>
        <v>0</v>
      </c>
      <c r="F194" s="32">
        <f>'A) Base RI'!Y194</f>
        <v>-3425.79</v>
      </c>
      <c r="G194" s="2">
        <f t="shared" si="12"/>
        <v>3504683.25</v>
      </c>
      <c r="H194" s="10">
        <f>+'A) Base RI'!E194</f>
        <v>0</v>
      </c>
      <c r="I194" s="10">
        <f>+'A) Base RI'!F194</f>
        <v>0</v>
      </c>
      <c r="J194" s="10">
        <f>+'A) Base RI'!G194+'A) Base RI'!H194+'A) Base RI'!I194</f>
        <v>32943.399999999994</v>
      </c>
      <c r="K194" s="10">
        <f>+'A) Base RI'!J194</f>
        <v>32824.75</v>
      </c>
      <c r="L194" s="10">
        <f>+'A) Base RI'!K194</f>
        <v>81903.16</v>
      </c>
      <c r="M194" s="10">
        <f>+'A) Base RI'!L194</f>
        <v>4225</v>
      </c>
      <c r="N194" s="10">
        <f>+'A) Base RI'!R194</f>
        <v>539.71</v>
      </c>
      <c r="O194" s="10">
        <f t="shared" si="13"/>
        <v>251456.85</v>
      </c>
      <c r="P194" s="10">
        <f>+'A) Base RI'!M194</f>
        <v>251456.85</v>
      </c>
      <c r="Q194" s="35">
        <f>'A) Base RI'!Z194</f>
        <v>1</v>
      </c>
      <c r="R194" s="2">
        <f t="shared" si="14"/>
        <v>3908576.12</v>
      </c>
      <c r="S194" s="34">
        <f>+'A) Base RI'!U194</f>
        <v>66</v>
      </c>
      <c r="T194" s="2">
        <f t="shared" si="15"/>
        <v>3652894.27</v>
      </c>
      <c r="U194" s="2">
        <f t="shared" si="16"/>
        <v>59220.850303030304</v>
      </c>
      <c r="V194" s="10">
        <f>+'A) Base RI'!P194</f>
        <v>0</v>
      </c>
      <c r="W194" s="10">
        <f>+'A) Base RI'!Q194</f>
        <v>81294.399999999994</v>
      </c>
      <c r="X194" s="10">
        <f>+'A) Base RI'!S194</f>
        <v>43048.9</v>
      </c>
      <c r="Y194" s="2">
        <f t="shared" si="17"/>
        <v>124343.29999999999</v>
      </c>
      <c r="Z194" s="10">
        <f>+'A) Base RI'!O194</f>
        <v>38202.800000000003</v>
      </c>
      <c r="AA194" s="10">
        <f>'A) Base RI'!V194</f>
        <v>1078</v>
      </c>
    </row>
    <row r="195" spans="1:27" x14ac:dyDescent="0.25">
      <c r="A195" s="8">
        <f>'A) Base RI'!A195</f>
        <v>5716</v>
      </c>
      <c r="B195" s="33" t="str">
        <f>'A) Base RI'!B195</f>
        <v>Eysins</v>
      </c>
      <c r="C195" s="10">
        <f>'A) Base RI'!C195+'A) Base RI'!D195</f>
        <v>4249890.0599999996</v>
      </c>
      <c r="D195" s="10">
        <f>'A) Base RI'!W195</f>
        <v>-28247.25</v>
      </c>
      <c r="E195" s="32">
        <f>'A) Base RI'!X195</f>
        <v>0</v>
      </c>
      <c r="F195" s="32">
        <f>'A) Base RI'!Y195</f>
        <v>-188.49</v>
      </c>
      <c r="G195" s="2">
        <f t="shared" si="12"/>
        <v>4221454.3199999994</v>
      </c>
      <c r="H195" s="10">
        <f>+'A) Base RI'!E195</f>
        <v>0</v>
      </c>
      <c r="I195" s="10">
        <f>+'A) Base RI'!F195</f>
        <v>0</v>
      </c>
      <c r="J195" s="10">
        <f>+'A) Base RI'!G195+'A) Base RI'!H195+'A) Base RI'!I195</f>
        <v>2641927.9499999997</v>
      </c>
      <c r="K195" s="10">
        <f>+'A) Base RI'!J195</f>
        <v>24162</v>
      </c>
      <c r="L195" s="10">
        <f>+'A) Base RI'!K195</f>
        <v>75068.539999999994</v>
      </c>
      <c r="M195" s="10">
        <f>+'A) Base RI'!L195</f>
        <v>10978.5</v>
      </c>
      <c r="N195" s="10">
        <f>+'A) Base RI'!R195</f>
        <v>2319.41</v>
      </c>
      <c r="O195" s="10">
        <f t="shared" si="13"/>
        <v>597356.30000000005</v>
      </c>
      <c r="P195" s="10">
        <f>+'A) Base RI'!M195</f>
        <v>597356.30000000005</v>
      </c>
      <c r="Q195" s="35">
        <f>'A) Base RI'!Z195</f>
        <v>1</v>
      </c>
      <c r="R195" s="2">
        <f t="shared" si="14"/>
        <v>7573267.0199999996</v>
      </c>
      <c r="S195" s="34">
        <f>+'A) Base RI'!U195</f>
        <v>61</v>
      </c>
      <c r="T195" s="2">
        <f t="shared" si="15"/>
        <v>6964932.2199999997</v>
      </c>
      <c r="U195" s="2">
        <f t="shared" si="16"/>
        <v>124151.91836065573</v>
      </c>
      <c r="V195" s="10">
        <f>+'A) Base RI'!P195</f>
        <v>159.19999999999999</v>
      </c>
      <c r="W195" s="10">
        <f>+'A) Base RI'!Q195</f>
        <v>332567.15000000002</v>
      </c>
      <c r="X195" s="10">
        <f>+'A) Base RI'!S195</f>
        <v>207672.3</v>
      </c>
      <c r="Y195" s="2">
        <f t="shared" si="17"/>
        <v>540398.65</v>
      </c>
      <c r="Z195" s="10">
        <f>+'A) Base RI'!O195</f>
        <v>704793.75</v>
      </c>
      <c r="AA195" s="10">
        <f>'A) Base RI'!V195</f>
        <v>1603</v>
      </c>
    </row>
    <row r="196" spans="1:27" x14ac:dyDescent="0.25">
      <c r="A196" s="8">
        <f>'A) Base RI'!A196</f>
        <v>5717</v>
      </c>
      <c r="B196" s="33" t="str">
        <f>'A) Base RI'!B196</f>
        <v>Founex</v>
      </c>
      <c r="C196" s="10">
        <f>'A) Base RI'!C196+'A) Base RI'!D196</f>
        <v>16614789.470000001</v>
      </c>
      <c r="D196" s="10">
        <f>'A) Base RI'!W196</f>
        <v>-117758.51</v>
      </c>
      <c r="E196" s="32">
        <f>'A) Base RI'!X196</f>
        <v>-1185.75</v>
      </c>
      <c r="F196" s="32">
        <f>'A) Base RI'!Y196</f>
        <v>-8952.4699999999993</v>
      </c>
      <c r="G196" s="2">
        <f t="shared" si="12"/>
        <v>16486892.74</v>
      </c>
      <c r="H196" s="10">
        <f>+'A) Base RI'!E196</f>
        <v>0</v>
      </c>
      <c r="I196" s="10">
        <f>+'A) Base RI'!F196</f>
        <v>0</v>
      </c>
      <c r="J196" s="10">
        <f>+'A) Base RI'!G196+'A) Base RI'!H196+'A) Base RI'!I196</f>
        <v>113025.99000000002</v>
      </c>
      <c r="K196" s="10">
        <f>+'A) Base RI'!J196</f>
        <v>802873.74</v>
      </c>
      <c r="L196" s="10">
        <f>+'A) Base RI'!K196</f>
        <v>629280.14</v>
      </c>
      <c r="M196" s="10">
        <f>+'A) Base RI'!L196</f>
        <v>44021.5</v>
      </c>
      <c r="N196" s="10">
        <f>+'A) Base RI'!R196</f>
        <v>62352.84</v>
      </c>
      <c r="O196" s="10">
        <f t="shared" si="13"/>
        <v>1204093.55</v>
      </c>
      <c r="P196" s="10">
        <f>+'A) Base RI'!M196</f>
        <v>1204093.55</v>
      </c>
      <c r="Q196" s="35">
        <f>'A) Base RI'!Z196</f>
        <v>1</v>
      </c>
      <c r="R196" s="2">
        <f t="shared" si="14"/>
        <v>19342540.5</v>
      </c>
      <c r="S196" s="34">
        <f>+'A) Base RI'!U196</f>
        <v>57</v>
      </c>
      <c r="T196" s="2">
        <f t="shared" si="15"/>
        <v>18094425.449999999</v>
      </c>
      <c r="U196" s="2">
        <f t="shared" si="16"/>
        <v>339342.81578947371</v>
      </c>
      <c r="V196" s="10">
        <f>+'A) Base RI'!P196</f>
        <v>464933.3</v>
      </c>
      <c r="W196" s="10">
        <f>+'A) Base RI'!Q196</f>
        <v>762892.15</v>
      </c>
      <c r="X196" s="10">
        <f>+'A) Base RI'!S196</f>
        <v>882542.25</v>
      </c>
      <c r="Y196" s="2">
        <f t="shared" si="17"/>
        <v>2110367.7000000002</v>
      </c>
      <c r="Z196" s="10">
        <f>+'A) Base RI'!O196</f>
        <v>248363.8</v>
      </c>
      <c r="AA196" s="10">
        <f>'A) Base RI'!V196</f>
        <v>3788</v>
      </c>
    </row>
    <row r="197" spans="1:27" x14ac:dyDescent="0.25">
      <c r="A197" s="8">
        <f>'A) Base RI'!A197</f>
        <v>5718</v>
      </c>
      <c r="B197" s="33" t="str">
        <f>'A) Base RI'!B197</f>
        <v>Genolier</v>
      </c>
      <c r="C197" s="10">
        <f>'A) Base RI'!C197+'A) Base RI'!D197</f>
        <v>8584774.6400000006</v>
      </c>
      <c r="D197" s="10">
        <f>'A) Base RI'!W197</f>
        <v>-22801.49</v>
      </c>
      <c r="E197" s="32">
        <f>'A) Base RI'!X197</f>
        <v>0</v>
      </c>
      <c r="F197" s="32">
        <f>'A) Base RI'!Y197</f>
        <v>-4238.03</v>
      </c>
      <c r="G197" s="2">
        <f t="shared" si="12"/>
        <v>8557735.120000001</v>
      </c>
      <c r="H197" s="10">
        <f>+'A) Base RI'!E197</f>
        <v>0</v>
      </c>
      <c r="I197" s="10">
        <f>+'A) Base RI'!F197</f>
        <v>0</v>
      </c>
      <c r="J197" s="10">
        <f>+'A) Base RI'!G197+'A) Base RI'!H197+'A) Base RI'!I197</f>
        <v>372935.33999999997</v>
      </c>
      <c r="K197" s="10">
        <f>+'A) Base RI'!J197</f>
        <v>107936.74</v>
      </c>
      <c r="L197" s="10">
        <f>+'A) Base RI'!K197</f>
        <v>64834.33</v>
      </c>
      <c r="M197" s="10">
        <f>+'A) Base RI'!L197</f>
        <v>25177.3</v>
      </c>
      <c r="N197" s="10">
        <f>+'A) Base RI'!R197</f>
        <v>630.24</v>
      </c>
      <c r="O197" s="10">
        <f t="shared" si="13"/>
        <v>587735.80000000005</v>
      </c>
      <c r="P197" s="10">
        <f>+'A) Base RI'!M197</f>
        <v>587735.80000000005</v>
      </c>
      <c r="Q197" s="35">
        <f>'A) Base RI'!Z197</f>
        <v>1</v>
      </c>
      <c r="R197" s="2">
        <f t="shared" si="14"/>
        <v>9716984.8700000029</v>
      </c>
      <c r="S197" s="34">
        <f>+'A) Base RI'!U197</f>
        <v>55</v>
      </c>
      <c r="T197" s="2">
        <f t="shared" si="15"/>
        <v>9104071.7700000014</v>
      </c>
      <c r="U197" s="2">
        <f t="shared" si="16"/>
        <v>176672.45218181823</v>
      </c>
      <c r="V197" s="10">
        <f>+'A) Base RI'!P197</f>
        <v>463.5</v>
      </c>
      <c r="W197" s="10">
        <f>+'A) Base RI'!Q197</f>
        <v>456794.3</v>
      </c>
      <c r="X197" s="10">
        <f>+'A) Base RI'!S197</f>
        <v>381370.7</v>
      </c>
      <c r="Y197" s="2">
        <f t="shared" si="17"/>
        <v>838628.5</v>
      </c>
      <c r="Z197" s="10">
        <f>+'A) Base RI'!O197</f>
        <v>303990.40000000002</v>
      </c>
      <c r="AA197" s="10">
        <f>'A) Base RI'!V197</f>
        <v>1945</v>
      </c>
    </row>
    <row r="198" spans="1:27" x14ac:dyDescent="0.25">
      <c r="A198" s="8">
        <f>'A) Base RI'!A198</f>
        <v>5719</v>
      </c>
      <c r="B198" s="33" t="str">
        <f>'A) Base RI'!B198</f>
        <v>Gingins</v>
      </c>
      <c r="C198" s="10">
        <f>'A) Base RI'!C198+'A) Base RI'!D198</f>
        <v>6602846.2799999993</v>
      </c>
      <c r="D198" s="10">
        <f>'A) Base RI'!W198</f>
        <v>-8515.81</v>
      </c>
      <c r="E198" s="32">
        <f>'A) Base RI'!X198</f>
        <v>0</v>
      </c>
      <c r="F198" s="32">
        <f>'A) Base RI'!Y198</f>
        <v>-1858.15</v>
      </c>
      <c r="G198" s="2">
        <f t="shared" si="12"/>
        <v>6592472.3199999994</v>
      </c>
      <c r="H198" s="10">
        <f>+'A) Base RI'!E198</f>
        <v>0</v>
      </c>
      <c r="I198" s="10">
        <f>+'A) Base RI'!F198</f>
        <v>0</v>
      </c>
      <c r="J198" s="10">
        <f>+'A) Base RI'!G198+'A) Base RI'!H198+'A) Base RI'!I198</f>
        <v>52779.98</v>
      </c>
      <c r="K198" s="10">
        <f>+'A) Base RI'!J198</f>
        <v>371761.22</v>
      </c>
      <c r="L198" s="10">
        <f>+'A) Base RI'!K198</f>
        <v>71022.289999999994</v>
      </c>
      <c r="M198" s="10">
        <f>+'A) Base RI'!L198</f>
        <v>3649.35</v>
      </c>
      <c r="N198" s="10">
        <f>+'A) Base RI'!R198</f>
        <v>2452.5500000000002</v>
      </c>
      <c r="O198" s="10">
        <f t="shared" si="13"/>
        <v>362908.41666666669</v>
      </c>
      <c r="P198" s="10">
        <f>+'A) Base RI'!M198</f>
        <v>217745.05</v>
      </c>
      <c r="Q198" s="35">
        <f>'A) Base RI'!Z198</f>
        <v>0.6</v>
      </c>
      <c r="R198" s="2">
        <f t="shared" si="14"/>
        <v>7457046.126666666</v>
      </c>
      <c r="S198" s="34">
        <f>+'A) Base RI'!U198</f>
        <v>57</v>
      </c>
      <c r="T198" s="2">
        <f t="shared" si="15"/>
        <v>7090488.3599999994</v>
      </c>
      <c r="U198" s="2">
        <f t="shared" si="16"/>
        <v>130825.37064327484</v>
      </c>
      <c r="V198" s="10">
        <f>+'A) Base RI'!P198</f>
        <v>76027.199999999997</v>
      </c>
      <c r="W198" s="10">
        <f>+'A) Base RI'!Q198</f>
        <v>247370</v>
      </c>
      <c r="X198" s="10">
        <f>+'A) Base RI'!S198</f>
        <v>397289.9</v>
      </c>
      <c r="Y198" s="2">
        <f t="shared" si="17"/>
        <v>720687.10000000009</v>
      </c>
      <c r="Z198" s="10">
        <f>+'A) Base RI'!O198</f>
        <v>83648.25</v>
      </c>
      <c r="AA198" s="10">
        <f>'A) Base RI'!V198</f>
        <v>1212</v>
      </c>
    </row>
    <row r="199" spans="1:27" x14ac:dyDescent="0.25">
      <c r="A199" s="8">
        <f>'A) Base RI'!A199</f>
        <v>5720</v>
      </c>
      <c r="B199" s="33" t="str">
        <f>'A) Base RI'!B199</f>
        <v>Givrins</v>
      </c>
      <c r="C199" s="10">
        <f>'A) Base RI'!C199+'A) Base RI'!D199</f>
        <v>3802851.87</v>
      </c>
      <c r="D199" s="10">
        <f>'A) Base RI'!W199</f>
        <v>-16091.93</v>
      </c>
      <c r="E199" s="32">
        <f>'A) Base RI'!X199</f>
        <v>0</v>
      </c>
      <c r="F199" s="32">
        <f>'A) Base RI'!Y199</f>
        <v>-2511.79</v>
      </c>
      <c r="G199" s="2">
        <f t="shared" si="12"/>
        <v>3784248.15</v>
      </c>
      <c r="H199" s="10">
        <f>+'A) Base RI'!E199</f>
        <v>0</v>
      </c>
      <c r="I199" s="10">
        <f>+'A) Base RI'!F199</f>
        <v>0</v>
      </c>
      <c r="J199" s="10">
        <f>+'A) Base RI'!G199+'A) Base RI'!H199+'A) Base RI'!I199</f>
        <v>40488.089999999997</v>
      </c>
      <c r="K199" s="10">
        <f>+'A) Base RI'!J199</f>
        <v>315860.08</v>
      </c>
      <c r="L199" s="10">
        <f>+'A) Base RI'!K199</f>
        <v>7532.78</v>
      </c>
      <c r="M199" s="10">
        <f>+'A) Base RI'!L199</f>
        <v>0</v>
      </c>
      <c r="N199" s="10">
        <f>+'A) Base RI'!R199</f>
        <v>-177.75</v>
      </c>
      <c r="O199" s="10">
        <f t="shared" si="13"/>
        <v>283270.22222222225</v>
      </c>
      <c r="P199" s="10">
        <f>+'A) Base RI'!M199</f>
        <v>254943.2</v>
      </c>
      <c r="Q199" s="35">
        <f>'A) Base RI'!Z199</f>
        <v>0.9</v>
      </c>
      <c r="R199" s="2">
        <f t="shared" si="14"/>
        <v>4431221.5722222216</v>
      </c>
      <c r="S199" s="34">
        <f>+'A) Base RI'!U199</f>
        <v>61</v>
      </c>
      <c r="T199" s="2">
        <f t="shared" si="15"/>
        <v>4147951.3499999996</v>
      </c>
      <c r="U199" s="2">
        <f t="shared" si="16"/>
        <v>72642.976593806918</v>
      </c>
      <c r="V199" s="10">
        <f>+'A) Base RI'!P199</f>
        <v>0</v>
      </c>
      <c r="W199" s="10">
        <f>+'A) Base RI'!Q199</f>
        <v>100346.2</v>
      </c>
      <c r="X199" s="10">
        <f>+'A) Base RI'!S199</f>
        <v>50776.35</v>
      </c>
      <c r="Y199" s="2">
        <f t="shared" si="17"/>
        <v>151122.54999999999</v>
      </c>
      <c r="Z199" s="10">
        <f>+'A) Base RI'!O199</f>
        <v>8532.35</v>
      </c>
      <c r="AA199" s="10">
        <f>'A) Base RI'!V199</f>
        <v>995</v>
      </c>
    </row>
    <row r="200" spans="1:27" x14ac:dyDescent="0.25">
      <c r="A200" s="8">
        <f>'A) Base RI'!A200</f>
        <v>5721</v>
      </c>
      <c r="B200" s="33" t="str">
        <f>'A) Base RI'!B200</f>
        <v>Gland</v>
      </c>
      <c r="C200" s="10">
        <f>'A) Base RI'!C200+'A) Base RI'!D200</f>
        <v>30573564.239999998</v>
      </c>
      <c r="D200" s="10">
        <f>'A) Base RI'!W200</f>
        <v>-414955.23</v>
      </c>
      <c r="E200" s="32">
        <f>'A) Base RI'!X200</f>
        <v>0</v>
      </c>
      <c r="F200" s="32">
        <f>'A) Base RI'!Y200</f>
        <v>-22670.33</v>
      </c>
      <c r="G200" s="2">
        <f t="shared" ref="G200:G263" si="18">SUM(C200:F200)</f>
        <v>30135938.68</v>
      </c>
      <c r="H200" s="10">
        <f>+'A) Base RI'!E200</f>
        <v>0</v>
      </c>
      <c r="I200" s="10">
        <f>+'A) Base RI'!F200</f>
        <v>0</v>
      </c>
      <c r="J200" s="10">
        <f>+'A) Base RI'!G200+'A) Base RI'!H200+'A) Base RI'!I200</f>
        <v>2025039.6100000006</v>
      </c>
      <c r="K200" s="10">
        <f>+'A) Base RI'!J200</f>
        <v>1039882.68</v>
      </c>
      <c r="L200" s="10">
        <f>+'A) Base RI'!K200</f>
        <v>1169763.92</v>
      </c>
      <c r="M200" s="10">
        <f>+'A) Base RI'!L200</f>
        <v>348268.25</v>
      </c>
      <c r="N200" s="10">
        <f>+'A) Base RI'!R200</f>
        <v>125418.89</v>
      </c>
      <c r="O200" s="10">
        <f t="shared" ref="O200:O263" si="19">(P200/Q200)*1</f>
        <v>2606785</v>
      </c>
      <c r="P200" s="10">
        <f>+'A) Base RI'!M200</f>
        <v>2606785</v>
      </c>
      <c r="Q200" s="35">
        <f>'A) Base RI'!Z200</f>
        <v>1</v>
      </c>
      <c r="R200" s="2">
        <f t="shared" ref="R200:R263" si="20">SUM(G200:O200)</f>
        <v>37451097.030000001</v>
      </c>
      <c r="S200" s="34">
        <f>+'A) Base RI'!U200</f>
        <v>62.5</v>
      </c>
      <c r="T200" s="2">
        <f t="shared" ref="T200:T263" si="21">(G200+H200+J200+K200+L200+N200)</f>
        <v>34496043.780000001</v>
      </c>
      <c r="U200" s="2">
        <f t="shared" ref="U200:U263" si="22">R200/S200</f>
        <v>599217.55248000007</v>
      </c>
      <c r="V200" s="10">
        <f>+'A) Base RI'!P200</f>
        <v>2612812.9</v>
      </c>
      <c r="W200" s="10">
        <f>+'A) Base RI'!Q200</f>
        <v>2093957.65</v>
      </c>
      <c r="X200" s="10">
        <f>+'A) Base RI'!S200</f>
        <v>2165122.5499999998</v>
      </c>
      <c r="Y200" s="2">
        <f t="shared" ref="Y200:Y263" si="23">SUM(V200:X200)</f>
        <v>6871893.0999999996</v>
      </c>
      <c r="Z200" s="10">
        <f>+'A) Base RI'!O200</f>
        <v>1569790.75</v>
      </c>
      <c r="AA200" s="10">
        <f>'A) Base RI'!V200</f>
        <v>13081</v>
      </c>
    </row>
    <row r="201" spans="1:27" x14ac:dyDescent="0.25">
      <c r="A201" s="8">
        <f>'A) Base RI'!A201</f>
        <v>5722</v>
      </c>
      <c r="B201" s="33" t="str">
        <f>'A) Base RI'!B201</f>
        <v>Grens</v>
      </c>
      <c r="C201" s="10">
        <f>'A) Base RI'!C201+'A) Base RI'!D201</f>
        <v>1446295.62</v>
      </c>
      <c r="D201" s="10">
        <f>'A) Base RI'!W201</f>
        <v>-991.35</v>
      </c>
      <c r="E201" s="32">
        <f>'A) Base RI'!X201</f>
        <v>0</v>
      </c>
      <c r="F201" s="32">
        <f>'A) Base RI'!Y201</f>
        <v>-273.72000000000003</v>
      </c>
      <c r="G201" s="2">
        <f t="shared" si="18"/>
        <v>1445030.55</v>
      </c>
      <c r="H201" s="10">
        <f>+'A) Base RI'!E201</f>
        <v>0</v>
      </c>
      <c r="I201" s="10">
        <f>+'A) Base RI'!F201</f>
        <v>0</v>
      </c>
      <c r="J201" s="10">
        <f>+'A) Base RI'!G201+'A) Base RI'!H201+'A) Base RI'!I201</f>
        <v>15104.11</v>
      </c>
      <c r="K201" s="10">
        <f>+'A) Base RI'!J201</f>
        <v>0</v>
      </c>
      <c r="L201" s="10">
        <f>+'A) Base RI'!K201</f>
        <v>20122.37</v>
      </c>
      <c r="M201" s="10">
        <f>+'A) Base RI'!L201</f>
        <v>5659</v>
      </c>
      <c r="N201" s="10">
        <f>+'A) Base RI'!R201</f>
        <v>0</v>
      </c>
      <c r="O201" s="10">
        <f t="shared" si="19"/>
        <v>81582.100000000006</v>
      </c>
      <c r="P201" s="10">
        <f>+'A) Base RI'!M201</f>
        <v>81582.100000000006</v>
      </c>
      <c r="Q201" s="35">
        <f>'A) Base RI'!Z201</f>
        <v>1</v>
      </c>
      <c r="R201" s="2">
        <f t="shared" si="20"/>
        <v>1567498.1300000004</v>
      </c>
      <c r="S201" s="34">
        <f>+'A) Base RI'!U201</f>
        <v>62</v>
      </c>
      <c r="T201" s="2">
        <f t="shared" si="21"/>
        <v>1480257.0300000003</v>
      </c>
      <c r="U201" s="2">
        <f t="shared" si="22"/>
        <v>25282.227903225812</v>
      </c>
      <c r="V201" s="10">
        <f>+'A) Base RI'!P201</f>
        <v>0</v>
      </c>
      <c r="W201" s="10">
        <f>+'A) Base RI'!Q201</f>
        <v>27830</v>
      </c>
      <c r="X201" s="10">
        <f>+'A) Base RI'!S201</f>
        <v>10392</v>
      </c>
      <c r="Y201" s="2">
        <f t="shared" si="23"/>
        <v>38222</v>
      </c>
      <c r="Z201" s="10">
        <f>+'A) Base RI'!O201</f>
        <v>20573.2</v>
      </c>
      <c r="AA201" s="10">
        <f>'A) Base RI'!V201</f>
        <v>382</v>
      </c>
    </row>
    <row r="202" spans="1:27" x14ac:dyDescent="0.25">
      <c r="A202" s="8">
        <f>'A) Base RI'!A202</f>
        <v>5723</v>
      </c>
      <c r="B202" s="33" t="str">
        <f>'A) Base RI'!B202</f>
        <v>Mies</v>
      </c>
      <c r="C202" s="10">
        <f>'A) Base RI'!C202+'A) Base RI'!D202</f>
        <v>18904396.649999999</v>
      </c>
      <c r="D202" s="10">
        <f>'A) Base RI'!W202</f>
        <v>-29866.6</v>
      </c>
      <c r="E202" s="32">
        <f>'A) Base RI'!X202</f>
        <v>0</v>
      </c>
      <c r="F202" s="32">
        <f>'A) Base RI'!Y202</f>
        <v>-5889.53</v>
      </c>
      <c r="G202" s="2">
        <f t="shared" si="18"/>
        <v>18868640.519999996</v>
      </c>
      <c r="H202" s="10">
        <f>+'A) Base RI'!E202</f>
        <v>0</v>
      </c>
      <c r="I202" s="10">
        <f>+'A) Base RI'!F202</f>
        <v>0</v>
      </c>
      <c r="J202" s="10">
        <f>+'A) Base RI'!G202+'A) Base RI'!H202+'A) Base RI'!I202</f>
        <v>195705.52999999997</v>
      </c>
      <c r="K202" s="10">
        <f>+'A) Base RI'!J202</f>
        <v>1502752.41</v>
      </c>
      <c r="L202" s="10">
        <f>+'A) Base RI'!K202</f>
        <v>328953.32</v>
      </c>
      <c r="M202" s="10">
        <f>+'A) Base RI'!L202</f>
        <v>39998</v>
      </c>
      <c r="N202" s="10">
        <f>+'A) Base RI'!R202</f>
        <v>3907.73</v>
      </c>
      <c r="O202" s="10">
        <f t="shared" si="19"/>
        <v>735562.2</v>
      </c>
      <c r="P202" s="10">
        <f>+'A) Base RI'!M202</f>
        <v>735562.2</v>
      </c>
      <c r="Q202" s="35">
        <f>'A) Base RI'!Z202</f>
        <v>1</v>
      </c>
      <c r="R202" s="2">
        <f t="shared" si="20"/>
        <v>21675519.709999997</v>
      </c>
      <c r="S202" s="34">
        <f>+'A) Base RI'!U202</f>
        <v>49</v>
      </c>
      <c r="T202" s="2">
        <f t="shared" si="21"/>
        <v>20899959.509999998</v>
      </c>
      <c r="U202" s="2">
        <f t="shared" si="22"/>
        <v>442357.54510204075</v>
      </c>
      <c r="V202" s="10">
        <f>+'A) Base RI'!P202</f>
        <v>499105.8</v>
      </c>
      <c r="W202" s="10">
        <f>+'A) Base RI'!Q202</f>
        <v>872196.4</v>
      </c>
      <c r="X202" s="10">
        <f>+'A) Base RI'!S202</f>
        <v>554106.44999999995</v>
      </c>
      <c r="Y202" s="2">
        <f t="shared" si="23"/>
        <v>1925408.65</v>
      </c>
      <c r="Z202" s="10">
        <f>+'A) Base RI'!O202</f>
        <v>123882.8</v>
      </c>
      <c r="AA202" s="10">
        <f>'A) Base RI'!V202</f>
        <v>2037</v>
      </c>
    </row>
    <row r="203" spans="1:27" x14ac:dyDescent="0.25">
      <c r="A203" s="8">
        <f>'A) Base RI'!A203</f>
        <v>5724</v>
      </c>
      <c r="B203" s="33" t="str">
        <f>'A) Base RI'!B203</f>
        <v>Nyon</v>
      </c>
      <c r="C203" s="10">
        <f>'A) Base RI'!C203+'A) Base RI'!D203</f>
        <v>59392889.950000003</v>
      </c>
      <c r="D203" s="10">
        <f>'A) Base RI'!W203</f>
        <v>-748945.2</v>
      </c>
      <c r="E203" s="32">
        <f>'A) Base RI'!X203</f>
        <v>0</v>
      </c>
      <c r="F203" s="32">
        <f>'A) Base RI'!Y203</f>
        <v>-83701.289999999994</v>
      </c>
      <c r="G203" s="2">
        <f t="shared" si="18"/>
        <v>58560243.460000001</v>
      </c>
      <c r="H203" s="10">
        <f>+'A) Base RI'!E203</f>
        <v>0</v>
      </c>
      <c r="I203" s="10">
        <f>+'A) Base RI'!F203</f>
        <v>0</v>
      </c>
      <c r="J203" s="10">
        <f>+'A) Base RI'!G203+'A) Base RI'!H203+'A) Base RI'!I203</f>
        <v>9357121.1300000213</v>
      </c>
      <c r="K203" s="10">
        <f>+'A) Base RI'!J203</f>
        <v>1770636.78</v>
      </c>
      <c r="L203" s="10">
        <f>+'A) Base RI'!K203</f>
        <v>3923331.6</v>
      </c>
      <c r="M203" s="10">
        <f>+'A) Base RI'!L203</f>
        <v>603048.55000000005</v>
      </c>
      <c r="N203" s="10">
        <f>+'A) Base RI'!R203</f>
        <v>126353.46</v>
      </c>
      <c r="O203" s="10">
        <f t="shared" si="19"/>
        <v>4705900.0769230761</v>
      </c>
      <c r="P203" s="10">
        <f>+'A) Base RI'!M203</f>
        <v>6117670.0999999996</v>
      </c>
      <c r="Q203" s="35">
        <f>'A) Base RI'!Z203</f>
        <v>1.3</v>
      </c>
      <c r="R203" s="2">
        <f t="shared" si="20"/>
        <v>79046635.056923077</v>
      </c>
      <c r="S203" s="34">
        <f>+'A) Base RI'!U203</f>
        <v>61</v>
      </c>
      <c r="T203" s="2">
        <f t="shared" si="21"/>
        <v>73737686.430000007</v>
      </c>
      <c r="U203" s="2">
        <f t="shared" si="22"/>
        <v>1295846.4763430012</v>
      </c>
      <c r="V203" s="10">
        <f>+'A) Base RI'!P203</f>
        <v>2910148.45</v>
      </c>
      <c r="W203" s="10">
        <f>+'A) Base RI'!Q203</f>
        <v>4204838.8</v>
      </c>
      <c r="X203" s="10">
        <f>+'A) Base RI'!S203</f>
        <v>1971059</v>
      </c>
      <c r="Y203" s="2">
        <f t="shared" si="23"/>
        <v>9086046.25</v>
      </c>
      <c r="Z203" s="10">
        <f>+'A) Base RI'!O203</f>
        <v>4187587.15</v>
      </c>
      <c r="AA203" s="10">
        <f>'A) Base RI'!V203</f>
        <v>20551</v>
      </c>
    </row>
    <row r="204" spans="1:27" x14ac:dyDescent="0.25">
      <c r="A204" s="8">
        <f>'A) Base RI'!A204</f>
        <v>5725</v>
      </c>
      <c r="B204" s="33" t="str">
        <f>'A) Base RI'!B204</f>
        <v>Prangins</v>
      </c>
      <c r="C204" s="10">
        <f>'A) Base RI'!C204+'A) Base RI'!D204</f>
        <v>14344945.59</v>
      </c>
      <c r="D204" s="10">
        <f>'A) Base RI'!W204</f>
        <v>-88494.48</v>
      </c>
      <c r="E204" s="32">
        <f>'A) Base RI'!X204</f>
        <v>0</v>
      </c>
      <c r="F204" s="32">
        <f>'A) Base RI'!Y204</f>
        <v>-74474.34</v>
      </c>
      <c r="G204" s="2">
        <f t="shared" si="18"/>
        <v>14181976.77</v>
      </c>
      <c r="H204" s="10">
        <f>+'A) Base RI'!E204</f>
        <v>0</v>
      </c>
      <c r="I204" s="10">
        <f>+'A) Base RI'!F204</f>
        <v>0</v>
      </c>
      <c r="J204" s="10">
        <f>+'A) Base RI'!G204+'A) Base RI'!H204+'A) Base RI'!I204</f>
        <v>643062.41</v>
      </c>
      <c r="K204" s="10">
        <f>+'A) Base RI'!J204</f>
        <v>417377.63</v>
      </c>
      <c r="L204" s="10">
        <f>+'A) Base RI'!K204</f>
        <v>265556.78000000003</v>
      </c>
      <c r="M204" s="10">
        <f>+'A) Base RI'!L204</f>
        <v>49813.7</v>
      </c>
      <c r="N204" s="10">
        <f>+'A) Base RI'!R204</f>
        <v>27434.31</v>
      </c>
      <c r="O204" s="10">
        <f t="shared" si="19"/>
        <v>1089150.0714285716</v>
      </c>
      <c r="P204" s="10">
        <f>+'A) Base RI'!M204</f>
        <v>1524810.1</v>
      </c>
      <c r="Q204" s="35">
        <f>'A) Base RI'!Z204</f>
        <v>1.4</v>
      </c>
      <c r="R204" s="2">
        <f t="shared" si="20"/>
        <v>16674371.671428571</v>
      </c>
      <c r="S204" s="34">
        <f>+'A) Base RI'!U204</f>
        <v>56</v>
      </c>
      <c r="T204" s="2">
        <f t="shared" si="21"/>
        <v>15535407.9</v>
      </c>
      <c r="U204" s="2">
        <f t="shared" si="22"/>
        <v>297756.63698979589</v>
      </c>
      <c r="V204" s="10">
        <f>+'A) Base RI'!P204</f>
        <v>21482.9</v>
      </c>
      <c r="W204" s="10">
        <f>+'A) Base RI'!Q204</f>
        <v>489965.5</v>
      </c>
      <c r="X204" s="10">
        <f>+'A) Base RI'!S204</f>
        <v>484066.2</v>
      </c>
      <c r="Y204" s="2">
        <f t="shared" si="23"/>
        <v>995514.60000000009</v>
      </c>
      <c r="Z204" s="10">
        <f>+'A) Base RI'!O204</f>
        <v>1104679.95</v>
      </c>
      <c r="AA204" s="10">
        <f>'A) Base RI'!V204</f>
        <v>4069</v>
      </c>
    </row>
    <row r="205" spans="1:27" x14ac:dyDescent="0.25">
      <c r="A205" s="8">
        <f>'A) Base RI'!A205</f>
        <v>5726</v>
      </c>
      <c r="B205" s="33" t="str">
        <f>'A) Base RI'!B205</f>
        <v>La Rippe</v>
      </c>
      <c r="C205" s="10">
        <f>'A) Base RI'!C205+'A) Base RI'!D205</f>
        <v>3420501.6</v>
      </c>
      <c r="D205" s="10">
        <f>'A) Base RI'!W205</f>
        <v>-19316.310000000001</v>
      </c>
      <c r="E205" s="32">
        <f>'A) Base RI'!X205</f>
        <v>0</v>
      </c>
      <c r="F205" s="32">
        <f>'A) Base RI'!Y205</f>
        <v>-3725.51</v>
      </c>
      <c r="G205" s="2">
        <f t="shared" si="18"/>
        <v>3397459.7800000003</v>
      </c>
      <c r="H205" s="10">
        <f>+'A) Base RI'!E205</f>
        <v>0</v>
      </c>
      <c r="I205" s="10">
        <f>+'A) Base RI'!F205</f>
        <v>0</v>
      </c>
      <c r="J205" s="10">
        <f>+'A) Base RI'!G205+'A) Base RI'!H205+'A) Base RI'!I205</f>
        <v>16317.66</v>
      </c>
      <c r="K205" s="10">
        <f>+'A) Base RI'!J205</f>
        <v>9017.15</v>
      </c>
      <c r="L205" s="10">
        <f>+'A) Base RI'!K205</f>
        <v>22266.97</v>
      </c>
      <c r="M205" s="10">
        <f>+'A) Base RI'!L205</f>
        <v>3665.15</v>
      </c>
      <c r="N205" s="10">
        <f>+'A) Base RI'!R205</f>
        <v>2268.75</v>
      </c>
      <c r="O205" s="10">
        <f t="shared" si="19"/>
        <v>242421.15</v>
      </c>
      <c r="P205" s="10">
        <f>+'A) Base RI'!M205</f>
        <v>242421.15</v>
      </c>
      <c r="Q205" s="35">
        <f>'A) Base RI'!Z205</f>
        <v>1</v>
      </c>
      <c r="R205" s="2">
        <f t="shared" si="20"/>
        <v>3693416.6100000003</v>
      </c>
      <c r="S205" s="34">
        <f>+'A) Base RI'!U205</f>
        <v>65</v>
      </c>
      <c r="T205" s="2">
        <f t="shared" si="21"/>
        <v>3447330.3100000005</v>
      </c>
      <c r="U205" s="2">
        <f t="shared" si="22"/>
        <v>56821.794000000002</v>
      </c>
      <c r="V205" s="10">
        <f>+'A) Base RI'!P205</f>
        <v>0</v>
      </c>
      <c r="W205" s="10">
        <f>+'A) Base RI'!Q205</f>
        <v>195118.4</v>
      </c>
      <c r="X205" s="10">
        <f>+'A) Base RI'!S205</f>
        <v>138854.45000000001</v>
      </c>
      <c r="Y205" s="2">
        <f t="shared" si="23"/>
        <v>333972.84999999998</v>
      </c>
      <c r="Z205" s="10">
        <f>+'A) Base RI'!O205</f>
        <v>18897.900000000001</v>
      </c>
      <c r="AA205" s="10">
        <f>'A) Base RI'!V205</f>
        <v>1164</v>
      </c>
    </row>
    <row r="206" spans="1:27" x14ac:dyDescent="0.25">
      <c r="A206" s="8">
        <f>'A) Base RI'!A206</f>
        <v>5727</v>
      </c>
      <c r="B206" s="33" t="str">
        <f>'A) Base RI'!B206</f>
        <v>Saint-Cergue</v>
      </c>
      <c r="C206" s="10">
        <f>'A) Base RI'!C206+'A) Base RI'!D206</f>
        <v>5989204.6000000006</v>
      </c>
      <c r="D206" s="10">
        <f>'A) Base RI'!W206</f>
        <v>-302059.76</v>
      </c>
      <c r="E206" s="32">
        <f>'A) Base RI'!X206</f>
        <v>0</v>
      </c>
      <c r="F206" s="32">
        <f>'A) Base RI'!Y206</f>
        <v>-521.99</v>
      </c>
      <c r="G206" s="2">
        <f t="shared" si="18"/>
        <v>5686622.8500000006</v>
      </c>
      <c r="H206" s="10">
        <f>+'A) Base RI'!E206</f>
        <v>0</v>
      </c>
      <c r="I206" s="10">
        <f>+'A) Base RI'!F206</f>
        <v>0</v>
      </c>
      <c r="J206" s="10">
        <f>+'A) Base RI'!G206+'A) Base RI'!H206+'A) Base RI'!I206</f>
        <v>77252.760000000009</v>
      </c>
      <c r="K206" s="10">
        <f>+'A) Base RI'!J206</f>
        <v>98546.93</v>
      </c>
      <c r="L206" s="10">
        <f>+'A) Base RI'!K206</f>
        <v>263616.21000000002</v>
      </c>
      <c r="M206" s="10">
        <f>+'A) Base RI'!L206</f>
        <v>10099.9</v>
      </c>
      <c r="N206" s="10">
        <f>+'A) Base RI'!R206</f>
        <v>18287.330000000002</v>
      </c>
      <c r="O206" s="10">
        <f t="shared" si="19"/>
        <v>469826.23333333334</v>
      </c>
      <c r="P206" s="10">
        <f>+'A) Base RI'!M206</f>
        <v>704739.35</v>
      </c>
      <c r="Q206" s="35">
        <f>'A) Base RI'!Z206</f>
        <v>1.5</v>
      </c>
      <c r="R206" s="2">
        <f t="shared" si="20"/>
        <v>6624252.2133333338</v>
      </c>
      <c r="S206" s="34">
        <f>+'A) Base RI'!U206</f>
        <v>66</v>
      </c>
      <c r="T206" s="2">
        <f t="shared" si="21"/>
        <v>6144326.0800000001</v>
      </c>
      <c r="U206" s="2">
        <f t="shared" si="22"/>
        <v>100367.45777777779</v>
      </c>
      <c r="V206" s="10">
        <f>+'A) Base RI'!P206</f>
        <v>57308.1</v>
      </c>
      <c r="W206" s="10">
        <f>+'A) Base RI'!Q206</f>
        <v>383865.3</v>
      </c>
      <c r="X206" s="10">
        <f>+'A) Base RI'!S206</f>
        <v>187050.65</v>
      </c>
      <c r="Y206" s="2">
        <f t="shared" si="23"/>
        <v>628224.04999999993</v>
      </c>
      <c r="Z206" s="10">
        <f>+'A) Base RI'!O206</f>
        <v>88630.95</v>
      </c>
      <c r="AA206" s="10">
        <f>'A) Base RI'!V206</f>
        <v>2559</v>
      </c>
    </row>
    <row r="207" spans="1:27" x14ac:dyDescent="0.25">
      <c r="A207" s="8">
        <f>'A) Base RI'!A207</f>
        <v>5728</v>
      </c>
      <c r="B207" s="33" t="str">
        <f>'A) Base RI'!B207</f>
        <v>Signy-Avenex</v>
      </c>
      <c r="C207" s="10">
        <f>'A) Base RI'!C207+'A) Base RI'!D207</f>
        <v>1593219.69</v>
      </c>
      <c r="D207" s="10">
        <f>'A) Base RI'!W207</f>
        <v>-21579.22</v>
      </c>
      <c r="E207" s="32">
        <f>'A) Base RI'!X207</f>
        <v>0</v>
      </c>
      <c r="F207" s="32">
        <f>'A) Base RI'!Y207</f>
        <v>-96.71</v>
      </c>
      <c r="G207" s="2">
        <f t="shared" si="18"/>
        <v>1571543.76</v>
      </c>
      <c r="H207" s="10">
        <f>+'A) Base RI'!E207</f>
        <v>0</v>
      </c>
      <c r="I207" s="10">
        <f>+'A) Base RI'!F207</f>
        <v>0</v>
      </c>
      <c r="J207" s="10">
        <f>+'A) Base RI'!G207+'A) Base RI'!H207+'A) Base RI'!I207</f>
        <v>217377.05</v>
      </c>
      <c r="K207" s="10">
        <f>+'A) Base RI'!J207</f>
        <v>17437.900000000001</v>
      </c>
      <c r="L207" s="10">
        <f>+'A) Base RI'!K207</f>
        <v>60157.24</v>
      </c>
      <c r="M207" s="10">
        <f>+'A) Base RI'!L207</f>
        <v>51544</v>
      </c>
      <c r="N207" s="10">
        <f>+'A) Base RI'!R207</f>
        <v>0</v>
      </c>
      <c r="O207" s="10">
        <f t="shared" si="19"/>
        <v>201872.3</v>
      </c>
      <c r="P207" s="10">
        <f>+'A) Base RI'!M207</f>
        <v>201872.3</v>
      </c>
      <c r="Q207" s="35">
        <f>'A) Base RI'!Z207</f>
        <v>1</v>
      </c>
      <c r="R207" s="2">
        <f t="shared" si="20"/>
        <v>2119932.25</v>
      </c>
      <c r="S207" s="34">
        <f>+'A) Base RI'!U207</f>
        <v>58</v>
      </c>
      <c r="T207" s="2">
        <f t="shared" si="21"/>
        <v>1866515.95</v>
      </c>
      <c r="U207" s="2">
        <f t="shared" si="22"/>
        <v>36550.556034482761</v>
      </c>
      <c r="V207" s="10">
        <f>+'A) Base RI'!P207</f>
        <v>0</v>
      </c>
      <c r="W207" s="10">
        <f>+'A) Base RI'!Q207</f>
        <v>106573.5</v>
      </c>
      <c r="X207" s="10">
        <f>+'A) Base RI'!S207</f>
        <v>51015.35</v>
      </c>
      <c r="Y207" s="2">
        <f t="shared" si="23"/>
        <v>157588.85</v>
      </c>
      <c r="Z207" s="10">
        <f>+'A) Base RI'!O207</f>
        <v>221113.4</v>
      </c>
      <c r="AA207" s="10">
        <f>'A) Base RI'!V207</f>
        <v>567</v>
      </c>
    </row>
    <row r="208" spans="1:27" x14ac:dyDescent="0.25">
      <c r="A208" s="8">
        <f>'A) Base RI'!A208</f>
        <v>5729</v>
      </c>
      <c r="B208" s="33" t="str">
        <f>'A) Base RI'!B208</f>
        <v>Tannay</v>
      </c>
      <c r="C208" s="10">
        <f>'A) Base RI'!C208+'A) Base RI'!D208</f>
        <v>9284480.4900000002</v>
      </c>
      <c r="D208" s="10">
        <f>'A) Base RI'!W208</f>
        <v>-16379.63</v>
      </c>
      <c r="E208" s="32">
        <f>'A) Base RI'!X208</f>
        <v>0</v>
      </c>
      <c r="F208" s="32">
        <f>'A) Base RI'!Y208</f>
        <v>-271.60000000000002</v>
      </c>
      <c r="G208" s="2">
        <f t="shared" si="18"/>
        <v>9267829.2599999998</v>
      </c>
      <c r="H208" s="10">
        <f>+'A) Base RI'!E208</f>
        <v>0</v>
      </c>
      <c r="I208" s="10">
        <f>+'A) Base RI'!F208</f>
        <v>0</v>
      </c>
      <c r="J208" s="10">
        <f>+'A) Base RI'!G208+'A) Base RI'!H208+'A) Base RI'!I208</f>
        <v>283904.94</v>
      </c>
      <c r="K208" s="10">
        <f>+'A) Base RI'!J208</f>
        <v>165919.35</v>
      </c>
      <c r="L208" s="10">
        <f>+'A) Base RI'!K208</f>
        <v>292796.92</v>
      </c>
      <c r="M208" s="10">
        <f>+'A) Base RI'!L208</f>
        <v>6012.15</v>
      </c>
      <c r="N208" s="10">
        <f>+'A) Base RI'!R208</f>
        <v>1103.98</v>
      </c>
      <c r="O208" s="10">
        <f t="shared" si="19"/>
        <v>524651.06666666665</v>
      </c>
      <c r="P208" s="10">
        <f>+'A) Base RI'!M208</f>
        <v>786976.6</v>
      </c>
      <c r="Q208" s="35">
        <f>'A) Base RI'!Z208</f>
        <v>1.5</v>
      </c>
      <c r="R208" s="2">
        <f t="shared" si="20"/>
        <v>10542217.666666666</v>
      </c>
      <c r="S208" s="34">
        <f>+'A) Base RI'!U208</f>
        <v>61</v>
      </c>
      <c r="T208" s="2">
        <f t="shared" si="21"/>
        <v>10011554.449999999</v>
      </c>
      <c r="U208" s="2">
        <f t="shared" si="22"/>
        <v>172823.24043715847</v>
      </c>
      <c r="V208" s="10">
        <f>+'A) Base RI'!P208</f>
        <v>151994.04999999999</v>
      </c>
      <c r="W208" s="10">
        <f>+'A) Base RI'!Q208</f>
        <v>500966.75</v>
      </c>
      <c r="X208" s="10">
        <f>+'A) Base RI'!S208</f>
        <v>461958.25</v>
      </c>
      <c r="Y208" s="2">
        <f t="shared" si="23"/>
        <v>1114919.05</v>
      </c>
      <c r="Z208" s="10">
        <f>+'A) Base RI'!O208</f>
        <v>19280.349999999999</v>
      </c>
      <c r="AA208" s="10">
        <f>'A) Base RI'!V208</f>
        <v>1585</v>
      </c>
    </row>
    <row r="209" spans="1:27" x14ac:dyDescent="0.25">
      <c r="A209" s="8">
        <f>'A) Base RI'!A209</f>
        <v>5730</v>
      </c>
      <c r="B209" s="33" t="str">
        <f>'A) Base RI'!B209</f>
        <v>Trélex</v>
      </c>
      <c r="C209" s="10">
        <f>'A) Base RI'!C209+'A) Base RI'!D209</f>
        <v>5311708.6899999995</v>
      </c>
      <c r="D209" s="10">
        <f>'A) Base RI'!W209</f>
        <v>-39404.93</v>
      </c>
      <c r="E209" s="32">
        <f>'A) Base RI'!X209</f>
        <v>0</v>
      </c>
      <c r="F209" s="32">
        <f>'A) Base RI'!Y209</f>
        <v>-26242.25</v>
      </c>
      <c r="G209" s="2">
        <f t="shared" si="18"/>
        <v>5246061.51</v>
      </c>
      <c r="H209" s="10">
        <f>+'A) Base RI'!E209</f>
        <v>0</v>
      </c>
      <c r="I209" s="10">
        <f>+'A) Base RI'!F209</f>
        <v>0</v>
      </c>
      <c r="J209" s="10">
        <f>+'A) Base RI'!G209+'A) Base RI'!H209+'A) Base RI'!I209</f>
        <v>111825.52</v>
      </c>
      <c r="K209" s="10">
        <f>+'A) Base RI'!J209</f>
        <v>69350.25</v>
      </c>
      <c r="L209" s="10">
        <f>+'A) Base RI'!K209</f>
        <v>40030.83</v>
      </c>
      <c r="M209" s="10">
        <f>+'A) Base RI'!L209</f>
        <v>1374.7</v>
      </c>
      <c r="N209" s="10">
        <f>+'A) Base RI'!R209</f>
        <v>13916.13</v>
      </c>
      <c r="O209" s="10">
        <f t="shared" si="19"/>
        <v>399014.72222222219</v>
      </c>
      <c r="P209" s="10">
        <f>+'A) Base RI'!M209</f>
        <v>359113.25</v>
      </c>
      <c r="Q209" s="35">
        <f>'A) Base RI'!Z209</f>
        <v>0.9</v>
      </c>
      <c r="R209" s="2">
        <f t="shared" si="20"/>
        <v>5881573.6622222215</v>
      </c>
      <c r="S209" s="34">
        <f>+'A) Base RI'!U209</f>
        <v>57</v>
      </c>
      <c r="T209" s="2">
        <f t="shared" si="21"/>
        <v>5481184.2399999993</v>
      </c>
      <c r="U209" s="2">
        <f t="shared" si="22"/>
        <v>103185.50284600389</v>
      </c>
      <c r="V209" s="10">
        <f>+'A) Base RI'!P209</f>
        <v>0</v>
      </c>
      <c r="W209" s="10">
        <f>+'A) Base RI'!Q209</f>
        <v>286550</v>
      </c>
      <c r="X209" s="10">
        <f>+'A) Base RI'!S209</f>
        <v>246173.85</v>
      </c>
      <c r="Y209" s="2">
        <f t="shared" si="23"/>
        <v>532723.85</v>
      </c>
      <c r="Z209" s="10">
        <f>+'A) Base RI'!O209</f>
        <v>5872.4</v>
      </c>
      <c r="AA209" s="10">
        <f>'A) Base RI'!V209</f>
        <v>1405</v>
      </c>
    </row>
    <row r="210" spans="1:27" x14ac:dyDescent="0.25">
      <c r="A210" s="8">
        <f>'A) Base RI'!A210</f>
        <v>5731</v>
      </c>
      <c r="B210" s="33" t="str">
        <f>'A) Base RI'!B210</f>
        <v>Le Vaud</v>
      </c>
      <c r="C210" s="10">
        <f>'A) Base RI'!C210+'A) Base RI'!D210</f>
        <v>3508506.62</v>
      </c>
      <c r="D210" s="10">
        <f>'A) Base RI'!W210</f>
        <v>-36907.160000000003</v>
      </c>
      <c r="E210" s="32">
        <f>'A) Base RI'!X210</f>
        <v>0</v>
      </c>
      <c r="F210" s="32">
        <f>'A) Base RI'!Y210</f>
        <v>-192.49</v>
      </c>
      <c r="G210" s="2">
        <f t="shared" si="18"/>
        <v>3471406.9699999997</v>
      </c>
      <c r="H210" s="10">
        <f>+'A) Base RI'!E210</f>
        <v>0</v>
      </c>
      <c r="I210" s="10">
        <f>+'A) Base RI'!F210</f>
        <v>0</v>
      </c>
      <c r="J210" s="10">
        <f>+'A) Base RI'!G210+'A) Base RI'!H210+'A) Base RI'!I210</f>
        <v>10899.41</v>
      </c>
      <c r="K210" s="10">
        <f>+'A) Base RI'!J210</f>
        <v>0</v>
      </c>
      <c r="L210" s="10">
        <f>+'A) Base RI'!K210</f>
        <v>52414.06</v>
      </c>
      <c r="M210" s="10">
        <f>+'A) Base RI'!L210</f>
        <v>4641</v>
      </c>
      <c r="N210" s="10">
        <f>+'A) Base RI'!R210</f>
        <v>31102.560000000001</v>
      </c>
      <c r="O210" s="10">
        <f t="shared" si="19"/>
        <v>241738.1</v>
      </c>
      <c r="P210" s="10">
        <f>+'A) Base RI'!M210</f>
        <v>362607.15</v>
      </c>
      <c r="Q210" s="35">
        <f>'A) Base RI'!Z210</f>
        <v>1.5</v>
      </c>
      <c r="R210" s="2">
        <f t="shared" si="20"/>
        <v>3812202.1</v>
      </c>
      <c r="S210" s="34">
        <f>+'A) Base RI'!U210</f>
        <v>75</v>
      </c>
      <c r="T210" s="2">
        <f t="shared" si="21"/>
        <v>3565823</v>
      </c>
      <c r="U210" s="2">
        <f t="shared" si="22"/>
        <v>50829.361333333334</v>
      </c>
      <c r="V210" s="10">
        <f>+'A) Base RI'!P210</f>
        <v>26387.5</v>
      </c>
      <c r="W210" s="10">
        <f>+'A) Base RI'!Q210</f>
        <v>186716.25</v>
      </c>
      <c r="X210" s="10">
        <f>+'A) Base RI'!S210</f>
        <v>139796.54999999999</v>
      </c>
      <c r="Y210" s="2">
        <f t="shared" si="23"/>
        <v>352900.3</v>
      </c>
      <c r="Z210" s="10">
        <f>+'A) Base RI'!O210</f>
        <v>20640.25</v>
      </c>
      <c r="AA210" s="10">
        <f>'A) Base RI'!V210</f>
        <v>1283</v>
      </c>
    </row>
    <row r="211" spans="1:27" x14ac:dyDescent="0.25">
      <c r="A211" s="8">
        <f>'A) Base RI'!A211</f>
        <v>5732</v>
      </c>
      <c r="B211" s="33" t="str">
        <f>'A) Base RI'!B211</f>
        <v>Vich</v>
      </c>
      <c r="C211" s="10">
        <f>'A) Base RI'!C211+'A) Base RI'!D211</f>
        <v>3482681.55</v>
      </c>
      <c r="D211" s="10">
        <f>'A) Base RI'!W211</f>
        <v>-35321.03</v>
      </c>
      <c r="E211" s="32">
        <f>'A) Base RI'!X211</f>
        <v>0</v>
      </c>
      <c r="F211" s="32">
        <f>'A) Base RI'!Y211</f>
        <v>-816.11</v>
      </c>
      <c r="G211" s="2">
        <f t="shared" si="18"/>
        <v>3446544.41</v>
      </c>
      <c r="H211" s="10">
        <f>+'A) Base RI'!E211</f>
        <v>0</v>
      </c>
      <c r="I211" s="10">
        <f>+'A) Base RI'!F211</f>
        <v>0</v>
      </c>
      <c r="J211" s="10">
        <f>+'A) Base RI'!G211+'A) Base RI'!H211+'A) Base RI'!I211</f>
        <v>304891.19</v>
      </c>
      <c r="K211" s="10">
        <f>+'A) Base RI'!J211</f>
        <v>13034.05</v>
      </c>
      <c r="L211" s="10">
        <f>+'A) Base RI'!K211</f>
        <v>34674.65</v>
      </c>
      <c r="M211" s="10">
        <f>+'A) Base RI'!L211</f>
        <v>13445.9</v>
      </c>
      <c r="N211" s="10">
        <f>+'A) Base RI'!R211</f>
        <v>28056.73</v>
      </c>
      <c r="O211" s="10">
        <f t="shared" si="19"/>
        <v>309901.09999999998</v>
      </c>
      <c r="P211" s="10">
        <f>+'A) Base RI'!M211</f>
        <v>309901.09999999998</v>
      </c>
      <c r="Q211" s="35">
        <f>'A) Base RI'!Z211</f>
        <v>1</v>
      </c>
      <c r="R211" s="2">
        <f t="shared" si="20"/>
        <v>4150548.03</v>
      </c>
      <c r="S211" s="34">
        <f>+'A) Base RI'!U211</f>
        <v>68</v>
      </c>
      <c r="T211" s="2">
        <f t="shared" si="21"/>
        <v>3827201.03</v>
      </c>
      <c r="U211" s="2">
        <f t="shared" si="22"/>
        <v>61037.471029411761</v>
      </c>
      <c r="V211" s="10">
        <f>+'A) Base RI'!P211</f>
        <v>2151.6</v>
      </c>
      <c r="W211" s="10">
        <f>+'A) Base RI'!Q211</f>
        <v>208800.35</v>
      </c>
      <c r="X211" s="10">
        <f>+'A) Base RI'!S211</f>
        <v>345665.4</v>
      </c>
      <c r="Y211" s="2">
        <f t="shared" si="23"/>
        <v>556617.35000000009</v>
      </c>
      <c r="Z211" s="10">
        <f>+'A) Base RI'!O211</f>
        <v>75839.3</v>
      </c>
      <c r="AA211" s="10">
        <f>'A) Base RI'!V211</f>
        <v>1026</v>
      </c>
    </row>
    <row r="212" spans="1:27" x14ac:dyDescent="0.25">
      <c r="A212" s="8">
        <f>'A) Base RI'!A212</f>
        <v>5741</v>
      </c>
      <c r="B212" s="33" t="str">
        <f>'A) Base RI'!B212</f>
        <v>L'Abergement</v>
      </c>
      <c r="C212" s="10">
        <f>'A) Base RI'!C212+'A) Base RI'!D212</f>
        <v>498484.73</v>
      </c>
      <c r="D212" s="10">
        <f>'A) Base RI'!W212</f>
        <v>-8041.82</v>
      </c>
      <c r="E212" s="32">
        <f>'A) Base RI'!X212</f>
        <v>0</v>
      </c>
      <c r="F212" s="32">
        <f>'A) Base RI'!Y212</f>
        <v>-122.62</v>
      </c>
      <c r="G212" s="2">
        <f t="shared" si="18"/>
        <v>490320.29</v>
      </c>
      <c r="H212" s="10">
        <f>+'A) Base RI'!E212</f>
        <v>0</v>
      </c>
      <c r="I212" s="10">
        <f>+'A) Base RI'!F212</f>
        <v>1330</v>
      </c>
      <c r="J212" s="10">
        <f>+'A) Base RI'!G212+'A) Base RI'!H212+'A) Base RI'!I212</f>
        <v>5368.93</v>
      </c>
      <c r="K212" s="10">
        <f>+'A) Base RI'!J212</f>
        <v>0</v>
      </c>
      <c r="L212" s="10">
        <f>+'A) Base RI'!K212</f>
        <v>1801.23</v>
      </c>
      <c r="M212" s="10">
        <f>+'A) Base RI'!L212</f>
        <v>0</v>
      </c>
      <c r="N212" s="10">
        <f>+'A) Base RI'!R212</f>
        <v>2057.86</v>
      </c>
      <c r="O212" s="10">
        <f t="shared" si="19"/>
        <v>35305.333333333336</v>
      </c>
      <c r="P212" s="10">
        <f>+'A) Base RI'!M212</f>
        <v>42366.400000000001</v>
      </c>
      <c r="Q212" s="35">
        <f>'A) Base RI'!Z212</f>
        <v>1.2</v>
      </c>
      <c r="R212" s="2">
        <f t="shared" si="20"/>
        <v>536183.64333333331</v>
      </c>
      <c r="S212" s="34">
        <f>+'A) Base RI'!U212</f>
        <v>81</v>
      </c>
      <c r="T212" s="2">
        <f t="shared" si="21"/>
        <v>499548.30999999994</v>
      </c>
      <c r="U212" s="2">
        <f t="shared" si="22"/>
        <v>6619.5511522633742</v>
      </c>
      <c r="V212" s="10">
        <f>+'A) Base RI'!P212</f>
        <v>1380.6</v>
      </c>
      <c r="W212" s="10">
        <f>+'A) Base RI'!Q212</f>
        <v>34066.949999999997</v>
      </c>
      <c r="X212" s="10">
        <f>+'A) Base RI'!S212</f>
        <v>24002.65</v>
      </c>
      <c r="Y212" s="2">
        <f t="shared" si="23"/>
        <v>59450.2</v>
      </c>
      <c r="Z212" s="10">
        <f>+'A) Base RI'!O212</f>
        <v>7043.5</v>
      </c>
      <c r="AA212" s="10">
        <f>'A) Base RI'!V212</f>
        <v>237</v>
      </c>
    </row>
    <row r="213" spans="1:27" x14ac:dyDescent="0.25">
      <c r="A213" s="8">
        <f>'A) Base RI'!A213</f>
        <v>5742</v>
      </c>
      <c r="B213" s="33" t="str">
        <f>'A) Base RI'!B213</f>
        <v>Agiez</v>
      </c>
      <c r="C213" s="10">
        <f>'A) Base RI'!C213+'A) Base RI'!D213</f>
        <v>642294.84000000008</v>
      </c>
      <c r="D213" s="10">
        <f>'A) Base RI'!W213</f>
        <v>-2913.53</v>
      </c>
      <c r="E213" s="32">
        <f>'A) Base RI'!X213</f>
        <v>0</v>
      </c>
      <c r="F213" s="32">
        <f>'A) Base RI'!Y213</f>
        <v>0</v>
      </c>
      <c r="G213" s="2">
        <f t="shared" si="18"/>
        <v>639381.31000000006</v>
      </c>
      <c r="H213" s="10">
        <f>+'A) Base RI'!E213</f>
        <v>0</v>
      </c>
      <c r="I213" s="10">
        <f>+'A) Base RI'!F213</f>
        <v>0</v>
      </c>
      <c r="J213" s="10">
        <f>+'A) Base RI'!G213+'A) Base RI'!H213+'A) Base RI'!I213</f>
        <v>9740.0300000000007</v>
      </c>
      <c r="K213" s="10">
        <f>+'A) Base RI'!J213</f>
        <v>0</v>
      </c>
      <c r="L213" s="10">
        <f>+'A) Base RI'!K213</f>
        <v>14377.09</v>
      </c>
      <c r="M213" s="10">
        <f>+'A) Base RI'!L213</f>
        <v>853.3</v>
      </c>
      <c r="N213" s="10">
        <f>+'A) Base RI'!R213</f>
        <v>0</v>
      </c>
      <c r="O213" s="10">
        <f t="shared" si="19"/>
        <v>46573.7</v>
      </c>
      <c r="P213" s="10">
        <f>+'A) Base RI'!M213</f>
        <v>23286.85</v>
      </c>
      <c r="Q213" s="35">
        <f>'A) Base RI'!Z213</f>
        <v>0.5</v>
      </c>
      <c r="R213" s="2">
        <f t="shared" si="20"/>
        <v>710925.43</v>
      </c>
      <c r="S213" s="34">
        <f>+'A) Base RI'!U213</f>
        <v>76</v>
      </c>
      <c r="T213" s="2">
        <f t="shared" si="21"/>
        <v>663498.43000000005</v>
      </c>
      <c r="U213" s="2">
        <f t="shared" si="22"/>
        <v>9354.2819736842121</v>
      </c>
      <c r="V213" s="10">
        <f>+'A) Base RI'!P213</f>
        <v>241.8</v>
      </c>
      <c r="W213" s="10">
        <f>+'A) Base RI'!Q213</f>
        <v>38383.699999999997</v>
      </c>
      <c r="X213" s="10">
        <f>+'A) Base RI'!S213</f>
        <v>33930.550000000003</v>
      </c>
      <c r="Y213" s="2">
        <f t="shared" si="23"/>
        <v>72556.05</v>
      </c>
      <c r="Z213" s="10">
        <f>+'A) Base RI'!O213</f>
        <v>1671.4</v>
      </c>
      <c r="AA213" s="10">
        <f>'A) Base RI'!V213</f>
        <v>314</v>
      </c>
    </row>
    <row r="214" spans="1:27" x14ac:dyDescent="0.25">
      <c r="A214" s="8">
        <f>'A) Base RI'!A214</f>
        <v>5743</v>
      </c>
      <c r="B214" s="33" t="str">
        <f>'A) Base RI'!B214</f>
        <v>Arnex-sur-Orbe</v>
      </c>
      <c r="C214" s="10">
        <f>'A) Base RI'!C214+'A) Base RI'!D214</f>
        <v>1179225.19</v>
      </c>
      <c r="D214" s="10">
        <f>'A) Base RI'!W214</f>
        <v>-7926.21</v>
      </c>
      <c r="E214" s="32">
        <f>'A) Base RI'!X214</f>
        <v>0</v>
      </c>
      <c r="F214" s="32">
        <f>'A) Base RI'!Y214</f>
        <v>0</v>
      </c>
      <c r="G214" s="2">
        <f t="shared" si="18"/>
        <v>1171298.98</v>
      </c>
      <c r="H214" s="10">
        <f>+'A) Base RI'!E214</f>
        <v>0</v>
      </c>
      <c r="I214" s="10">
        <f>+'A) Base RI'!F214</f>
        <v>0</v>
      </c>
      <c r="J214" s="10">
        <f>+'A) Base RI'!G214+'A) Base RI'!H214+'A) Base RI'!I214</f>
        <v>10112.620000000001</v>
      </c>
      <c r="K214" s="10">
        <f>+'A) Base RI'!J214</f>
        <v>0</v>
      </c>
      <c r="L214" s="10">
        <f>+'A) Base RI'!K214</f>
        <v>23132.49</v>
      </c>
      <c r="M214" s="10">
        <f>+'A) Base RI'!L214</f>
        <v>0</v>
      </c>
      <c r="N214" s="10">
        <f>+'A) Base RI'!R214</f>
        <v>1639.32</v>
      </c>
      <c r="O214" s="10">
        <f t="shared" si="19"/>
        <v>78178.875</v>
      </c>
      <c r="P214" s="10">
        <f>+'A) Base RI'!M214</f>
        <v>62543.1</v>
      </c>
      <c r="Q214" s="35">
        <f>'A) Base RI'!Z214</f>
        <v>0.8</v>
      </c>
      <c r="R214" s="2">
        <f t="shared" si="20"/>
        <v>1284362.2850000001</v>
      </c>
      <c r="S214" s="34">
        <f>+'A) Base RI'!U214</f>
        <v>73</v>
      </c>
      <c r="T214" s="2">
        <f t="shared" si="21"/>
        <v>1206183.4100000001</v>
      </c>
      <c r="U214" s="2">
        <f t="shared" si="22"/>
        <v>17594.003904109592</v>
      </c>
      <c r="V214" s="10">
        <f>+'A) Base RI'!P214</f>
        <v>27463.7</v>
      </c>
      <c r="W214" s="10">
        <f>+'A) Base RI'!Q214</f>
        <v>47171.6</v>
      </c>
      <c r="X214" s="10">
        <f>+'A) Base RI'!S214</f>
        <v>77711.899999999994</v>
      </c>
      <c r="Y214" s="2">
        <f t="shared" si="23"/>
        <v>152347.20000000001</v>
      </c>
      <c r="Z214" s="10">
        <f>+'A) Base RI'!O214</f>
        <v>27265.05</v>
      </c>
      <c r="AA214" s="10">
        <f>'A) Base RI'!V214</f>
        <v>642</v>
      </c>
    </row>
    <row r="215" spans="1:27" x14ac:dyDescent="0.25">
      <c r="A215" s="8">
        <f>'A) Base RI'!A215</f>
        <v>5744</v>
      </c>
      <c r="B215" s="33" t="str">
        <f>'A) Base RI'!B215</f>
        <v>Ballaigues</v>
      </c>
      <c r="C215" s="10">
        <f>'A) Base RI'!C215+'A) Base RI'!D215</f>
        <v>1503112.21</v>
      </c>
      <c r="D215" s="10">
        <f>'A) Base RI'!W215</f>
        <v>-52921.77</v>
      </c>
      <c r="E215" s="32">
        <f>'A) Base RI'!X215</f>
        <v>0</v>
      </c>
      <c r="F215" s="32">
        <f>'A) Base RI'!Y215</f>
        <v>-422.29</v>
      </c>
      <c r="G215" s="2">
        <f t="shared" si="18"/>
        <v>1449768.15</v>
      </c>
      <c r="H215" s="10">
        <f>+'A) Base RI'!E215</f>
        <v>0</v>
      </c>
      <c r="I215" s="10">
        <f>+'A) Base RI'!F215</f>
        <v>6340</v>
      </c>
      <c r="J215" s="10">
        <f>+'A) Base RI'!G215+'A) Base RI'!H215+'A) Base RI'!I215</f>
        <v>1569419.35</v>
      </c>
      <c r="K215" s="10">
        <f>+'A) Base RI'!J215</f>
        <v>0</v>
      </c>
      <c r="L215" s="10">
        <f>+'A) Base RI'!K215</f>
        <v>88985.29</v>
      </c>
      <c r="M215" s="10">
        <f>+'A) Base RI'!L215</f>
        <v>0</v>
      </c>
      <c r="N215" s="10">
        <f>+'A) Base RI'!R215</f>
        <v>11786.24</v>
      </c>
      <c r="O215" s="10">
        <f t="shared" si="19"/>
        <v>159935.9</v>
      </c>
      <c r="P215" s="10">
        <f>+'A) Base RI'!M215</f>
        <v>159935.9</v>
      </c>
      <c r="Q215" s="35">
        <f>'A) Base RI'!Z215</f>
        <v>1</v>
      </c>
      <c r="R215" s="2">
        <f t="shared" si="20"/>
        <v>3286234.93</v>
      </c>
      <c r="S215" s="34">
        <f>+'A) Base RI'!U215</f>
        <v>66</v>
      </c>
      <c r="T215" s="2">
        <f t="shared" si="21"/>
        <v>3119959.0300000003</v>
      </c>
      <c r="U215" s="2">
        <f t="shared" si="22"/>
        <v>49791.438333333339</v>
      </c>
      <c r="V215" s="10">
        <f>+'A) Base RI'!P215</f>
        <v>16975.8</v>
      </c>
      <c r="W215" s="10">
        <f>+'A) Base RI'!Q215</f>
        <v>84900.1</v>
      </c>
      <c r="X215" s="10">
        <f>+'A) Base RI'!S215</f>
        <v>103476.65</v>
      </c>
      <c r="Y215" s="2">
        <f t="shared" si="23"/>
        <v>205352.55</v>
      </c>
      <c r="Z215" s="10">
        <f>+'A) Base RI'!O215</f>
        <v>1188651.25</v>
      </c>
      <c r="AA215" s="10">
        <f>'A) Base RI'!V215</f>
        <v>1095</v>
      </c>
    </row>
    <row r="216" spans="1:27" x14ac:dyDescent="0.25">
      <c r="A216" s="8">
        <f>'A) Base RI'!A216</f>
        <v>5745</v>
      </c>
      <c r="B216" s="33" t="str">
        <f>'A) Base RI'!B216</f>
        <v>Baulmes</v>
      </c>
      <c r="C216" s="10">
        <f>'A) Base RI'!C216+'A) Base RI'!D216</f>
        <v>1812800.57</v>
      </c>
      <c r="D216" s="10">
        <f>'A) Base RI'!W216</f>
        <v>-29233.97</v>
      </c>
      <c r="E216" s="32">
        <f>'A) Base RI'!X216</f>
        <v>0</v>
      </c>
      <c r="F216" s="32">
        <f>'A) Base RI'!Y216</f>
        <v>-22.01</v>
      </c>
      <c r="G216" s="2">
        <f t="shared" si="18"/>
        <v>1783544.59</v>
      </c>
      <c r="H216" s="10">
        <f>+'A) Base RI'!E216</f>
        <v>0</v>
      </c>
      <c r="I216" s="10">
        <f>+'A) Base RI'!F216</f>
        <v>0</v>
      </c>
      <c r="J216" s="10">
        <f>+'A) Base RI'!G216+'A) Base RI'!H216+'A) Base RI'!I216</f>
        <v>52056.38</v>
      </c>
      <c r="K216" s="10">
        <f>+'A) Base RI'!J216</f>
        <v>0</v>
      </c>
      <c r="L216" s="10">
        <f>+'A) Base RI'!K216</f>
        <v>16087.85</v>
      </c>
      <c r="M216" s="10">
        <f>+'A) Base RI'!L216</f>
        <v>0</v>
      </c>
      <c r="N216" s="10">
        <f>+'A) Base RI'!R216</f>
        <v>3445.88</v>
      </c>
      <c r="O216" s="10">
        <f t="shared" si="19"/>
        <v>124175.8</v>
      </c>
      <c r="P216" s="10">
        <f>+'A) Base RI'!M216</f>
        <v>124175.8</v>
      </c>
      <c r="Q216" s="35">
        <f>'A) Base RI'!Z216</f>
        <v>1</v>
      </c>
      <c r="R216" s="2">
        <f t="shared" si="20"/>
        <v>1979310.5</v>
      </c>
      <c r="S216" s="34">
        <f>+'A) Base RI'!U216</f>
        <v>78</v>
      </c>
      <c r="T216" s="2">
        <f t="shared" si="21"/>
        <v>1855134.7</v>
      </c>
      <c r="U216" s="2">
        <f t="shared" si="22"/>
        <v>25375.775641025641</v>
      </c>
      <c r="V216" s="10">
        <f>+'A) Base RI'!P216</f>
        <v>2640</v>
      </c>
      <c r="W216" s="10">
        <f>+'A) Base RI'!Q216</f>
        <v>52778</v>
      </c>
      <c r="X216" s="10">
        <f>+'A) Base RI'!S216</f>
        <v>16332.9</v>
      </c>
      <c r="Y216" s="2">
        <f t="shared" si="23"/>
        <v>71750.899999999994</v>
      </c>
      <c r="Z216" s="10">
        <f>+'A) Base RI'!O216</f>
        <v>192572.15</v>
      </c>
      <c r="AA216" s="10">
        <f>'A) Base RI'!V216</f>
        <v>1053</v>
      </c>
    </row>
    <row r="217" spans="1:27" x14ac:dyDescent="0.25">
      <c r="A217" s="8">
        <f>'A) Base RI'!A217</f>
        <v>5746</v>
      </c>
      <c r="B217" s="33" t="str">
        <f>'A) Base RI'!B217</f>
        <v>Bavois</v>
      </c>
      <c r="C217" s="10">
        <f>'A) Base RI'!C217+'A) Base RI'!D217</f>
        <v>1635128.11</v>
      </c>
      <c r="D217" s="10">
        <f>'A) Base RI'!W217</f>
        <v>-29981.54</v>
      </c>
      <c r="E217" s="32">
        <f>'A) Base RI'!X217</f>
        <v>0</v>
      </c>
      <c r="F217" s="32">
        <f>'A) Base RI'!Y217</f>
        <v>-48.15</v>
      </c>
      <c r="G217" s="2">
        <f t="shared" si="18"/>
        <v>1605098.4200000002</v>
      </c>
      <c r="H217" s="10">
        <f>+'A) Base RI'!E217</f>
        <v>0</v>
      </c>
      <c r="I217" s="10">
        <f>+'A) Base RI'!F217</f>
        <v>0</v>
      </c>
      <c r="J217" s="10">
        <f>+'A) Base RI'!G217+'A) Base RI'!H217+'A) Base RI'!I217</f>
        <v>57306.039999999994</v>
      </c>
      <c r="K217" s="10">
        <f>+'A) Base RI'!J217</f>
        <v>0</v>
      </c>
      <c r="L217" s="10">
        <f>+'A) Base RI'!K217</f>
        <v>33648.699999999997</v>
      </c>
      <c r="M217" s="10">
        <f>+'A) Base RI'!L217</f>
        <v>0</v>
      </c>
      <c r="N217" s="10">
        <f>+'A) Base RI'!R217</f>
        <v>0</v>
      </c>
      <c r="O217" s="10">
        <f t="shared" si="19"/>
        <v>166031.5</v>
      </c>
      <c r="P217" s="10">
        <f>+'A) Base RI'!M217</f>
        <v>199237.8</v>
      </c>
      <c r="Q217" s="35">
        <f>'A) Base RI'!Z217</f>
        <v>1.2</v>
      </c>
      <c r="R217" s="2">
        <f t="shared" si="20"/>
        <v>1862084.6600000001</v>
      </c>
      <c r="S217" s="34">
        <f>+'A) Base RI'!U217</f>
        <v>73</v>
      </c>
      <c r="T217" s="2">
        <f t="shared" si="21"/>
        <v>1696053.1600000001</v>
      </c>
      <c r="U217" s="2">
        <f t="shared" si="22"/>
        <v>25508.009041095891</v>
      </c>
      <c r="V217" s="10">
        <f>+'A) Base RI'!P217</f>
        <v>2022.9</v>
      </c>
      <c r="W217" s="10">
        <f>+'A) Base RI'!Q217</f>
        <v>85696.35</v>
      </c>
      <c r="X217" s="10">
        <f>+'A) Base RI'!S217</f>
        <v>64410.1</v>
      </c>
      <c r="Y217" s="2">
        <f t="shared" si="23"/>
        <v>152129.35</v>
      </c>
      <c r="Z217" s="10">
        <f>+'A) Base RI'!O217</f>
        <v>20320.150000000001</v>
      </c>
      <c r="AA217" s="10">
        <f>'A) Base RI'!V217</f>
        <v>928</v>
      </c>
    </row>
    <row r="218" spans="1:27" x14ac:dyDescent="0.25">
      <c r="A218" s="8">
        <f>'A) Base RI'!A218</f>
        <v>5747</v>
      </c>
      <c r="B218" s="33" t="str">
        <f>'A) Base RI'!B218</f>
        <v>Bofflens</v>
      </c>
      <c r="C218" s="10">
        <f>'A) Base RI'!C218+'A) Base RI'!D218</f>
        <v>336733.53999999992</v>
      </c>
      <c r="D218" s="10">
        <f>'A) Base RI'!W218</f>
        <v>-1520.07</v>
      </c>
      <c r="E218" s="32">
        <f>'A) Base RI'!X218</f>
        <v>0</v>
      </c>
      <c r="F218" s="32">
        <f>'A) Base RI'!Y218</f>
        <v>-0.99</v>
      </c>
      <c r="G218" s="2">
        <f t="shared" si="18"/>
        <v>335212.47999999992</v>
      </c>
      <c r="H218" s="10">
        <f>+'A) Base RI'!E218</f>
        <v>0</v>
      </c>
      <c r="I218" s="10">
        <f>+'A) Base RI'!F218</f>
        <v>0</v>
      </c>
      <c r="J218" s="10">
        <f>+'A) Base RI'!G218+'A) Base RI'!H218+'A) Base RI'!I218</f>
        <v>5727.43</v>
      </c>
      <c r="K218" s="10">
        <f>+'A) Base RI'!J218</f>
        <v>0</v>
      </c>
      <c r="L218" s="10">
        <f>+'A) Base RI'!K218</f>
        <v>4735.13</v>
      </c>
      <c r="M218" s="10">
        <f>+'A) Base RI'!L218</f>
        <v>0</v>
      </c>
      <c r="N218" s="10">
        <f>+'A) Base RI'!R218</f>
        <v>0</v>
      </c>
      <c r="O218" s="10">
        <f t="shared" si="19"/>
        <v>27078.2</v>
      </c>
      <c r="P218" s="10">
        <f>+'A) Base RI'!M218</f>
        <v>27078.2</v>
      </c>
      <c r="Q218" s="35">
        <f>'A) Base RI'!Z218</f>
        <v>1</v>
      </c>
      <c r="R218" s="2">
        <f t="shared" si="20"/>
        <v>372753.23999999993</v>
      </c>
      <c r="S218" s="34">
        <f>+'A) Base RI'!U218</f>
        <v>69</v>
      </c>
      <c r="T218" s="2">
        <f t="shared" si="21"/>
        <v>345675.03999999992</v>
      </c>
      <c r="U218" s="2">
        <f t="shared" si="22"/>
        <v>5402.2208695652162</v>
      </c>
      <c r="V218" s="10">
        <f>+'A) Base RI'!P218</f>
        <v>0</v>
      </c>
      <c r="W218" s="10">
        <f>+'A) Base RI'!Q218</f>
        <v>1011.2</v>
      </c>
      <c r="X218" s="10">
        <f>+'A) Base RI'!S218</f>
        <v>0</v>
      </c>
      <c r="Y218" s="2">
        <f t="shared" si="23"/>
        <v>1011.2</v>
      </c>
      <c r="Z218" s="10">
        <f>+'A) Base RI'!O218</f>
        <v>0</v>
      </c>
      <c r="AA218" s="10">
        <f>'A) Base RI'!V218</f>
        <v>191</v>
      </c>
    </row>
    <row r="219" spans="1:27" x14ac:dyDescent="0.25">
      <c r="A219" s="8">
        <f>'A) Base RI'!A219</f>
        <v>5748</v>
      </c>
      <c r="B219" s="33" t="str">
        <f>'A) Base RI'!B219</f>
        <v>Bretonnières</v>
      </c>
      <c r="C219" s="10">
        <f>'A) Base RI'!C219+'A) Base RI'!D219</f>
        <v>501798.04000000004</v>
      </c>
      <c r="D219" s="10">
        <f>'A) Base RI'!W219</f>
        <v>-5621.77</v>
      </c>
      <c r="E219" s="32">
        <f>'A) Base RI'!X219</f>
        <v>0</v>
      </c>
      <c r="F219" s="32">
        <f>'A) Base RI'!Y219</f>
        <v>0</v>
      </c>
      <c r="G219" s="2">
        <f t="shared" si="18"/>
        <v>496176.27</v>
      </c>
      <c r="H219" s="10">
        <f>+'A) Base RI'!E219</f>
        <v>0</v>
      </c>
      <c r="I219" s="10">
        <f>+'A) Base RI'!F219</f>
        <v>2170</v>
      </c>
      <c r="J219" s="10">
        <f>+'A) Base RI'!G219+'A) Base RI'!H219+'A) Base RI'!I219</f>
        <v>2908.2899999999995</v>
      </c>
      <c r="K219" s="10">
        <f>+'A) Base RI'!J219</f>
        <v>0</v>
      </c>
      <c r="L219" s="10">
        <f>+'A) Base RI'!K219</f>
        <v>6129.57</v>
      </c>
      <c r="M219" s="10">
        <f>+'A) Base RI'!L219</f>
        <v>0</v>
      </c>
      <c r="N219" s="10">
        <f>+'A) Base RI'!R219</f>
        <v>8832.99</v>
      </c>
      <c r="O219" s="10">
        <f t="shared" si="19"/>
        <v>35378.333333333336</v>
      </c>
      <c r="P219" s="10">
        <f>+'A) Base RI'!M219</f>
        <v>21227</v>
      </c>
      <c r="Q219" s="35">
        <f>'A) Base RI'!Z219</f>
        <v>0.6</v>
      </c>
      <c r="R219" s="2">
        <f t="shared" si="20"/>
        <v>551595.45333333337</v>
      </c>
      <c r="S219" s="34">
        <f>+'A) Base RI'!U219</f>
        <v>72</v>
      </c>
      <c r="T219" s="2">
        <f t="shared" si="21"/>
        <v>514047.12</v>
      </c>
      <c r="U219" s="2">
        <f t="shared" si="22"/>
        <v>7661.0479629629635</v>
      </c>
      <c r="V219" s="10">
        <f>+'A) Base RI'!P219</f>
        <v>194005.8</v>
      </c>
      <c r="W219" s="10">
        <f>+'A) Base RI'!Q219</f>
        <v>13265.75</v>
      </c>
      <c r="X219" s="10">
        <f>+'A) Base RI'!S219</f>
        <v>6703.1</v>
      </c>
      <c r="Y219" s="2">
        <f t="shared" si="23"/>
        <v>213974.65</v>
      </c>
      <c r="Z219" s="10">
        <f>+'A) Base RI'!O219</f>
        <v>6433.6</v>
      </c>
      <c r="AA219" s="10">
        <f>'A) Base RI'!V219</f>
        <v>262</v>
      </c>
    </row>
    <row r="220" spans="1:27" x14ac:dyDescent="0.25">
      <c r="A220" s="8">
        <f>'A) Base RI'!A220</f>
        <v>5749</v>
      </c>
      <c r="B220" s="33" t="str">
        <f>'A) Base RI'!B220</f>
        <v>Chavornay</v>
      </c>
      <c r="C220" s="10">
        <f>'A) Base RI'!C220+'A) Base RI'!D220</f>
        <v>8459793.5500000007</v>
      </c>
      <c r="D220" s="10">
        <f>'A) Base RI'!W220</f>
        <v>-231348.09</v>
      </c>
      <c r="E220" s="32">
        <f>'A) Base RI'!X220</f>
        <v>0</v>
      </c>
      <c r="F220" s="32">
        <f>'A) Base RI'!Y220</f>
        <v>-409.2</v>
      </c>
      <c r="G220" s="2">
        <f t="shared" si="18"/>
        <v>8228036.2600000007</v>
      </c>
      <c r="H220" s="10">
        <f>+'A) Base RI'!E220</f>
        <v>0</v>
      </c>
      <c r="I220" s="10">
        <f>+'A) Base RI'!F220</f>
        <v>0</v>
      </c>
      <c r="J220" s="10">
        <f>+'A) Base RI'!G220+'A) Base RI'!H220+'A) Base RI'!I220</f>
        <v>356480.91727272724</v>
      </c>
      <c r="K220" s="10">
        <f>+'A) Base RI'!J220</f>
        <v>0</v>
      </c>
      <c r="L220" s="10">
        <f>+'A) Base RI'!K220</f>
        <v>239142.54</v>
      </c>
      <c r="M220" s="10">
        <f>+'A) Base RI'!L220</f>
        <v>48604.4</v>
      </c>
      <c r="N220" s="10">
        <f>+'A) Base RI'!R220</f>
        <v>92601.24</v>
      </c>
      <c r="O220" s="10">
        <f t="shared" si="19"/>
        <v>736460.05</v>
      </c>
      <c r="P220" s="10">
        <f>+'A) Base RI'!M220</f>
        <v>736460.05</v>
      </c>
      <c r="Q220" s="35">
        <f>'A) Base RI'!Z220</f>
        <v>1</v>
      </c>
      <c r="R220" s="2">
        <f t="shared" si="20"/>
        <v>9701325.4072727282</v>
      </c>
      <c r="S220" s="34">
        <f>+'A) Base RI'!U220</f>
        <v>72</v>
      </c>
      <c r="T220" s="2">
        <f t="shared" si="21"/>
        <v>8916260.957272727</v>
      </c>
      <c r="U220" s="2">
        <f t="shared" si="22"/>
        <v>134740.63065656566</v>
      </c>
      <c r="V220" s="10">
        <f>+'A) Base RI'!P220</f>
        <v>75299.600000000006</v>
      </c>
      <c r="W220" s="10">
        <f>+'A) Base RI'!Q220</f>
        <v>270997.8</v>
      </c>
      <c r="X220" s="10">
        <f>+'A) Base RI'!S220</f>
        <v>170064.8</v>
      </c>
      <c r="Y220" s="2">
        <f t="shared" si="23"/>
        <v>516362.2</v>
      </c>
      <c r="Z220" s="10">
        <f>+'A) Base RI'!O220</f>
        <v>588022.9</v>
      </c>
      <c r="AA220" s="10">
        <f>'A) Base RI'!V220</f>
        <v>4908</v>
      </c>
    </row>
    <row r="221" spans="1:27" x14ac:dyDescent="0.25">
      <c r="A221" s="8">
        <f>'A) Base RI'!A221</f>
        <v>5750</v>
      </c>
      <c r="B221" s="33" t="str">
        <f>'A) Base RI'!B221</f>
        <v>Les Clées</v>
      </c>
      <c r="C221" s="10">
        <f>'A) Base RI'!C221+'A) Base RI'!D221</f>
        <v>383861.73</v>
      </c>
      <c r="D221" s="10">
        <f>'A) Base RI'!W221</f>
        <v>-14695.31</v>
      </c>
      <c r="E221" s="32">
        <f>'A) Base RI'!X221</f>
        <v>0</v>
      </c>
      <c r="F221" s="32">
        <f>'A) Base RI'!Y221</f>
        <v>0</v>
      </c>
      <c r="G221" s="2">
        <f t="shared" si="18"/>
        <v>369166.42</v>
      </c>
      <c r="H221" s="10">
        <f>+'A) Base RI'!E221</f>
        <v>0</v>
      </c>
      <c r="I221" s="10">
        <f>+'A) Base RI'!F221</f>
        <v>1020</v>
      </c>
      <c r="J221" s="10">
        <f>+'A) Base RI'!G221+'A) Base RI'!H221+'A) Base RI'!I221</f>
        <v>3427.12</v>
      </c>
      <c r="K221" s="10">
        <f>+'A) Base RI'!J221</f>
        <v>0</v>
      </c>
      <c r="L221" s="10">
        <f>+'A) Base RI'!K221</f>
        <v>8539.44</v>
      </c>
      <c r="M221" s="10">
        <f>+'A) Base RI'!L221</f>
        <v>-1746.35</v>
      </c>
      <c r="N221" s="10">
        <f>+'A) Base RI'!R221</f>
        <v>0</v>
      </c>
      <c r="O221" s="10">
        <f t="shared" si="19"/>
        <v>21260.166666666668</v>
      </c>
      <c r="P221" s="10">
        <f>+'A) Base RI'!M221</f>
        <v>12756.1</v>
      </c>
      <c r="Q221" s="35">
        <f>'A) Base RI'!Z221</f>
        <v>0.6</v>
      </c>
      <c r="R221" s="2">
        <f t="shared" si="20"/>
        <v>401666.79666666669</v>
      </c>
      <c r="S221" s="34">
        <f>+'A) Base RI'!U221</f>
        <v>80</v>
      </c>
      <c r="T221" s="2">
        <f t="shared" si="21"/>
        <v>381132.98</v>
      </c>
      <c r="U221" s="2">
        <f t="shared" si="22"/>
        <v>5020.8349583333338</v>
      </c>
      <c r="V221" s="10">
        <f>+'A) Base RI'!P221</f>
        <v>14676</v>
      </c>
      <c r="W221" s="10">
        <f>+'A) Base RI'!Q221</f>
        <v>3421</v>
      </c>
      <c r="X221" s="10">
        <f>+'A) Base RI'!S221</f>
        <v>-1263.55</v>
      </c>
      <c r="Y221" s="2">
        <f t="shared" si="23"/>
        <v>16833.45</v>
      </c>
      <c r="Z221" s="10">
        <f>+'A) Base RI'!O221</f>
        <v>6513.5</v>
      </c>
      <c r="AA221" s="10">
        <f>'A) Base RI'!V221</f>
        <v>181</v>
      </c>
    </row>
    <row r="222" spans="1:27" x14ac:dyDescent="0.25">
      <c r="A222" s="8">
        <f>'A) Base RI'!A222</f>
        <v>5752</v>
      </c>
      <c r="B222" s="33" t="str">
        <f>'A) Base RI'!B222</f>
        <v>Croy</v>
      </c>
      <c r="C222" s="10">
        <f>'A) Base RI'!C222+'A) Base RI'!D222</f>
        <v>773950.58</v>
      </c>
      <c r="D222" s="10">
        <f>'A) Base RI'!W222</f>
        <v>-5442.03</v>
      </c>
      <c r="E222" s="32">
        <f>'A) Base RI'!X222</f>
        <v>0</v>
      </c>
      <c r="F222" s="32">
        <f>'A) Base RI'!Y222</f>
        <v>-3732.15</v>
      </c>
      <c r="G222" s="2">
        <f t="shared" si="18"/>
        <v>764776.39999999991</v>
      </c>
      <c r="H222" s="10">
        <f>+'A) Base RI'!E222</f>
        <v>0</v>
      </c>
      <c r="I222" s="10">
        <f>+'A) Base RI'!F222</f>
        <v>0</v>
      </c>
      <c r="J222" s="10">
        <f>+'A) Base RI'!G222+'A) Base RI'!H222+'A) Base RI'!I222</f>
        <v>6636.87</v>
      </c>
      <c r="K222" s="10">
        <f>+'A) Base RI'!J222</f>
        <v>0</v>
      </c>
      <c r="L222" s="10">
        <f>+'A) Base RI'!K222</f>
        <v>5187.34</v>
      </c>
      <c r="M222" s="10">
        <f>+'A) Base RI'!L222</f>
        <v>741.3</v>
      </c>
      <c r="N222" s="10">
        <f>+'A) Base RI'!R222</f>
        <v>178.93</v>
      </c>
      <c r="O222" s="10">
        <f t="shared" si="19"/>
        <v>46905.5</v>
      </c>
      <c r="P222" s="10">
        <f>+'A) Base RI'!M222</f>
        <v>32833.85</v>
      </c>
      <c r="Q222" s="35">
        <f>'A) Base RI'!Z222</f>
        <v>0.7</v>
      </c>
      <c r="R222" s="2">
        <f t="shared" si="20"/>
        <v>824426.34</v>
      </c>
      <c r="S222" s="34">
        <f>+'A) Base RI'!U222</f>
        <v>74</v>
      </c>
      <c r="T222" s="2">
        <f t="shared" si="21"/>
        <v>776779.53999999992</v>
      </c>
      <c r="U222" s="2">
        <f t="shared" si="22"/>
        <v>11140.896486486487</v>
      </c>
      <c r="V222" s="10">
        <f>+'A) Base RI'!P222</f>
        <v>78</v>
      </c>
      <c r="W222" s="10">
        <f>+'A) Base RI'!Q222</f>
        <v>12005.6</v>
      </c>
      <c r="X222" s="10">
        <f>+'A) Base RI'!S222</f>
        <v>19877.150000000001</v>
      </c>
      <c r="Y222" s="2">
        <f t="shared" si="23"/>
        <v>31960.75</v>
      </c>
      <c r="Z222" s="10">
        <f>+'A) Base RI'!O222</f>
        <v>22087.200000000001</v>
      </c>
      <c r="AA222" s="10">
        <f>'A) Base RI'!V222</f>
        <v>379</v>
      </c>
    </row>
    <row r="223" spans="1:27" x14ac:dyDescent="0.25">
      <c r="A223" s="8">
        <f>'A) Base RI'!A223</f>
        <v>5754</v>
      </c>
      <c r="B223" s="33" t="str">
        <f>'A) Base RI'!B223</f>
        <v>Juriens</v>
      </c>
      <c r="C223" s="10">
        <f>'A) Base RI'!C223+'A) Base RI'!D223</f>
        <v>586291.96</v>
      </c>
      <c r="D223" s="10">
        <f>'A) Base RI'!W223</f>
        <v>-5263.61</v>
      </c>
      <c r="E223" s="32">
        <f>'A) Base RI'!X223</f>
        <v>0</v>
      </c>
      <c r="F223" s="32">
        <f>'A) Base RI'!Y223</f>
        <v>-16.989999999999998</v>
      </c>
      <c r="G223" s="2">
        <f t="shared" si="18"/>
        <v>581011.36</v>
      </c>
      <c r="H223" s="10">
        <f>+'A) Base RI'!E223</f>
        <v>0</v>
      </c>
      <c r="I223" s="10">
        <f>+'A) Base RI'!F223</f>
        <v>0</v>
      </c>
      <c r="J223" s="10">
        <f>+'A) Base RI'!G223+'A) Base RI'!H223+'A) Base RI'!I223</f>
        <v>1940.2719058160596</v>
      </c>
      <c r="K223" s="10">
        <f>+'A) Base RI'!J223</f>
        <v>0</v>
      </c>
      <c r="L223" s="10">
        <f>+'A) Base RI'!K223</f>
        <v>17249.060000000001</v>
      </c>
      <c r="M223" s="10">
        <f>+'A) Base RI'!L223</f>
        <v>944</v>
      </c>
      <c r="N223" s="10">
        <f>+'A) Base RI'!R223</f>
        <v>5926.89</v>
      </c>
      <c r="O223" s="10">
        <f t="shared" si="19"/>
        <v>35869</v>
      </c>
      <c r="P223" s="10">
        <f>+'A) Base RI'!M223</f>
        <v>35869</v>
      </c>
      <c r="Q223" s="35">
        <f>'A) Base RI'!Z223</f>
        <v>1</v>
      </c>
      <c r="R223" s="2">
        <f t="shared" si="20"/>
        <v>642940.5819058161</v>
      </c>
      <c r="S223" s="34">
        <f>+'A) Base RI'!U223</f>
        <v>79</v>
      </c>
      <c r="T223" s="2">
        <f t="shared" si="21"/>
        <v>606127.5819058161</v>
      </c>
      <c r="U223" s="2">
        <f t="shared" si="22"/>
        <v>8138.4883785546344</v>
      </c>
      <c r="V223" s="10">
        <f>+'A) Base RI'!P223</f>
        <v>0</v>
      </c>
      <c r="W223" s="10">
        <f>+'A) Base RI'!Q223</f>
        <v>5800.2</v>
      </c>
      <c r="X223" s="10">
        <f>+'A) Base RI'!S223</f>
        <v>3130.55</v>
      </c>
      <c r="Y223" s="2">
        <f t="shared" si="23"/>
        <v>8930.75</v>
      </c>
      <c r="Z223" s="10">
        <f>+'A) Base RI'!O223</f>
        <v>294.89999999999998</v>
      </c>
      <c r="AA223" s="10">
        <f>'A) Base RI'!V223</f>
        <v>309</v>
      </c>
    </row>
    <row r="224" spans="1:27" x14ac:dyDescent="0.25">
      <c r="A224" s="8">
        <f>'A) Base RI'!A224</f>
        <v>5755</v>
      </c>
      <c r="B224" s="33" t="str">
        <f>'A) Base RI'!B224</f>
        <v>Lignerolle</v>
      </c>
      <c r="C224" s="10">
        <f>'A) Base RI'!C224+'A) Base RI'!D224</f>
        <v>689030.65</v>
      </c>
      <c r="D224" s="10">
        <f>'A) Base RI'!W224</f>
        <v>-53367.34</v>
      </c>
      <c r="E224" s="32">
        <f>'A) Base RI'!X224</f>
        <v>0</v>
      </c>
      <c r="F224" s="32">
        <f>'A) Base RI'!Y224</f>
        <v>-8.76</v>
      </c>
      <c r="G224" s="2">
        <f t="shared" si="18"/>
        <v>635654.55000000005</v>
      </c>
      <c r="H224" s="10">
        <f>+'A) Base RI'!E224</f>
        <v>0</v>
      </c>
      <c r="I224" s="10">
        <f>+'A) Base RI'!F224</f>
        <v>0</v>
      </c>
      <c r="J224" s="10">
        <f>+'A) Base RI'!G224+'A) Base RI'!H224+'A) Base RI'!I224</f>
        <v>12856.658351560947</v>
      </c>
      <c r="K224" s="10">
        <f>+'A) Base RI'!J224</f>
        <v>0</v>
      </c>
      <c r="L224" s="10">
        <f>+'A) Base RI'!K224</f>
        <v>19604.66</v>
      </c>
      <c r="M224" s="10">
        <f>+'A) Base RI'!L224</f>
        <v>3152.6</v>
      </c>
      <c r="N224" s="10">
        <f>+'A) Base RI'!R224</f>
        <v>18120.939999999999</v>
      </c>
      <c r="O224" s="10">
        <f t="shared" si="19"/>
        <v>56237.642857142855</v>
      </c>
      <c r="P224" s="10">
        <f>+'A) Base RI'!M224</f>
        <v>39366.35</v>
      </c>
      <c r="Q224" s="35">
        <f>'A) Base RI'!Z224</f>
        <v>0.7</v>
      </c>
      <c r="R224" s="2">
        <f t="shared" si="20"/>
        <v>745627.05120870378</v>
      </c>
      <c r="S224" s="34">
        <f>+'A) Base RI'!U224</f>
        <v>80</v>
      </c>
      <c r="T224" s="2">
        <f t="shared" si="21"/>
        <v>686236.80835156096</v>
      </c>
      <c r="U224" s="2">
        <f t="shared" si="22"/>
        <v>9320.3381401087972</v>
      </c>
      <c r="V224" s="10">
        <f>+'A) Base RI'!P224</f>
        <v>0</v>
      </c>
      <c r="W224" s="10">
        <f>+'A) Base RI'!Q224</f>
        <v>17655.150000000001</v>
      </c>
      <c r="X224" s="10">
        <f>+'A) Base RI'!S224</f>
        <v>18617.650000000001</v>
      </c>
      <c r="Y224" s="2">
        <f t="shared" si="23"/>
        <v>36272.800000000003</v>
      </c>
      <c r="Z224" s="10">
        <f>+'A) Base RI'!O224</f>
        <v>17491.8</v>
      </c>
      <c r="AA224" s="10">
        <f>'A) Base RI'!V224</f>
        <v>417</v>
      </c>
    </row>
    <row r="225" spans="1:27" x14ac:dyDescent="0.25">
      <c r="A225" s="8">
        <f>'A) Base RI'!A225</f>
        <v>5756</v>
      </c>
      <c r="B225" s="33" t="str">
        <f>'A) Base RI'!B225</f>
        <v>Montcherand</v>
      </c>
      <c r="C225" s="10">
        <f>'A) Base RI'!C225+'A) Base RI'!D225</f>
        <v>1205204.56</v>
      </c>
      <c r="D225" s="10">
        <f>'A) Base RI'!W225</f>
        <v>-15207.37</v>
      </c>
      <c r="E225" s="32">
        <f>'A) Base RI'!X225</f>
        <v>0</v>
      </c>
      <c r="F225" s="32">
        <f>'A) Base RI'!Y225</f>
        <v>-254.03</v>
      </c>
      <c r="G225" s="2">
        <f t="shared" si="18"/>
        <v>1189743.1599999999</v>
      </c>
      <c r="H225" s="10">
        <f>+'A) Base RI'!E225</f>
        <v>0</v>
      </c>
      <c r="I225" s="10">
        <f>+'A) Base RI'!F225</f>
        <v>0</v>
      </c>
      <c r="J225" s="10">
        <f>+'A) Base RI'!G225+'A) Base RI'!H225+'A) Base RI'!I225</f>
        <v>44131.61606946581</v>
      </c>
      <c r="K225" s="10">
        <f>+'A) Base RI'!J225</f>
        <v>0</v>
      </c>
      <c r="L225" s="10">
        <f>+'A) Base RI'!K225</f>
        <v>12464.53</v>
      </c>
      <c r="M225" s="10">
        <f>+'A) Base RI'!L225</f>
        <v>61.5</v>
      </c>
      <c r="N225" s="10">
        <f>+'A) Base RI'!R225</f>
        <v>0</v>
      </c>
      <c r="O225" s="10">
        <f t="shared" si="19"/>
        <v>81036.7</v>
      </c>
      <c r="P225" s="10">
        <f>+'A) Base RI'!M225</f>
        <v>81036.7</v>
      </c>
      <c r="Q225" s="35">
        <f>'A) Base RI'!Z225</f>
        <v>1</v>
      </c>
      <c r="R225" s="2">
        <f t="shared" si="20"/>
        <v>1327437.5060694658</v>
      </c>
      <c r="S225" s="34">
        <f>+'A) Base RI'!U225</f>
        <v>72</v>
      </c>
      <c r="T225" s="2">
        <f t="shared" si="21"/>
        <v>1246339.3060694658</v>
      </c>
      <c r="U225" s="2">
        <f t="shared" si="22"/>
        <v>18436.632028742581</v>
      </c>
      <c r="V225" s="10">
        <f>+'A) Base RI'!P225</f>
        <v>0</v>
      </c>
      <c r="W225" s="10">
        <f>+'A) Base RI'!Q225</f>
        <v>16866.099999999999</v>
      </c>
      <c r="X225" s="10">
        <f>+'A) Base RI'!S225</f>
        <v>15466.1</v>
      </c>
      <c r="Y225" s="2">
        <f t="shared" si="23"/>
        <v>32332.199999999997</v>
      </c>
      <c r="Z225" s="10">
        <f>+'A) Base RI'!O225</f>
        <v>26068.7</v>
      </c>
      <c r="AA225" s="10">
        <f>'A) Base RI'!V225</f>
        <v>482</v>
      </c>
    </row>
    <row r="226" spans="1:27" x14ac:dyDescent="0.25">
      <c r="A226" s="8">
        <f>'A) Base RI'!A226</f>
        <v>5757</v>
      </c>
      <c r="B226" s="33" t="str">
        <f>'A) Base RI'!B226</f>
        <v>Orbe</v>
      </c>
      <c r="C226" s="10">
        <f>'A) Base RI'!C226+'A) Base RI'!D226</f>
        <v>12167190.280000001</v>
      </c>
      <c r="D226" s="10">
        <f>'A) Base RI'!W226</f>
        <v>-356228.78</v>
      </c>
      <c r="E226" s="32">
        <f>'A) Base RI'!X226</f>
        <v>0</v>
      </c>
      <c r="F226" s="32">
        <f>'A) Base RI'!Y226</f>
        <v>-22809.19</v>
      </c>
      <c r="G226" s="2">
        <f t="shared" si="18"/>
        <v>11788152.310000002</v>
      </c>
      <c r="H226" s="10">
        <f>+'A) Base RI'!E226</f>
        <v>0</v>
      </c>
      <c r="I226" s="10">
        <f>+'A) Base RI'!F226</f>
        <v>0</v>
      </c>
      <c r="J226" s="10">
        <f>+'A) Base RI'!G226+'A) Base RI'!H226+'A) Base RI'!I226</f>
        <v>1416083.8963597431</v>
      </c>
      <c r="K226" s="10">
        <f>+'A) Base RI'!J226</f>
        <v>0</v>
      </c>
      <c r="L226" s="10">
        <f>+'A) Base RI'!K226</f>
        <v>474951.93</v>
      </c>
      <c r="M226" s="10">
        <f>+'A) Base RI'!L226</f>
        <v>71774.399999999994</v>
      </c>
      <c r="N226" s="10">
        <f>+'A) Base RI'!R226</f>
        <v>79099.490000000005</v>
      </c>
      <c r="O226" s="10">
        <f t="shared" si="19"/>
        <v>1211935.6000000001</v>
      </c>
      <c r="P226" s="10">
        <f>+'A) Base RI'!M226</f>
        <v>1211935.6000000001</v>
      </c>
      <c r="Q226" s="35">
        <f>'A) Base RI'!Z226</f>
        <v>1</v>
      </c>
      <c r="R226" s="2">
        <f t="shared" si="20"/>
        <v>15041997.626359746</v>
      </c>
      <c r="S226" s="34">
        <f>+'A) Base RI'!U226</f>
        <v>77</v>
      </c>
      <c r="T226" s="2">
        <f t="shared" si="21"/>
        <v>13758287.626359746</v>
      </c>
      <c r="U226" s="2">
        <f t="shared" si="22"/>
        <v>195350.61852415255</v>
      </c>
      <c r="V226" s="10">
        <f>+'A) Base RI'!P226</f>
        <v>13397.3</v>
      </c>
      <c r="W226" s="10">
        <f>+'A) Base RI'!Q226</f>
        <v>494441.85</v>
      </c>
      <c r="X226" s="10">
        <f>+'A) Base RI'!S226</f>
        <v>442812.05</v>
      </c>
      <c r="Y226" s="2">
        <f t="shared" si="23"/>
        <v>950651.2</v>
      </c>
      <c r="Z226" s="10">
        <f>+'A) Base RI'!O226</f>
        <v>2511647.6</v>
      </c>
      <c r="AA226" s="10">
        <f>'A) Base RI'!V226</f>
        <v>6985</v>
      </c>
    </row>
    <row r="227" spans="1:27" x14ac:dyDescent="0.25">
      <c r="A227" s="8">
        <f>'A) Base RI'!A227</f>
        <v>5758</v>
      </c>
      <c r="B227" s="33" t="str">
        <f>'A) Base RI'!B227</f>
        <v>La Praz</v>
      </c>
      <c r="C227" s="10">
        <f>'A) Base RI'!C227+'A) Base RI'!D227</f>
        <v>244100.81</v>
      </c>
      <c r="D227" s="10">
        <f>'A) Base RI'!W227</f>
        <v>-4425.82</v>
      </c>
      <c r="E227" s="32">
        <f>'A) Base RI'!X227</f>
        <v>0</v>
      </c>
      <c r="F227" s="32">
        <f>'A) Base RI'!Y227</f>
        <v>0</v>
      </c>
      <c r="G227" s="2">
        <f t="shared" si="18"/>
        <v>239674.99</v>
      </c>
      <c r="H227" s="10">
        <f>+'A) Base RI'!E227</f>
        <v>0</v>
      </c>
      <c r="I227" s="10">
        <f>+'A) Base RI'!F227</f>
        <v>940</v>
      </c>
      <c r="J227" s="10">
        <f>+'A) Base RI'!G227+'A) Base RI'!H227+'A) Base RI'!I227</f>
        <v>3123.4805299539166</v>
      </c>
      <c r="K227" s="10">
        <f>+'A) Base RI'!J227</f>
        <v>0</v>
      </c>
      <c r="L227" s="10">
        <f>+'A) Base RI'!K227</f>
        <v>846.63</v>
      </c>
      <c r="M227" s="10">
        <f>+'A) Base RI'!L227</f>
        <v>0</v>
      </c>
      <c r="N227" s="10">
        <f>+'A) Base RI'!R227</f>
        <v>0</v>
      </c>
      <c r="O227" s="10">
        <f t="shared" si="19"/>
        <v>22432.833333333332</v>
      </c>
      <c r="P227" s="10">
        <f>+'A) Base RI'!M227</f>
        <v>20189.55</v>
      </c>
      <c r="Q227" s="35">
        <f>'A) Base RI'!Z227</f>
        <v>0.9</v>
      </c>
      <c r="R227" s="2">
        <f t="shared" si="20"/>
        <v>267017.93386328727</v>
      </c>
      <c r="S227" s="34">
        <f>+'A) Base RI'!U227</f>
        <v>83</v>
      </c>
      <c r="T227" s="2">
        <f t="shared" si="21"/>
        <v>243645.10052995392</v>
      </c>
      <c r="U227" s="2">
        <f t="shared" si="22"/>
        <v>3217.0835405215335</v>
      </c>
      <c r="V227" s="10">
        <f>+'A) Base RI'!P227</f>
        <v>23869.7</v>
      </c>
      <c r="W227" s="10">
        <f>+'A) Base RI'!Q227</f>
        <v>20757</v>
      </c>
      <c r="X227" s="10">
        <f>+'A) Base RI'!S227</f>
        <v>8141.1</v>
      </c>
      <c r="Y227" s="2">
        <f t="shared" si="23"/>
        <v>52767.799999999996</v>
      </c>
      <c r="Z227" s="10">
        <f>+'A) Base RI'!O227</f>
        <v>0</v>
      </c>
      <c r="AA227" s="10">
        <f>'A) Base RI'!V227</f>
        <v>160</v>
      </c>
    </row>
    <row r="228" spans="1:27" x14ac:dyDescent="0.25">
      <c r="A228" s="8">
        <f>'A) Base RI'!A228</f>
        <v>5759</v>
      </c>
      <c r="B228" s="33" t="str">
        <f>'A) Base RI'!B228</f>
        <v>Premier</v>
      </c>
      <c r="C228" s="10">
        <f>'A) Base RI'!C228+'A) Base RI'!D228</f>
        <v>365626.29</v>
      </c>
      <c r="D228" s="10">
        <f>'A) Base RI'!W228</f>
        <v>-11828.77</v>
      </c>
      <c r="E228" s="32">
        <f>'A) Base RI'!X228</f>
        <v>0</v>
      </c>
      <c r="F228" s="32">
        <f>'A) Base RI'!Y228</f>
        <v>-30.22</v>
      </c>
      <c r="G228" s="2">
        <f t="shared" si="18"/>
        <v>353767.3</v>
      </c>
      <c r="H228" s="10">
        <f>+'A) Base RI'!E228</f>
        <v>0</v>
      </c>
      <c r="I228" s="10">
        <f>+'A) Base RI'!F228</f>
        <v>0</v>
      </c>
      <c r="J228" s="10">
        <f>+'A) Base RI'!G228+'A) Base RI'!H228+'A) Base RI'!I228</f>
        <v>943.14278836706615</v>
      </c>
      <c r="K228" s="10">
        <f>+'A) Base RI'!J228</f>
        <v>0</v>
      </c>
      <c r="L228" s="10">
        <f>+'A) Base RI'!K228</f>
        <v>2377.8200000000002</v>
      </c>
      <c r="M228" s="10">
        <f>+'A) Base RI'!L228</f>
        <v>242.95</v>
      </c>
      <c r="N228" s="10">
        <f>+'A) Base RI'!R228</f>
        <v>0</v>
      </c>
      <c r="O228" s="10">
        <f t="shared" si="19"/>
        <v>25806.7</v>
      </c>
      <c r="P228" s="10">
        <f>+'A) Base RI'!M228</f>
        <v>25806.7</v>
      </c>
      <c r="Q228" s="35">
        <f>'A) Base RI'!Z228</f>
        <v>1</v>
      </c>
      <c r="R228" s="2">
        <f t="shared" si="20"/>
        <v>383137.91278836707</v>
      </c>
      <c r="S228" s="34">
        <f>+'A) Base RI'!U228</f>
        <v>81</v>
      </c>
      <c r="T228" s="2">
        <f t="shared" si="21"/>
        <v>357088.26278836705</v>
      </c>
      <c r="U228" s="2">
        <f t="shared" si="22"/>
        <v>4730.0976887452725</v>
      </c>
      <c r="V228" s="10">
        <f>+'A) Base RI'!P228</f>
        <v>0</v>
      </c>
      <c r="W228" s="10">
        <f>+'A) Base RI'!Q228</f>
        <v>15840</v>
      </c>
      <c r="X228" s="10">
        <f>+'A) Base RI'!S228</f>
        <v>22357.9</v>
      </c>
      <c r="Y228" s="2">
        <f t="shared" si="23"/>
        <v>38197.9</v>
      </c>
      <c r="Z228" s="10">
        <f>+'A) Base RI'!O228</f>
        <v>1371.65</v>
      </c>
      <c r="AA228" s="10">
        <f>'A) Base RI'!V228</f>
        <v>210</v>
      </c>
    </row>
    <row r="229" spans="1:27" x14ac:dyDescent="0.25">
      <c r="A229" s="8">
        <f>'A) Base RI'!A229</f>
        <v>5760</v>
      </c>
      <c r="B229" s="33" t="str">
        <f>'A) Base RI'!B229</f>
        <v>Rances</v>
      </c>
      <c r="C229" s="10">
        <f>'A) Base RI'!C229+'A) Base RI'!D229</f>
        <v>782853.49</v>
      </c>
      <c r="D229" s="10">
        <f>'A) Base RI'!W229</f>
        <v>-44141.71</v>
      </c>
      <c r="E229" s="32">
        <f>'A) Base RI'!X229</f>
        <v>0</v>
      </c>
      <c r="F229" s="32">
        <f>'A) Base RI'!Y229</f>
        <v>-637.04</v>
      </c>
      <c r="G229" s="2">
        <f t="shared" si="18"/>
        <v>738074.74</v>
      </c>
      <c r="H229" s="10">
        <f>+'A) Base RI'!E229</f>
        <v>0</v>
      </c>
      <c r="I229" s="10">
        <f>+'A) Base RI'!F229</f>
        <v>2310</v>
      </c>
      <c r="J229" s="10">
        <f>+'A) Base RI'!G229+'A) Base RI'!H229+'A) Base RI'!I229</f>
        <v>8101.1993279022399</v>
      </c>
      <c r="K229" s="10">
        <f>+'A) Base RI'!J229</f>
        <v>0</v>
      </c>
      <c r="L229" s="10">
        <f>+'A) Base RI'!K229</f>
        <v>172.7</v>
      </c>
      <c r="M229" s="10">
        <f>+'A) Base RI'!L229</f>
        <v>0</v>
      </c>
      <c r="N229" s="10">
        <f>+'A) Base RI'!R229</f>
        <v>577.46</v>
      </c>
      <c r="O229" s="10">
        <f t="shared" si="19"/>
        <v>64127.1</v>
      </c>
      <c r="P229" s="10">
        <f>+'A) Base RI'!M229</f>
        <v>96190.65</v>
      </c>
      <c r="Q229" s="35">
        <f>'A) Base RI'!Z229</f>
        <v>1.5</v>
      </c>
      <c r="R229" s="2">
        <f t="shared" si="20"/>
        <v>813363.19932790217</v>
      </c>
      <c r="S229" s="34">
        <f>+'A) Base RI'!U229</f>
        <v>78</v>
      </c>
      <c r="T229" s="2">
        <f t="shared" si="21"/>
        <v>746926.09932790219</v>
      </c>
      <c r="U229" s="2">
        <f t="shared" si="22"/>
        <v>10427.733324716695</v>
      </c>
      <c r="V229" s="10">
        <f>+'A) Base RI'!P229</f>
        <v>0</v>
      </c>
      <c r="W229" s="10">
        <f>+'A) Base RI'!Q229</f>
        <v>15840</v>
      </c>
      <c r="X229" s="10">
        <f>+'A) Base RI'!S229</f>
        <v>22330.2</v>
      </c>
      <c r="Y229" s="2">
        <f t="shared" si="23"/>
        <v>38170.199999999997</v>
      </c>
      <c r="Z229" s="10">
        <f>+'A) Base RI'!O229</f>
        <v>13876.8</v>
      </c>
      <c r="AA229" s="10">
        <f>'A) Base RI'!V229</f>
        <v>485</v>
      </c>
    </row>
    <row r="230" spans="1:27" x14ac:dyDescent="0.25">
      <c r="A230" s="8">
        <f>'A) Base RI'!A230</f>
        <v>5761</v>
      </c>
      <c r="B230" s="33" t="str">
        <f>'A) Base RI'!B230</f>
        <v>Romainmôtier-Envy</v>
      </c>
      <c r="C230" s="10">
        <f>'A) Base RI'!C230+'A) Base RI'!D230</f>
        <v>953506.33000000007</v>
      </c>
      <c r="D230" s="10">
        <f>'A) Base RI'!W230</f>
        <v>-11989.97</v>
      </c>
      <c r="E230" s="32">
        <f>'A) Base RI'!X230</f>
        <v>0</v>
      </c>
      <c r="F230" s="32">
        <f>'A) Base RI'!Y230</f>
        <v>-0.01</v>
      </c>
      <c r="G230" s="2">
        <f t="shared" si="18"/>
        <v>941516.35000000009</v>
      </c>
      <c r="H230" s="10">
        <f>+'A) Base RI'!E230</f>
        <v>0</v>
      </c>
      <c r="I230" s="10">
        <f>+'A) Base RI'!F230</f>
        <v>0</v>
      </c>
      <c r="J230" s="10">
        <f>+'A) Base RI'!G230+'A) Base RI'!H230+'A) Base RI'!I230</f>
        <v>9998.4440501043828</v>
      </c>
      <c r="K230" s="10">
        <f>+'A) Base RI'!J230</f>
        <v>0</v>
      </c>
      <c r="L230" s="10">
        <f>+'A) Base RI'!K230</f>
        <v>6284.36</v>
      </c>
      <c r="M230" s="10">
        <f>+'A) Base RI'!L230</f>
        <v>3477.55</v>
      </c>
      <c r="N230" s="10">
        <f>+'A) Base RI'!R230</f>
        <v>1745.7</v>
      </c>
      <c r="O230" s="10">
        <f t="shared" si="19"/>
        <v>75840.409090909088</v>
      </c>
      <c r="P230" s="10">
        <f>+'A) Base RI'!M230</f>
        <v>83424.45</v>
      </c>
      <c r="Q230" s="35">
        <f>'A) Base RI'!Z230</f>
        <v>1.1000000000000001</v>
      </c>
      <c r="R230" s="2">
        <f t="shared" si="20"/>
        <v>1038862.8131410135</v>
      </c>
      <c r="S230" s="34">
        <f>+'A) Base RI'!U230</f>
        <v>81</v>
      </c>
      <c r="T230" s="2">
        <f t="shared" si="21"/>
        <v>959544.85405010439</v>
      </c>
      <c r="U230" s="2">
        <f t="shared" si="22"/>
        <v>12825.466828901401</v>
      </c>
      <c r="V230" s="10">
        <f>+'A) Base RI'!P230</f>
        <v>15866.2</v>
      </c>
      <c r="W230" s="10">
        <f>+'A) Base RI'!Q230</f>
        <v>50973.75</v>
      </c>
      <c r="X230" s="10">
        <f>+'A) Base RI'!S230</f>
        <v>20098.8</v>
      </c>
      <c r="Y230" s="2">
        <f t="shared" si="23"/>
        <v>86938.75</v>
      </c>
      <c r="Z230" s="10">
        <f>+'A) Base RI'!O230</f>
        <v>49055</v>
      </c>
      <c r="AA230" s="10">
        <f>'A) Base RI'!V230</f>
        <v>551</v>
      </c>
    </row>
    <row r="231" spans="1:27" x14ac:dyDescent="0.25">
      <c r="A231" s="8">
        <f>'A) Base RI'!A231</f>
        <v>5762</v>
      </c>
      <c r="B231" s="33" t="str">
        <f>'A) Base RI'!B231</f>
        <v>Sergey</v>
      </c>
      <c r="C231" s="10">
        <f>'A) Base RI'!C231+'A) Base RI'!D231</f>
        <v>290143.22000000003</v>
      </c>
      <c r="D231" s="10">
        <f>'A) Base RI'!W231</f>
        <v>-3249.89</v>
      </c>
      <c r="E231" s="32">
        <f>'A) Base RI'!X231</f>
        <v>0</v>
      </c>
      <c r="F231" s="32">
        <f>'A) Base RI'!Y231</f>
        <v>0</v>
      </c>
      <c r="G231" s="2">
        <f t="shared" si="18"/>
        <v>286893.33</v>
      </c>
      <c r="H231" s="10">
        <f>+'A) Base RI'!E231</f>
        <v>0</v>
      </c>
      <c r="I231" s="10">
        <f>+'A) Base RI'!F231</f>
        <v>0</v>
      </c>
      <c r="J231" s="10">
        <f>+'A) Base RI'!G231+'A) Base RI'!H231+'A) Base RI'!I231</f>
        <v>9030.5582484725055</v>
      </c>
      <c r="K231" s="10">
        <f>+'A) Base RI'!J231</f>
        <v>0</v>
      </c>
      <c r="L231" s="10">
        <f>+'A) Base RI'!K231</f>
        <v>-3687.24</v>
      </c>
      <c r="M231" s="10">
        <f>+'A) Base RI'!L231</f>
        <v>0</v>
      </c>
      <c r="N231" s="10">
        <f>+'A) Base RI'!R231</f>
        <v>0</v>
      </c>
      <c r="O231" s="10">
        <f t="shared" si="19"/>
        <v>18643.2</v>
      </c>
      <c r="P231" s="10">
        <f>+'A) Base RI'!M231</f>
        <v>18643.2</v>
      </c>
      <c r="Q231" s="35">
        <f>'A) Base RI'!Z231</f>
        <v>1</v>
      </c>
      <c r="R231" s="2">
        <f t="shared" si="20"/>
        <v>310879.84824847255</v>
      </c>
      <c r="S231" s="34">
        <f>+'A) Base RI'!U231</f>
        <v>78</v>
      </c>
      <c r="T231" s="2">
        <f t="shared" si="21"/>
        <v>292236.64824847254</v>
      </c>
      <c r="U231" s="2">
        <f t="shared" si="22"/>
        <v>3985.6390801086227</v>
      </c>
      <c r="V231" s="10">
        <f>+'A) Base RI'!P231</f>
        <v>922.5</v>
      </c>
      <c r="W231" s="10">
        <f>+'A) Base RI'!Q231</f>
        <v>0</v>
      </c>
      <c r="X231" s="10">
        <f>+'A) Base RI'!S231</f>
        <v>0</v>
      </c>
      <c r="Y231" s="2">
        <f t="shared" si="23"/>
        <v>922.5</v>
      </c>
      <c r="Z231" s="10">
        <f>+'A) Base RI'!O231</f>
        <v>9127.7000000000007</v>
      </c>
      <c r="AA231" s="10">
        <f>'A) Base RI'!V231</f>
        <v>137</v>
      </c>
    </row>
    <row r="232" spans="1:27" x14ac:dyDescent="0.25">
      <c r="A232" s="8">
        <f>'A) Base RI'!A232</f>
        <v>5763</v>
      </c>
      <c r="B232" s="33" t="str">
        <f>'A) Base RI'!B232</f>
        <v>Valeyres-sous-Rances</v>
      </c>
      <c r="C232" s="10">
        <f>'A) Base RI'!C232+'A) Base RI'!D232</f>
        <v>1200306.74</v>
      </c>
      <c r="D232" s="10">
        <f>'A) Base RI'!W232</f>
        <v>-5783.68</v>
      </c>
      <c r="E232" s="32">
        <f>'A) Base RI'!X232</f>
        <v>0</v>
      </c>
      <c r="F232" s="32">
        <f>'A) Base RI'!Y232</f>
        <v>-99.31</v>
      </c>
      <c r="G232" s="2">
        <f t="shared" si="18"/>
        <v>1194423.75</v>
      </c>
      <c r="H232" s="10">
        <f>+'A) Base RI'!E232</f>
        <v>0</v>
      </c>
      <c r="I232" s="10">
        <f>+'A) Base RI'!F232</f>
        <v>3420</v>
      </c>
      <c r="J232" s="10">
        <f>+'A) Base RI'!G232+'A) Base RI'!H232+'A) Base RI'!I232</f>
        <v>1497.8941454545454</v>
      </c>
      <c r="K232" s="10">
        <f>+'A) Base RI'!J232</f>
        <v>0</v>
      </c>
      <c r="L232" s="10">
        <f>+'A) Base RI'!K232</f>
        <v>20690.38</v>
      </c>
      <c r="M232" s="10">
        <f>+'A) Base RI'!L232</f>
        <v>3484.35</v>
      </c>
      <c r="N232" s="10">
        <f>+'A) Base RI'!R232</f>
        <v>1462.6</v>
      </c>
      <c r="O232" s="10">
        <f t="shared" si="19"/>
        <v>82484.2</v>
      </c>
      <c r="P232" s="10">
        <f>+'A) Base RI'!M232</f>
        <v>82484.2</v>
      </c>
      <c r="Q232" s="35">
        <f>'A) Base RI'!Z232</f>
        <v>1</v>
      </c>
      <c r="R232" s="2">
        <f t="shared" si="20"/>
        <v>1307463.1741454545</v>
      </c>
      <c r="S232" s="34">
        <f>+'A) Base RI'!U232</f>
        <v>65</v>
      </c>
      <c r="T232" s="2">
        <f t="shared" si="21"/>
        <v>1218074.6241454545</v>
      </c>
      <c r="U232" s="2">
        <f t="shared" si="22"/>
        <v>20114.818063776223</v>
      </c>
      <c r="V232" s="10">
        <f>+'A) Base RI'!P232</f>
        <v>0</v>
      </c>
      <c r="W232" s="10">
        <f>+'A) Base RI'!Q232</f>
        <v>20077.75</v>
      </c>
      <c r="X232" s="10">
        <f>+'A) Base RI'!S232</f>
        <v>18042.099999999999</v>
      </c>
      <c r="Y232" s="2">
        <f t="shared" si="23"/>
        <v>38119.85</v>
      </c>
      <c r="Z232" s="10">
        <f>+'A) Base RI'!O232</f>
        <v>64422.35</v>
      </c>
      <c r="AA232" s="10">
        <f>'A) Base RI'!V232</f>
        <v>631</v>
      </c>
    </row>
    <row r="233" spans="1:27" x14ac:dyDescent="0.25">
      <c r="A233" s="8">
        <f>'A) Base RI'!A233</f>
        <v>5764</v>
      </c>
      <c r="B233" s="33" t="str">
        <f>'A) Base RI'!B233</f>
        <v>Vallorbe</v>
      </c>
      <c r="C233" s="10">
        <f>'A) Base RI'!C233+'A) Base RI'!D233</f>
        <v>5050699.42</v>
      </c>
      <c r="D233" s="10">
        <f>'A) Base RI'!W233</f>
        <v>-204440.24</v>
      </c>
      <c r="E233" s="32">
        <f>'A) Base RI'!X233</f>
        <v>0</v>
      </c>
      <c r="F233" s="32">
        <f>'A) Base RI'!Y233</f>
        <v>-312.85000000000002</v>
      </c>
      <c r="G233" s="2">
        <f t="shared" si="18"/>
        <v>4845946.33</v>
      </c>
      <c r="H233" s="10">
        <f>+'A) Base RI'!E233</f>
        <v>0</v>
      </c>
      <c r="I233" s="10">
        <f>+'A) Base RI'!F233</f>
        <v>0</v>
      </c>
      <c r="J233" s="10">
        <f>+'A) Base RI'!G233+'A) Base RI'!H233+'A) Base RI'!I233</f>
        <v>372569.88301927189</v>
      </c>
      <c r="K233" s="10">
        <f>+'A) Base RI'!J233</f>
        <v>0</v>
      </c>
      <c r="L233" s="10">
        <f>+'A) Base RI'!K233</f>
        <v>253550.03</v>
      </c>
      <c r="M233" s="10">
        <f>+'A) Base RI'!L233</f>
        <v>16142.75</v>
      </c>
      <c r="N233" s="10">
        <f>+'A) Base RI'!R233</f>
        <v>29098.83</v>
      </c>
      <c r="O233" s="10">
        <f t="shared" si="19"/>
        <v>412807.6</v>
      </c>
      <c r="P233" s="10">
        <f>+'A) Base RI'!M233</f>
        <v>412807.6</v>
      </c>
      <c r="Q233" s="35">
        <f>'A) Base RI'!Z233</f>
        <v>1</v>
      </c>
      <c r="R233" s="2">
        <f t="shared" si="20"/>
        <v>5930115.4230192723</v>
      </c>
      <c r="S233" s="34">
        <f>+'A) Base RI'!U233</f>
        <v>73</v>
      </c>
      <c r="T233" s="2">
        <f t="shared" si="21"/>
        <v>5501165.0730192726</v>
      </c>
      <c r="U233" s="2">
        <f t="shared" si="22"/>
        <v>81234.457849579077</v>
      </c>
      <c r="V233" s="10">
        <f>+'A) Base RI'!P233</f>
        <v>22688.799999999999</v>
      </c>
      <c r="W233" s="10">
        <f>+'A) Base RI'!Q233</f>
        <v>230419.3</v>
      </c>
      <c r="X233" s="10">
        <f>+'A) Base RI'!S233</f>
        <v>90429</v>
      </c>
      <c r="Y233" s="2">
        <f t="shared" si="23"/>
        <v>343537.1</v>
      </c>
      <c r="Z233" s="10">
        <f>+'A) Base RI'!O233</f>
        <v>2031379.6</v>
      </c>
      <c r="AA233" s="10">
        <f>'A) Base RI'!V233</f>
        <v>3851</v>
      </c>
    </row>
    <row r="234" spans="1:27" x14ac:dyDescent="0.25">
      <c r="A234" s="8">
        <f>'A) Base RI'!A234</f>
        <v>5765</v>
      </c>
      <c r="B234" s="33" t="str">
        <f>'A) Base RI'!B234</f>
        <v>Vaulion</v>
      </c>
      <c r="C234" s="10">
        <f>'A) Base RI'!C234+'A) Base RI'!D234</f>
        <v>713240.8</v>
      </c>
      <c r="D234" s="10">
        <f>'A) Base RI'!W234</f>
        <v>-16805.04</v>
      </c>
      <c r="E234" s="32">
        <f>'A) Base RI'!X234</f>
        <v>0</v>
      </c>
      <c r="F234" s="32">
        <f>'A) Base RI'!Y234</f>
        <v>-0.05</v>
      </c>
      <c r="G234" s="2">
        <f t="shared" si="18"/>
        <v>696435.71</v>
      </c>
      <c r="H234" s="10">
        <f>+'A) Base RI'!E234</f>
        <v>0</v>
      </c>
      <c r="I234" s="10">
        <f>+'A) Base RI'!F234</f>
        <v>0</v>
      </c>
      <c r="J234" s="10">
        <f>+'A) Base RI'!G234+'A) Base RI'!H234+'A) Base RI'!I234</f>
        <v>5906.9114560817452</v>
      </c>
      <c r="K234" s="10">
        <f>+'A) Base RI'!J234</f>
        <v>0</v>
      </c>
      <c r="L234" s="10">
        <f>+'A) Base RI'!K234</f>
        <v>13489.22</v>
      </c>
      <c r="M234" s="10">
        <f>+'A) Base RI'!L234</f>
        <v>0</v>
      </c>
      <c r="N234" s="10">
        <f>+'A) Base RI'!R234</f>
        <v>2219.75</v>
      </c>
      <c r="O234" s="10">
        <f t="shared" si="19"/>
        <v>57133.599999999999</v>
      </c>
      <c r="P234" s="10">
        <f>+'A) Base RI'!M234</f>
        <v>28566.799999999999</v>
      </c>
      <c r="Q234" s="35">
        <f>'A) Base RI'!Z234</f>
        <v>0.5</v>
      </c>
      <c r="R234" s="2">
        <f t="shared" si="20"/>
        <v>775185.19145608169</v>
      </c>
      <c r="S234" s="34">
        <f>+'A) Base RI'!U234</f>
        <v>81</v>
      </c>
      <c r="T234" s="2">
        <f t="shared" si="21"/>
        <v>718051.59145608172</v>
      </c>
      <c r="U234" s="2">
        <f t="shared" si="22"/>
        <v>9570.1875488405149</v>
      </c>
      <c r="V234" s="10">
        <f>+'A) Base RI'!P234</f>
        <v>848.7</v>
      </c>
      <c r="W234" s="10">
        <f>+'A) Base RI'!Q234</f>
        <v>14927.35</v>
      </c>
      <c r="X234" s="10">
        <f>+'A) Base RI'!S234</f>
        <v>7700</v>
      </c>
      <c r="Y234" s="2">
        <f t="shared" si="23"/>
        <v>23476.050000000003</v>
      </c>
      <c r="Z234" s="10">
        <f>+'A) Base RI'!O234</f>
        <v>40966.35</v>
      </c>
      <c r="AA234" s="10">
        <f>'A) Base RI'!V234</f>
        <v>482</v>
      </c>
    </row>
    <row r="235" spans="1:27" x14ac:dyDescent="0.25">
      <c r="A235" s="8">
        <f>'A) Base RI'!A235</f>
        <v>5766</v>
      </c>
      <c r="B235" s="33" t="str">
        <f>'A) Base RI'!B235</f>
        <v>Vuiteboeuf</v>
      </c>
      <c r="C235" s="10">
        <f>'A) Base RI'!C235+'A) Base RI'!D235</f>
        <v>897958.25</v>
      </c>
      <c r="D235" s="10">
        <f>'A) Base RI'!W235</f>
        <v>-20970.79</v>
      </c>
      <c r="E235" s="32">
        <f>'A) Base RI'!X235</f>
        <v>0</v>
      </c>
      <c r="F235" s="32">
        <f>'A) Base RI'!Y235</f>
        <v>-30.57</v>
      </c>
      <c r="G235" s="2">
        <f t="shared" si="18"/>
        <v>876956.89</v>
      </c>
      <c r="H235" s="10">
        <f>+'A) Base RI'!E235</f>
        <v>0</v>
      </c>
      <c r="I235" s="10">
        <f>+'A) Base RI'!F235</f>
        <v>0</v>
      </c>
      <c r="J235" s="10">
        <f>+'A) Base RI'!G235+'A) Base RI'!H235+'A) Base RI'!I235</f>
        <v>16211.569216494847</v>
      </c>
      <c r="K235" s="10">
        <f>+'A) Base RI'!J235</f>
        <v>0</v>
      </c>
      <c r="L235" s="10">
        <f>+'A) Base RI'!K235</f>
        <v>19724.080000000002</v>
      </c>
      <c r="M235" s="10">
        <f>+'A) Base RI'!L235</f>
        <v>3610.65</v>
      </c>
      <c r="N235" s="10">
        <f>+'A) Base RI'!R235</f>
        <v>5264.03</v>
      </c>
      <c r="O235" s="10">
        <f t="shared" si="19"/>
        <v>71055.5</v>
      </c>
      <c r="P235" s="10">
        <f>+'A) Base RI'!M235</f>
        <v>49738.85</v>
      </c>
      <c r="Q235" s="35">
        <f>'A) Base RI'!Z235</f>
        <v>0.7</v>
      </c>
      <c r="R235" s="2">
        <f t="shared" si="20"/>
        <v>992822.71921649482</v>
      </c>
      <c r="S235" s="34">
        <f>+'A) Base RI'!U235</f>
        <v>77</v>
      </c>
      <c r="T235" s="2">
        <f t="shared" si="21"/>
        <v>918156.5692164948</v>
      </c>
      <c r="U235" s="2">
        <f t="shared" si="22"/>
        <v>12893.801548266167</v>
      </c>
      <c r="V235" s="10">
        <f>+'A) Base RI'!P235</f>
        <v>0</v>
      </c>
      <c r="W235" s="10">
        <f>+'A) Base RI'!Q235</f>
        <v>23797.4</v>
      </c>
      <c r="X235" s="10">
        <f>+'A) Base RI'!S235</f>
        <v>56136.95</v>
      </c>
      <c r="Y235" s="2">
        <f t="shared" si="23"/>
        <v>79934.350000000006</v>
      </c>
      <c r="Z235" s="10">
        <f>+'A) Base RI'!O235</f>
        <v>19131.75</v>
      </c>
      <c r="AA235" s="10">
        <f>'A) Base RI'!V235</f>
        <v>574</v>
      </c>
    </row>
    <row r="236" spans="1:27" x14ac:dyDescent="0.25">
      <c r="A236" s="8">
        <f>'A) Base RI'!A236</f>
        <v>5785</v>
      </c>
      <c r="B236" s="33" t="str">
        <f>'A) Base RI'!B236</f>
        <v>Corcelles-le-Jorat</v>
      </c>
      <c r="C236" s="10">
        <f>'A) Base RI'!C236+'A) Base RI'!D236</f>
        <v>1112421.8899999999</v>
      </c>
      <c r="D236" s="10">
        <f>'A) Base RI'!W236</f>
        <v>-129.91</v>
      </c>
      <c r="E236" s="32">
        <f>'A) Base RI'!X236</f>
        <v>0</v>
      </c>
      <c r="F236" s="32">
        <f>'A) Base RI'!Y236</f>
        <v>-296.14</v>
      </c>
      <c r="G236" s="2">
        <f t="shared" si="18"/>
        <v>1111995.8400000001</v>
      </c>
      <c r="H236" s="10">
        <f>+'A) Base RI'!E236</f>
        <v>0</v>
      </c>
      <c r="I236" s="10">
        <f>+'A) Base RI'!F236</f>
        <v>0</v>
      </c>
      <c r="J236" s="10">
        <f>+'A) Base RI'!G236+'A) Base RI'!H236+'A) Base RI'!I236</f>
        <v>-4335.3416701030937</v>
      </c>
      <c r="K236" s="10">
        <f>+'A) Base RI'!J236</f>
        <v>0</v>
      </c>
      <c r="L236" s="10">
        <f>+'A) Base RI'!K236</f>
        <v>16310.88</v>
      </c>
      <c r="M236" s="10">
        <f>+'A) Base RI'!L236</f>
        <v>845.6</v>
      </c>
      <c r="N236" s="10">
        <f>+'A) Base RI'!R236</f>
        <v>0</v>
      </c>
      <c r="O236" s="10">
        <f t="shared" si="19"/>
        <v>66389</v>
      </c>
      <c r="P236" s="10">
        <f>+'A) Base RI'!M236</f>
        <v>66389</v>
      </c>
      <c r="Q236" s="35">
        <f>'A) Base RI'!Z236</f>
        <v>1</v>
      </c>
      <c r="R236" s="2">
        <f t="shared" si="20"/>
        <v>1191205.9783298969</v>
      </c>
      <c r="S236" s="34">
        <f>+'A) Base RI'!U236</f>
        <v>77</v>
      </c>
      <c r="T236" s="2">
        <f t="shared" si="21"/>
        <v>1123971.3783298968</v>
      </c>
      <c r="U236" s="2">
        <f t="shared" si="22"/>
        <v>15470.207510777882</v>
      </c>
      <c r="V236" s="10">
        <f>+'A) Base RI'!P236</f>
        <v>645.4</v>
      </c>
      <c r="W236" s="10">
        <f>+'A) Base RI'!Q236</f>
        <v>47043.7</v>
      </c>
      <c r="X236" s="10">
        <f>+'A) Base RI'!S236</f>
        <v>23683.35</v>
      </c>
      <c r="Y236" s="2">
        <f t="shared" si="23"/>
        <v>71372.45</v>
      </c>
      <c r="Z236" s="10">
        <f>+'A) Base RI'!O236</f>
        <v>0</v>
      </c>
      <c r="AA236" s="10">
        <f>'A) Base RI'!V236</f>
        <v>460</v>
      </c>
    </row>
    <row r="237" spans="1:27" x14ac:dyDescent="0.25">
      <c r="A237" s="8">
        <f>'A) Base RI'!A237</f>
        <v>5788</v>
      </c>
      <c r="B237" s="33" t="str">
        <f>'A) Base RI'!B237</f>
        <v>Essertes</v>
      </c>
      <c r="C237" s="10">
        <f>'A) Base RI'!C237+'A) Base RI'!D237</f>
        <v>776358.4800000001</v>
      </c>
      <c r="D237" s="10">
        <f>'A) Base RI'!W237</f>
        <v>-43548.98</v>
      </c>
      <c r="E237" s="32">
        <f>'A) Base RI'!X237</f>
        <v>0</v>
      </c>
      <c r="F237" s="32">
        <f>'A) Base RI'!Y237</f>
        <v>-10.38</v>
      </c>
      <c r="G237" s="2">
        <f t="shared" si="18"/>
        <v>732799.12000000011</v>
      </c>
      <c r="H237" s="10">
        <f>+'A) Base RI'!E237</f>
        <v>0</v>
      </c>
      <c r="I237" s="10">
        <f>+'A) Base RI'!F237</f>
        <v>0</v>
      </c>
      <c r="J237" s="10">
        <f>+'A) Base RI'!G237+'A) Base RI'!H237+'A) Base RI'!I237</f>
        <v>5054.3182567597269</v>
      </c>
      <c r="K237" s="10">
        <f>+'A) Base RI'!J237</f>
        <v>0</v>
      </c>
      <c r="L237" s="10">
        <f>+'A) Base RI'!K237</f>
        <v>21628.84</v>
      </c>
      <c r="M237" s="10">
        <f>+'A) Base RI'!L237</f>
        <v>949.5</v>
      </c>
      <c r="N237" s="10">
        <f>+'A) Base RI'!R237</f>
        <v>14313</v>
      </c>
      <c r="O237" s="10">
        <f t="shared" si="19"/>
        <v>56010.92</v>
      </c>
      <c r="P237" s="10">
        <f>+'A) Base RI'!M237</f>
        <v>70013.649999999994</v>
      </c>
      <c r="Q237" s="35">
        <f>'A) Base RI'!Z237</f>
        <v>1.25</v>
      </c>
      <c r="R237" s="2">
        <f t="shared" si="20"/>
        <v>830755.6982567599</v>
      </c>
      <c r="S237" s="34">
        <f>+'A) Base RI'!U237</f>
        <v>72</v>
      </c>
      <c r="T237" s="2">
        <f t="shared" si="21"/>
        <v>773795.27825675986</v>
      </c>
      <c r="U237" s="2">
        <f t="shared" si="22"/>
        <v>11538.273586899442</v>
      </c>
      <c r="V237" s="10">
        <f>+'A) Base RI'!P237</f>
        <v>0</v>
      </c>
      <c r="W237" s="10">
        <f>+'A) Base RI'!Q237</f>
        <v>97923.95</v>
      </c>
      <c r="X237" s="10">
        <f>+'A) Base RI'!S237</f>
        <v>25714.65</v>
      </c>
      <c r="Y237" s="2">
        <f t="shared" si="23"/>
        <v>123638.6</v>
      </c>
      <c r="Z237" s="10">
        <f>+'A) Base RI'!O237</f>
        <v>0</v>
      </c>
      <c r="AA237" s="10">
        <f>'A) Base RI'!V237</f>
        <v>346</v>
      </c>
    </row>
    <row r="238" spans="1:27" x14ac:dyDescent="0.25">
      <c r="A238" s="8">
        <f>'A) Base RI'!A238</f>
        <v>5790</v>
      </c>
      <c r="B238" s="33" t="str">
        <f>'A) Base RI'!B238</f>
        <v>Maracon</v>
      </c>
      <c r="C238" s="10">
        <f>'A) Base RI'!C238+'A) Base RI'!D238</f>
        <v>831600.15</v>
      </c>
      <c r="D238" s="10">
        <f>'A) Base RI'!W238</f>
        <v>-7657.33</v>
      </c>
      <c r="E238" s="32">
        <f>'A) Base RI'!X238</f>
        <v>0</v>
      </c>
      <c r="F238" s="32">
        <f>'A) Base RI'!Y238</f>
        <v>-100.57</v>
      </c>
      <c r="G238" s="2">
        <f t="shared" si="18"/>
        <v>823842.25000000012</v>
      </c>
      <c r="H238" s="10">
        <f>+'A) Base RI'!E238</f>
        <v>0</v>
      </c>
      <c r="I238" s="10">
        <f>+'A) Base RI'!F238</f>
        <v>0</v>
      </c>
      <c r="J238" s="10">
        <f>+'A) Base RI'!G238+'A) Base RI'!H238+'A) Base RI'!I238</f>
        <v>2926.3670563674323</v>
      </c>
      <c r="K238" s="10">
        <f>+'A) Base RI'!J238</f>
        <v>0</v>
      </c>
      <c r="L238" s="10">
        <f>+'A) Base RI'!K238</f>
        <v>18411.830000000002</v>
      </c>
      <c r="M238" s="10">
        <f>+'A) Base RI'!L238</f>
        <v>2173.5</v>
      </c>
      <c r="N238" s="10">
        <f>+'A) Base RI'!R238</f>
        <v>0</v>
      </c>
      <c r="O238" s="10">
        <f t="shared" si="19"/>
        <v>72565.45</v>
      </c>
      <c r="P238" s="10">
        <f>+'A) Base RI'!M238</f>
        <v>72565.45</v>
      </c>
      <c r="Q238" s="35">
        <f>'A) Base RI'!Z238</f>
        <v>1</v>
      </c>
      <c r="R238" s="2">
        <f t="shared" si="20"/>
        <v>919919.39705636748</v>
      </c>
      <c r="S238" s="34">
        <f>+'A) Base RI'!U238</f>
        <v>76</v>
      </c>
      <c r="T238" s="2">
        <f t="shared" si="21"/>
        <v>845180.44705636753</v>
      </c>
      <c r="U238" s="2">
        <f t="shared" si="22"/>
        <v>12104.202592846941</v>
      </c>
      <c r="V238" s="10">
        <f>+'A) Base RI'!P238</f>
        <v>0</v>
      </c>
      <c r="W238" s="10">
        <f>+'A) Base RI'!Q238</f>
        <v>34405.949999999997</v>
      </c>
      <c r="X238" s="10">
        <f>+'A) Base RI'!S238</f>
        <v>74480.3</v>
      </c>
      <c r="Y238" s="2">
        <f t="shared" si="23"/>
        <v>108886.25</v>
      </c>
      <c r="Z238" s="10">
        <f>+'A) Base RI'!O238</f>
        <v>4176.3500000000004</v>
      </c>
      <c r="AA238" s="10">
        <f>'A) Base RI'!V238</f>
        <v>477</v>
      </c>
    </row>
    <row r="239" spans="1:27" x14ac:dyDescent="0.25">
      <c r="A239" s="8">
        <f>'A) Base RI'!A239</f>
        <v>5792</v>
      </c>
      <c r="B239" s="33" t="str">
        <f>'A) Base RI'!B239</f>
        <v>Montpreveyres</v>
      </c>
      <c r="C239" s="10">
        <f>'A) Base RI'!C239+'A) Base RI'!D239</f>
        <v>1195497.3400000001</v>
      </c>
      <c r="D239" s="10">
        <f>'A) Base RI'!W239</f>
        <v>-35201.4</v>
      </c>
      <c r="E239" s="32">
        <f>'A) Base RI'!X239</f>
        <v>0</v>
      </c>
      <c r="F239" s="32">
        <f>'A) Base RI'!Y239</f>
        <v>-18.239999999999998</v>
      </c>
      <c r="G239" s="2">
        <f t="shared" si="18"/>
        <v>1160277.7000000002</v>
      </c>
      <c r="H239" s="10">
        <f>+'A) Base RI'!E239</f>
        <v>0</v>
      </c>
      <c r="I239" s="10">
        <f>+'A) Base RI'!F239</f>
        <v>0</v>
      </c>
      <c r="J239" s="10">
        <f>+'A) Base RI'!G239+'A) Base RI'!H239+'A) Base RI'!I239</f>
        <v>17759.987587628868</v>
      </c>
      <c r="K239" s="10">
        <f>+'A) Base RI'!J239</f>
        <v>0</v>
      </c>
      <c r="L239" s="10">
        <f>+'A) Base RI'!K239</f>
        <v>39894.949999999997</v>
      </c>
      <c r="M239" s="10">
        <f>+'A) Base RI'!L239</f>
        <v>-3647.2</v>
      </c>
      <c r="N239" s="10">
        <f>+'A) Base RI'!R239</f>
        <v>18090.75</v>
      </c>
      <c r="O239" s="10">
        <f t="shared" si="19"/>
        <v>106648.25</v>
      </c>
      <c r="P239" s="10">
        <f>+'A) Base RI'!M239</f>
        <v>106648.25</v>
      </c>
      <c r="Q239" s="35">
        <f>'A) Base RI'!Z239</f>
        <v>1</v>
      </c>
      <c r="R239" s="2">
        <f t="shared" ref="R239:R241" si="24">SUM(G239:O239)</f>
        <v>1339024.4375876291</v>
      </c>
      <c r="S239" s="34">
        <f>+'A) Base RI'!U239</f>
        <v>77</v>
      </c>
      <c r="T239" s="2">
        <f t="shared" ref="T239:T241" si="25">(G239+H239+J239+K239+L239+N239)</f>
        <v>1236023.387587629</v>
      </c>
      <c r="U239" s="2">
        <f t="shared" ref="U239:U241" si="26">R239/S239</f>
        <v>17389.927760878301</v>
      </c>
      <c r="V239" s="10">
        <f>+'A) Base RI'!P239</f>
        <v>0</v>
      </c>
      <c r="W239" s="10">
        <f>+'A) Base RI'!Q239</f>
        <v>87030.3</v>
      </c>
      <c r="X239" s="10">
        <f>+'A) Base RI'!S239</f>
        <v>35235.949999999997</v>
      </c>
      <c r="Y239" s="2">
        <f t="shared" ref="Y239:Y241" si="27">SUM(V239:X239)</f>
        <v>122266.25</v>
      </c>
      <c r="Z239" s="10">
        <f>+'A) Base RI'!O239</f>
        <v>0</v>
      </c>
      <c r="AA239" s="10">
        <f>'A) Base RI'!V239</f>
        <v>648</v>
      </c>
    </row>
    <row r="240" spans="1:27" x14ac:dyDescent="0.25">
      <c r="A240" s="8">
        <f>'A) Base RI'!A240</f>
        <v>5798</v>
      </c>
      <c r="B240" s="33" t="str">
        <f>'A) Base RI'!B240</f>
        <v>Ropraz</v>
      </c>
      <c r="C240" s="10">
        <f>'A) Base RI'!C240+'A) Base RI'!D240</f>
        <v>982142.65</v>
      </c>
      <c r="D240" s="10">
        <f>'A) Base RI'!W240</f>
        <v>-7045.93</v>
      </c>
      <c r="E240" s="32">
        <f>'A) Base RI'!X240</f>
        <v>0</v>
      </c>
      <c r="F240" s="32">
        <f>'A) Base RI'!Y240</f>
        <v>-241.96</v>
      </c>
      <c r="G240" s="2">
        <f t="shared" si="18"/>
        <v>974854.76</v>
      </c>
      <c r="H240" s="10">
        <f>+'A) Base RI'!E240</f>
        <v>0</v>
      </c>
      <c r="I240" s="10">
        <f>+'A) Base RI'!F240</f>
        <v>0</v>
      </c>
      <c r="J240" s="10">
        <f>+'A) Base RI'!G240+'A) Base RI'!H240+'A) Base RI'!I240</f>
        <v>16093.848155737707</v>
      </c>
      <c r="K240" s="10">
        <f>+'A) Base RI'!J240</f>
        <v>0</v>
      </c>
      <c r="L240" s="10">
        <f>+'A) Base RI'!K240</f>
        <v>24651.54</v>
      </c>
      <c r="M240" s="10">
        <f>+'A) Base RI'!L240</f>
        <v>-135.5</v>
      </c>
      <c r="N240" s="10">
        <f>+'A) Base RI'!R240</f>
        <v>0</v>
      </c>
      <c r="O240" s="10">
        <f t="shared" si="19"/>
        <v>68931.3</v>
      </c>
      <c r="P240" s="10">
        <f>+'A) Base RI'!M240</f>
        <v>34465.65</v>
      </c>
      <c r="Q240" s="35">
        <f>'A) Base RI'!Z240</f>
        <v>0.5</v>
      </c>
      <c r="R240" s="2">
        <f t="shared" si="24"/>
        <v>1084395.9481557377</v>
      </c>
      <c r="S240" s="34">
        <f>+'A) Base RI'!U240</f>
        <v>77.5</v>
      </c>
      <c r="T240" s="2">
        <f t="shared" si="25"/>
        <v>1015600.1481557378</v>
      </c>
      <c r="U240" s="2">
        <f t="shared" si="26"/>
        <v>13992.205782654681</v>
      </c>
      <c r="V240" s="10">
        <f>+'A) Base RI'!P240</f>
        <v>4856.8999999999996</v>
      </c>
      <c r="W240" s="10">
        <f>+'A) Base RI'!Q240</f>
        <v>63061.85</v>
      </c>
      <c r="X240" s="10">
        <f>+'A) Base RI'!S240</f>
        <v>38274.5</v>
      </c>
      <c r="Y240" s="2">
        <f t="shared" si="27"/>
        <v>106193.25</v>
      </c>
      <c r="Z240" s="10">
        <f>+'A) Base RI'!O240</f>
        <v>0</v>
      </c>
      <c r="AA240" s="10">
        <f>'A) Base RI'!V240</f>
        <v>450</v>
      </c>
    </row>
    <row r="241" spans="1:27" x14ac:dyDescent="0.25">
      <c r="A241" s="8">
        <f>'A) Base RI'!A241</f>
        <v>5799</v>
      </c>
      <c r="B241" s="33" t="str">
        <f>'A) Base RI'!B241</f>
        <v>Servion</v>
      </c>
      <c r="C241" s="10">
        <f>'A) Base RI'!C241+'A) Base RI'!D241</f>
        <v>4120286.8</v>
      </c>
      <c r="D241" s="10">
        <f>'A) Base RI'!W241</f>
        <v>-49287.6</v>
      </c>
      <c r="E241" s="32">
        <f>'A) Base RI'!X241</f>
        <v>0</v>
      </c>
      <c r="F241" s="32">
        <f>'A) Base RI'!Y241</f>
        <v>-63.68</v>
      </c>
      <c r="G241" s="2">
        <f t="shared" si="18"/>
        <v>4070935.5199999996</v>
      </c>
      <c r="H241" s="10">
        <f>+'A) Base RI'!E241</f>
        <v>0</v>
      </c>
      <c r="I241" s="10">
        <f>+'A) Base RI'!F241</f>
        <v>0</v>
      </c>
      <c r="J241" s="10">
        <f>+'A) Base RI'!G241+'A) Base RI'!H241+'A) Base RI'!I241</f>
        <v>50327.67417582417</v>
      </c>
      <c r="K241" s="10">
        <f>+'A) Base RI'!J241</f>
        <v>0</v>
      </c>
      <c r="L241" s="10">
        <f>+'A) Base RI'!K241</f>
        <v>29480.5</v>
      </c>
      <c r="M241" s="10">
        <f>+'A) Base RI'!L241</f>
        <v>6260.75</v>
      </c>
      <c r="N241" s="10">
        <f>+'A) Base RI'!R241</f>
        <v>1818.48</v>
      </c>
      <c r="O241" s="10">
        <f t="shared" si="19"/>
        <v>344121.4</v>
      </c>
      <c r="P241" s="10">
        <f>+'A) Base RI'!M241</f>
        <v>344121.4</v>
      </c>
      <c r="Q241" s="35">
        <f>'A) Base RI'!Z241</f>
        <v>1</v>
      </c>
      <c r="R241" s="2">
        <f t="shared" si="24"/>
        <v>4502944.3241758235</v>
      </c>
      <c r="S241" s="34">
        <f>+'A) Base RI'!U241</f>
        <v>69</v>
      </c>
      <c r="T241" s="2">
        <f t="shared" si="25"/>
        <v>4152562.1741758236</v>
      </c>
      <c r="U241" s="2">
        <f t="shared" si="26"/>
        <v>65260.062669214836</v>
      </c>
      <c r="V241" s="10">
        <f>+'A) Base RI'!P241</f>
        <v>0</v>
      </c>
      <c r="W241" s="10">
        <f>+'A) Base RI'!Q241</f>
        <v>123826.7</v>
      </c>
      <c r="X241" s="10">
        <f>+'A) Base RI'!S241</f>
        <v>112519.95</v>
      </c>
      <c r="Y241" s="2">
        <f t="shared" si="27"/>
        <v>236346.65</v>
      </c>
      <c r="Z241" s="10">
        <f>+'A) Base RI'!O241</f>
        <v>18141.150000000001</v>
      </c>
      <c r="AA241" s="10">
        <f>'A) Base RI'!V241</f>
        <v>1904</v>
      </c>
    </row>
    <row r="242" spans="1:27" x14ac:dyDescent="0.25">
      <c r="A242" s="8">
        <f>'A) Base RI'!A242</f>
        <v>5803</v>
      </c>
      <c r="B242" s="33" t="str">
        <f>'A) Base RI'!B242</f>
        <v>Vulliens</v>
      </c>
      <c r="C242" s="10">
        <f>'A) Base RI'!C242+'A) Base RI'!D242</f>
        <v>1109241.1400000001</v>
      </c>
      <c r="D242" s="10">
        <f>'A) Base RI'!W242</f>
        <v>-11429.48</v>
      </c>
      <c r="E242" s="32">
        <f>'A) Base RI'!X242</f>
        <v>0</v>
      </c>
      <c r="F242" s="32">
        <f>'A) Base RI'!Y242</f>
        <v>-33.19</v>
      </c>
      <c r="G242" s="2">
        <f t="shared" si="18"/>
        <v>1097778.4700000002</v>
      </c>
      <c r="H242" s="10">
        <f>+'A) Base RI'!E242</f>
        <v>0</v>
      </c>
      <c r="I242" s="10">
        <f>+'A) Base RI'!F242</f>
        <v>0</v>
      </c>
      <c r="J242" s="10">
        <f>+'A) Base RI'!G242+'A) Base RI'!H242+'A) Base RI'!I242</f>
        <v>13456.497107942974</v>
      </c>
      <c r="K242" s="10">
        <f>+'A) Base RI'!J242</f>
        <v>0</v>
      </c>
      <c r="L242" s="10">
        <f>+'A) Base RI'!K242</f>
        <v>15472.17</v>
      </c>
      <c r="M242" s="10">
        <f>+'A) Base RI'!L242</f>
        <v>0</v>
      </c>
      <c r="N242" s="10">
        <f>+'A) Base RI'!R242</f>
        <v>2394.15</v>
      </c>
      <c r="O242" s="10">
        <f t="shared" si="19"/>
        <v>81214.649999999994</v>
      </c>
      <c r="P242" s="10">
        <f>+'A) Base RI'!M242</f>
        <v>81214.649999999994</v>
      </c>
      <c r="Q242" s="35">
        <f>'A) Base RI'!Z242</f>
        <v>1</v>
      </c>
      <c r="R242" s="2">
        <f t="shared" si="20"/>
        <v>1210315.937107943</v>
      </c>
      <c r="S242" s="34">
        <f>+'A) Base RI'!U242</f>
        <v>78</v>
      </c>
      <c r="T242" s="2">
        <f t="shared" si="21"/>
        <v>1129101.2871079431</v>
      </c>
      <c r="U242" s="2">
        <f t="shared" si="22"/>
        <v>15516.870988563373</v>
      </c>
      <c r="V242" s="10">
        <f>+'A) Base RI'!P242</f>
        <v>10915.2</v>
      </c>
      <c r="W242" s="10">
        <f>+'A) Base RI'!Q242</f>
        <v>41720.85</v>
      </c>
      <c r="X242" s="10">
        <f>+'A) Base RI'!S242</f>
        <v>35989.65</v>
      </c>
      <c r="Y242" s="2">
        <f t="shared" si="23"/>
        <v>88625.700000000012</v>
      </c>
      <c r="Z242" s="10">
        <f>+'A) Base RI'!O242</f>
        <v>0</v>
      </c>
      <c r="AA242" s="10">
        <f>'A) Base RI'!V242</f>
        <v>515</v>
      </c>
    </row>
    <row r="243" spans="1:27" x14ac:dyDescent="0.25">
      <c r="A243" s="8">
        <f>'A) Base RI'!A243</f>
        <v>5804</v>
      </c>
      <c r="B243" s="33" t="str">
        <f>'A) Base RI'!B243</f>
        <v>Jorat-Menthue</v>
      </c>
      <c r="C243" s="10">
        <f>'A) Base RI'!C243+'A) Base RI'!D243</f>
        <v>3032946.4899999998</v>
      </c>
      <c r="D243" s="10">
        <f>'A) Base RI'!W243</f>
        <v>-47779.29</v>
      </c>
      <c r="E243" s="32">
        <f>'A) Base RI'!X243</f>
        <v>0</v>
      </c>
      <c r="F243" s="32">
        <f>'A) Base RI'!Y243</f>
        <v>-40.700000000000003</v>
      </c>
      <c r="G243" s="2">
        <f t="shared" si="18"/>
        <v>2985126.4999999995</v>
      </c>
      <c r="H243" s="10">
        <f>+'A) Base RI'!E243</f>
        <v>0</v>
      </c>
      <c r="I243" s="10">
        <f>+'A) Base RI'!F243</f>
        <v>0</v>
      </c>
      <c r="J243" s="10">
        <f>+'A) Base RI'!G243+'A) Base RI'!H243+'A) Base RI'!I243</f>
        <v>18821.944141569576</v>
      </c>
      <c r="K243" s="10">
        <f>+'A) Base RI'!J243</f>
        <v>0</v>
      </c>
      <c r="L243" s="10">
        <f>+'A) Base RI'!K243</f>
        <v>87834.28</v>
      </c>
      <c r="M243" s="10">
        <f>+'A) Base RI'!L243</f>
        <v>3758.75</v>
      </c>
      <c r="N243" s="10">
        <f>+'A) Base RI'!R243</f>
        <v>37920.019999999997</v>
      </c>
      <c r="O243" s="10">
        <f t="shared" si="19"/>
        <v>251301.05</v>
      </c>
      <c r="P243" s="10">
        <f>+'A) Base RI'!M243</f>
        <v>251301.05</v>
      </c>
      <c r="Q243" s="35">
        <f>'A) Base RI'!Z243</f>
        <v>1</v>
      </c>
      <c r="R243" s="2">
        <f t="shared" si="20"/>
        <v>3384762.5441415687</v>
      </c>
      <c r="S243" s="34">
        <f>+'A) Base RI'!U243</f>
        <v>72</v>
      </c>
      <c r="T243" s="2">
        <f t="shared" si="21"/>
        <v>3129702.7441415689</v>
      </c>
      <c r="U243" s="2">
        <f t="shared" si="22"/>
        <v>47010.590890855121</v>
      </c>
      <c r="V243" s="10">
        <f>+'A) Base RI'!P243</f>
        <v>101140.4</v>
      </c>
      <c r="W243" s="10">
        <f>+'A) Base RI'!Q243</f>
        <v>61436.3</v>
      </c>
      <c r="X243" s="10">
        <f>+'A) Base RI'!S243</f>
        <v>78689.2</v>
      </c>
      <c r="Y243" s="2">
        <f t="shared" si="23"/>
        <v>241265.90000000002</v>
      </c>
      <c r="Z243" s="10">
        <f>+'A) Base RI'!O243</f>
        <v>4035.95</v>
      </c>
      <c r="AA243" s="10">
        <f>'A) Base RI'!V243</f>
        <v>1532</v>
      </c>
    </row>
    <row r="244" spans="1:27" x14ac:dyDescent="0.25">
      <c r="A244" s="8">
        <f>'A) Base RI'!A244</f>
        <v>5805</v>
      </c>
      <c r="B244" s="33" t="str">
        <f>'A) Base RI'!B244</f>
        <v>Oron</v>
      </c>
      <c r="C244" s="10">
        <f>'A) Base RI'!C244+'A) Base RI'!D244</f>
        <v>8555720.8599999994</v>
      </c>
      <c r="D244" s="10">
        <f>'A) Base RI'!W244</f>
        <v>-229812.76</v>
      </c>
      <c r="E244" s="32">
        <f>'A) Base RI'!X244</f>
        <v>0</v>
      </c>
      <c r="F244" s="32">
        <f>'A) Base RI'!Y244</f>
        <v>-2330.09</v>
      </c>
      <c r="G244" s="2">
        <f t="shared" si="18"/>
        <v>8323578.0099999998</v>
      </c>
      <c r="H244" s="10">
        <f>+'A) Base RI'!E244</f>
        <v>0</v>
      </c>
      <c r="I244" s="10">
        <f>+'A) Base RI'!F244</f>
        <v>0</v>
      </c>
      <c r="J244" s="10">
        <f>+'A) Base RI'!G244+'A) Base RI'!H244+'A) Base RI'!I244</f>
        <v>537554.96270604385</v>
      </c>
      <c r="K244" s="10">
        <f>+'A) Base RI'!J244</f>
        <v>0</v>
      </c>
      <c r="L244" s="10">
        <f>+'A) Base RI'!K244</f>
        <v>240899.77</v>
      </c>
      <c r="M244" s="10">
        <f>+'A) Base RI'!L244</f>
        <v>40874.1</v>
      </c>
      <c r="N244" s="10">
        <f>+'A) Base RI'!R244</f>
        <v>24293.29</v>
      </c>
      <c r="O244" s="10">
        <f t="shared" si="19"/>
        <v>860798.18181818177</v>
      </c>
      <c r="P244" s="10">
        <f>+'A) Base RI'!M244</f>
        <v>946878</v>
      </c>
      <c r="Q244" s="35">
        <f>'A) Base RI'!Z244</f>
        <v>1.1000000000000001</v>
      </c>
      <c r="R244" s="2">
        <f t="shared" si="20"/>
        <v>10027998.314524224</v>
      </c>
      <c r="S244" s="34">
        <f>+'A) Base RI'!U244</f>
        <v>69</v>
      </c>
      <c r="T244" s="2">
        <f t="shared" si="21"/>
        <v>9126326.0327060428</v>
      </c>
      <c r="U244" s="2">
        <f t="shared" si="22"/>
        <v>145333.30890614819</v>
      </c>
      <c r="V244" s="10">
        <f>+'A) Base RI'!P244</f>
        <v>80453.7</v>
      </c>
      <c r="W244" s="10">
        <f>+'A) Base RI'!Q244</f>
        <v>457879.75</v>
      </c>
      <c r="X244" s="10">
        <f>+'A) Base RI'!S244</f>
        <v>306814.09999999998</v>
      </c>
      <c r="Y244" s="2">
        <f t="shared" si="23"/>
        <v>845147.54999999993</v>
      </c>
      <c r="Z244" s="10">
        <f>+'A) Base RI'!O244</f>
        <v>83623.100000000006</v>
      </c>
      <c r="AA244" s="10">
        <f>'A) Base RI'!V244</f>
        <v>5463</v>
      </c>
    </row>
    <row r="245" spans="1:27" x14ac:dyDescent="0.25">
      <c r="A245" s="8">
        <f>'A) Base RI'!A245</f>
        <v>5806</v>
      </c>
      <c r="B245" s="33" t="str">
        <f>'A) Base RI'!B245</f>
        <v>Jorat-Mézières</v>
      </c>
      <c r="C245" s="10">
        <f>'A) Base RI'!C245+'A) Base RI'!D245</f>
        <v>5742509.0499999998</v>
      </c>
      <c r="D245" s="10">
        <f>'A) Base RI'!W245</f>
        <v>-99560.960000000006</v>
      </c>
      <c r="E245" s="32">
        <f>'A) Base RI'!X245</f>
        <v>0</v>
      </c>
      <c r="F245" s="32">
        <f>'A) Base RI'!Y245</f>
        <v>-326.69</v>
      </c>
      <c r="G245" s="2">
        <f t="shared" si="18"/>
        <v>5642621.3999999994</v>
      </c>
      <c r="H245" s="10">
        <f>+'A) Base RI'!E245</f>
        <v>0</v>
      </c>
      <c r="I245" s="10">
        <f>+'A) Base RI'!F245</f>
        <v>0</v>
      </c>
      <c r="J245" s="10">
        <f>+'A) Base RI'!G245+'A) Base RI'!H245+'A) Base RI'!I245</f>
        <v>153546.1</v>
      </c>
      <c r="K245" s="10">
        <f>+'A) Base RI'!J245</f>
        <v>54947.5</v>
      </c>
      <c r="L245" s="10">
        <f>+'A) Base RI'!K245</f>
        <v>91214.42</v>
      </c>
      <c r="M245" s="10">
        <f>+'A) Base RI'!L245</f>
        <v>11950.35</v>
      </c>
      <c r="N245" s="10">
        <f>+'A) Base RI'!R245</f>
        <v>14243.32</v>
      </c>
      <c r="O245" s="10">
        <f t="shared" si="19"/>
        <v>498136.3</v>
      </c>
      <c r="P245" s="10">
        <f>+'A) Base RI'!M245</f>
        <v>498136.3</v>
      </c>
      <c r="Q245" s="35">
        <f>'A) Base RI'!Z245</f>
        <v>1</v>
      </c>
      <c r="R245" s="2">
        <f t="shared" si="20"/>
        <v>6466659.3899999987</v>
      </c>
      <c r="S245" s="34">
        <f>+'A) Base RI'!U245</f>
        <v>76</v>
      </c>
      <c r="T245" s="2">
        <f t="shared" si="21"/>
        <v>5956572.7399999993</v>
      </c>
      <c r="U245" s="2">
        <f t="shared" si="22"/>
        <v>85087.623552631558</v>
      </c>
      <c r="V245" s="10">
        <f>+'A) Base RI'!P245</f>
        <v>27856.3</v>
      </c>
      <c r="W245" s="10">
        <f>+'A) Base RI'!Q245</f>
        <v>278699.65000000002</v>
      </c>
      <c r="X245" s="10">
        <f>+'A) Base RI'!S245</f>
        <v>176974.1</v>
      </c>
      <c r="Y245" s="2">
        <f t="shared" si="23"/>
        <v>483530.05000000005</v>
      </c>
      <c r="Z245" s="10">
        <f>+'A) Base RI'!O245</f>
        <v>22621.9</v>
      </c>
      <c r="AA245" s="10">
        <f>'A) Base RI'!V245</f>
        <v>2850</v>
      </c>
    </row>
    <row r="246" spans="1:27" x14ac:dyDescent="0.25">
      <c r="A246" s="8">
        <f>'A) Base RI'!A246</f>
        <v>5812</v>
      </c>
      <c r="B246" s="33" t="str">
        <f>'A) Base RI'!B246</f>
        <v>Champtauroz</v>
      </c>
      <c r="C246" s="10">
        <f>'A) Base RI'!C246+'A) Base RI'!D246</f>
        <v>175163.03</v>
      </c>
      <c r="D246" s="10">
        <f>'A) Base RI'!W246</f>
        <v>-6512.51</v>
      </c>
      <c r="E246" s="32">
        <f>'A) Base RI'!X246</f>
        <v>0</v>
      </c>
      <c r="F246" s="32">
        <f>'A) Base RI'!Y246</f>
        <v>0</v>
      </c>
      <c r="G246" s="2">
        <f t="shared" si="18"/>
        <v>168650.52</v>
      </c>
      <c r="H246" s="10">
        <f>+'A) Base RI'!E246</f>
        <v>0</v>
      </c>
      <c r="I246" s="10">
        <f>+'A) Base RI'!F246</f>
        <v>0</v>
      </c>
      <c r="J246" s="10">
        <f>+'A) Base RI'!G246+'A) Base RI'!H246+'A) Base RI'!I246</f>
        <v>901.68364948453609</v>
      </c>
      <c r="K246" s="10">
        <f>+'A) Base RI'!J246</f>
        <v>0</v>
      </c>
      <c r="L246" s="10">
        <f>+'A) Base RI'!K246</f>
        <v>4.3499999999999996</v>
      </c>
      <c r="M246" s="10">
        <f>+'A) Base RI'!L246</f>
        <v>613</v>
      </c>
      <c r="N246" s="10">
        <f>+'A) Base RI'!R246</f>
        <v>0</v>
      </c>
      <c r="O246" s="10">
        <f t="shared" si="19"/>
        <v>15767.125</v>
      </c>
      <c r="P246" s="10">
        <f>+'A) Base RI'!M246</f>
        <v>12613.7</v>
      </c>
      <c r="Q246" s="35">
        <f>'A) Base RI'!Z246</f>
        <v>0.8</v>
      </c>
      <c r="R246" s="2">
        <f t="shared" si="20"/>
        <v>185936.67864948453</v>
      </c>
      <c r="S246" s="34">
        <f>+'A) Base RI'!U246</f>
        <v>77</v>
      </c>
      <c r="T246" s="2">
        <f t="shared" si="21"/>
        <v>169556.55364948453</v>
      </c>
      <c r="U246" s="2">
        <f t="shared" si="22"/>
        <v>2414.7620603829159</v>
      </c>
      <c r="V246" s="10">
        <f>+'A) Base RI'!P246</f>
        <v>0</v>
      </c>
      <c r="W246" s="10">
        <f>+'A) Base RI'!Q246</f>
        <v>7359</v>
      </c>
      <c r="X246" s="10">
        <f>+'A) Base RI'!S246</f>
        <v>20000.8</v>
      </c>
      <c r="Y246" s="2">
        <f t="shared" si="23"/>
        <v>27359.8</v>
      </c>
      <c r="Z246" s="10">
        <f>+'A) Base RI'!O246</f>
        <v>0</v>
      </c>
      <c r="AA246" s="10">
        <f>'A) Base RI'!V246</f>
        <v>128</v>
      </c>
    </row>
    <row r="247" spans="1:27" x14ac:dyDescent="0.25">
      <c r="A247" s="8">
        <f>'A) Base RI'!A247</f>
        <v>5813</v>
      </c>
      <c r="B247" s="33" t="str">
        <f>'A) Base RI'!B247</f>
        <v>Chevroux</v>
      </c>
      <c r="C247" s="10">
        <f>'A) Base RI'!C247+'A) Base RI'!D247</f>
        <v>819841.52</v>
      </c>
      <c r="D247" s="10">
        <f>'A) Base RI'!W247</f>
        <v>-26203.85</v>
      </c>
      <c r="E247" s="32">
        <f>'A) Base RI'!X247</f>
        <v>0</v>
      </c>
      <c r="F247" s="32">
        <f>'A) Base RI'!Y247</f>
        <v>-7.65</v>
      </c>
      <c r="G247" s="2">
        <f t="shared" si="18"/>
        <v>793630.02</v>
      </c>
      <c r="H247" s="10">
        <f>+'A) Base RI'!E247</f>
        <v>0</v>
      </c>
      <c r="I247" s="10">
        <f>+'A) Base RI'!F247</f>
        <v>2860</v>
      </c>
      <c r="J247" s="10">
        <f>+'A) Base RI'!G247+'A) Base RI'!H247+'A) Base RI'!I247</f>
        <v>17372.394173441731</v>
      </c>
      <c r="K247" s="10">
        <f>+'A) Base RI'!J247</f>
        <v>0</v>
      </c>
      <c r="L247" s="10">
        <f>+'A) Base RI'!K247</f>
        <v>5666.85</v>
      </c>
      <c r="M247" s="10">
        <f>+'A) Base RI'!L247</f>
        <v>0</v>
      </c>
      <c r="N247" s="10">
        <f>+'A) Base RI'!R247</f>
        <v>23644.78</v>
      </c>
      <c r="O247" s="10">
        <f t="shared" si="19"/>
        <v>74768.958333333343</v>
      </c>
      <c r="P247" s="10">
        <f>+'A) Base RI'!M247</f>
        <v>89722.75</v>
      </c>
      <c r="Q247" s="35">
        <f>'A) Base RI'!Z247</f>
        <v>1.2</v>
      </c>
      <c r="R247" s="2">
        <f t="shared" si="20"/>
        <v>917943.00250677508</v>
      </c>
      <c r="S247" s="34">
        <f>+'A) Base RI'!U247</f>
        <v>70</v>
      </c>
      <c r="T247" s="2">
        <f t="shared" si="21"/>
        <v>840314.04417344171</v>
      </c>
      <c r="U247" s="2">
        <f t="shared" si="22"/>
        <v>13113.471464382501</v>
      </c>
      <c r="V247" s="10">
        <f>+'A) Base RI'!P247</f>
        <v>47168.5</v>
      </c>
      <c r="W247" s="10">
        <f>+'A) Base RI'!Q247</f>
        <v>56331.15</v>
      </c>
      <c r="X247" s="10">
        <f>+'A) Base RI'!S247</f>
        <v>52335.45</v>
      </c>
      <c r="Y247" s="2">
        <f t="shared" si="23"/>
        <v>155835.09999999998</v>
      </c>
      <c r="Z247" s="10">
        <f>+'A) Base RI'!O247</f>
        <v>0</v>
      </c>
      <c r="AA247" s="10">
        <f>'A) Base RI'!V247</f>
        <v>470</v>
      </c>
    </row>
    <row r="248" spans="1:27" x14ac:dyDescent="0.25">
      <c r="A248" s="8">
        <f>'A) Base RI'!A248</f>
        <v>5816</v>
      </c>
      <c r="B248" s="33" t="str">
        <f>'A) Base RI'!B248</f>
        <v>Corcelles-près-Payerne</v>
      </c>
      <c r="C248" s="10">
        <f>'A) Base RI'!C248+'A) Base RI'!D248</f>
        <v>3428346.15</v>
      </c>
      <c r="D248" s="10">
        <f>'A) Base RI'!W248</f>
        <v>-82985.820000000007</v>
      </c>
      <c r="E248" s="32">
        <f>'A) Base RI'!X248</f>
        <v>0</v>
      </c>
      <c r="F248" s="32">
        <f>'A) Base RI'!Y248</f>
        <v>-10.39</v>
      </c>
      <c r="G248" s="2">
        <f t="shared" si="18"/>
        <v>3345349.94</v>
      </c>
      <c r="H248" s="10">
        <f>+'A) Base RI'!E248</f>
        <v>0</v>
      </c>
      <c r="I248" s="10">
        <f>+'A) Base RI'!F248</f>
        <v>0</v>
      </c>
      <c r="J248" s="10">
        <f>+'A) Base RI'!G248+'A) Base RI'!H248+'A) Base RI'!I248</f>
        <v>188779.27407122441</v>
      </c>
      <c r="K248" s="10">
        <f>+'A) Base RI'!J248</f>
        <v>0</v>
      </c>
      <c r="L248" s="10">
        <f>+'A) Base RI'!K248</f>
        <v>178054.71</v>
      </c>
      <c r="M248" s="10">
        <f>+'A) Base RI'!L248</f>
        <v>19333.5</v>
      </c>
      <c r="N248" s="10">
        <f>+'A) Base RI'!R248</f>
        <v>2720.71</v>
      </c>
      <c r="O248" s="10">
        <f t="shared" si="19"/>
        <v>332015.85714285716</v>
      </c>
      <c r="P248" s="10">
        <f>+'A) Base RI'!M248</f>
        <v>232411.1</v>
      </c>
      <c r="Q248" s="35">
        <f>'A) Base RI'!Z248</f>
        <v>0.7</v>
      </c>
      <c r="R248" s="2">
        <f t="shared" si="20"/>
        <v>4066253.9912140816</v>
      </c>
      <c r="S248" s="34">
        <f>+'A) Base RI'!U248</f>
        <v>72</v>
      </c>
      <c r="T248" s="2">
        <f t="shared" si="21"/>
        <v>3714904.6340712244</v>
      </c>
      <c r="U248" s="2">
        <f t="shared" si="22"/>
        <v>56475.749877973358</v>
      </c>
      <c r="V248" s="10">
        <f>+'A) Base RI'!P248</f>
        <v>65734.899999999994</v>
      </c>
      <c r="W248" s="10">
        <f>+'A) Base RI'!Q248</f>
        <v>138344.45000000001</v>
      </c>
      <c r="X248" s="10">
        <f>+'A) Base RI'!S248</f>
        <v>101756.4</v>
      </c>
      <c r="Y248" s="2">
        <f t="shared" si="23"/>
        <v>305835.75</v>
      </c>
      <c r="Z248" s="10">
        <f>+'A) Base RI'!O248</f>
        <v>19098.8</v>
      </c>
      <c r="AA248" s="10">
        <f>'A) Base RI'!V248</f>
        <v>2448</v>
      </c>
    </row>
    <row r="249" spans="1:27" x14ac:dyDescent="0.25">
      <c r="A249" s="8">
        <f>'A) Base RI'!A249</f>
        <v>5817</v>
      </c>
      <c r="B249" s="33" t="str">
        <f>'A) Base RI'!B249</f>
        <v>Grandcour</v>
      </c>
      <c r="C249" s="10">
        <f>'A) Base RI'!C249+'A) Base RI'!D249</f>
        <v>1661264.72</v>
      </c>
      <c r="D249" s="10">
        <f>'A) Base RI'!W249</f>
        <v>-101794.85</v>
      </c>
      <c r="E249" s="32">
        <f>'A) Base RI'!X249</f>
        <v>0</v>
      </c>
      <c r="F249" s="32">
        <f>'A) Base RI'!Y249</f>
        <v>-0.71</v>
      </c>
      <c r="G249" s="2">
        <f t="shared" si="18"/>
        <v>1559469.16</v>
      </c>
      <c r="H249" s="10">
        <f>+'A) Base RI'!E249</f>
        <v>0</v>
      </c>
      <c r="I249" s="10">
        <f>+'A) Base RI'!F249</f>
        <v>0</v>
      </c>
      <c r="J249" s="10">
        <f>+'A) Base RI'!G249+'A) Base RI'!H249+'A) Base RI'!I249</f>
        <v>22804.094768953793</v>
      </c>
      <c r="K249" s="10">
        <f>+'A) Base RI'!J249</f>
        <v>0</v>
      </c>
      <c r="L249" s="10">
        <f>+'A) Base RI'!K249</f>
        <v>25402.91</v>
      </c>
      <c r="M249" s="10">
        <f>+'A) Base RI'!L249</f>
        <v>2752.95</v>
      </c>
      <c r="N249" s="10">
        <f>+'A) Base RI'!R249</f>
        <v>34999.15</v>
      </c>
      <c r="O249" s="10">
        <f t="shared" si="19"/>
        <v>110131.8</v>
      </c>
      <c r="P249" s="10">
        <f>+'A) Base RI'!M249</f>
        <v>110131.8</v>
      </c>
      <c r="Q249" s="35">
        <f>'A) Base RI'!Z249</f>
        <v>1</v>
      </c>
      <c r="R249" s="2">
        <f t="shared" si="20"/>
        <v>1755560.0647689535</v>
      </c>
      <c r="S249" s="34">
        <f>+'A) Base RI'!U249</f>
        <v>79.5</v>
      </c>
      <c r="T249" s="2">
        <f t="shared" si="21"/>
        <v>1642675.3147689535</v>
      </c>
      <c r="U249" s="2">
        <f t="shared" si="22"/>
        <v>22082.516537974258</v>
      </c>
      <c r="V249" s="10">
        <f>+'A) Base RI'!P249</f>
        <v>4940</v>
      </c>
      <c r="W249" s="10">
        <f>+'A) Base RI'!Q249</f>
        <v>50052.9</v>
      </c>
      <c r="X249" s="10">
        <f>+'A) Base RI'!S249</f>
        <v>71500.600000000006</v>
      </c>
      <c r="Y249" s="2">
        <f t="shared" si="23"/>
        <v>126493.5</v>
      </c>
      <c r="Z249" s="10">
        <f>+'A) Base RI'!O249</f>
        <v>0</v>
      </c>
      <c r="AA249" s="10">
        <f>'A) Base RI'!V249</f>
        <v>890</v>
      </c>
    </row>
    <row r="250" spans="1:27" x14ac:dyDescent="0.25">
      <c r="A250" s="8">
        <f>'A) Base RI'!A250</f>
        <v>5819</v>
      </c>
      <c r="B250" s="33" t="str">
        <f>'A) Base RI'!B250</f>
        <v>Henniez</v>
      </c>
      <c r="C250" s="10">
        <f>'A) Base RI'!C250+'A) Base RI'!D250</f>
        <v>699421.63</v>
      </c>
      <c r="D250" s="10">
        <f>'A) Base RI'!W250</f>
        <v>-12381.68</v>
      </c>
      <c r="E250" s="32">
        <f>'A) Base RI'!X250</f>
        <v>0</v>
      </c>
      <c r="F250" s="32">
        <f>'A) Base RI'!Y250</f>
        <v>-99.16</v>
      </c>
      <c r="G250" s="2">
        <f t="shared" si="18"/>
        <v>686940.78999999992</v>
      </c>
      <c r="H250" s="10">
        <f>+'A) Base RI'!E250</f>
        <v>0</v>
      </c>
      <c r="I250" s="10">
        <f>+'A) Base RI'!F250</f>
        <v>0</v>
      </c>
      <c r="J250" s="10">
        <f>+'A) Base RI'!G250+'A) Base RI'!H250+'A) Base RI'!I250</f>
        <v>165141.39964680953</v>
      </c>
      <c r="K250" s="10">
        <f>+'A) Base RI'!J250</f>
        <v>0</v>
      </c>
      <c r="L250" s="10">
        <f>+'A) Base RI'!K250</f>
        <v>11537.38</v>
      </c>
      <c r="M250" s="10">
        <f>+'A) Base RI'!L250</f>
        <v>1849.35</v>
      </c>
      <c r="N250" s="10">
        <f>+'A) Base RI'!R250</f>
        <v>2012.25</v>
      </c>
      <c r="O250" s="10">
        <f t="shared" si="19"/>
        <v>80845.350000000006</v>
      </c>
      <c r="P250" s="10">
        <f>+'A) Base RI'!M250</f>
        <v>80845.350000000006</v>
      </c>
      <c r="Q250" s="35">
        <f>'A) Base RI'!Z250</f>
        <v>1</v>
      </c>
      <c r="R250" s="2">
        <f t="shared" si="20"/>
        <v>948326.51964680944</v>
      </c>
      <c r="S250" s="34">
        <f>+'A) Base RI'!U250</f>
        <v>69</v>
      </c>
      <c r="T250" s="2">
        <f t="shared" si="21"/>
        <v>865631.81964680948</v>
      </c>
      <c r="U250" s="2">
        <f t="shared" si="22"/>
        <v>13743.862603576948</v>
      </c>
      <c r="V250" s="10">
        <f>+'A) Base RI'!P250</f>
        <v>1532.6</v>
      </c>
      <c r="W250" s="10">
        <f>+'A) Base RI'!Q250</f>
        <v>18786.5</v>
      </c>
      <c r="X250" s="10">
        <f>+'A) Base RI'!S250</f>
        <v>39202.35</v>
      </c>
      <c r="Y250" s="2">
        <f t="shared" si="23"/>
        <v>59521.45</v>
      </c>
      <c r="Z250" s="10">
        <f>+'A) Base RI'!O250</f>
        <v>18163.650000000001</v>
      </c>
      <c r="AA250" s="10">
        <f>'A) Base RI'!V250</f>
        <v>359</v>
      </c>
    </row>
    <row r="251" spans="1:27" x14ac:dyDescent="0.25">
      <c r="A251" s="8">
        <f>'A) Base RI'!A251</f>
        <v>5821</v>
      </c>
      <c r="B251" s="33" t="str">
        <f>'A) Base RI'!B251</f>
        <v>Missy</v>
      </c>
      <c r="C251" s="10">
        <f>'A) Base RI'!C251+'A) Base RI'!D251</f>
        <v>501896.95</v>
      </c>
      <c r="D251" s="10">
        <f>'A) Base RI'!W251</f>
        <v>-19375.32</v>
      </c>
      <c r="E251" s="32">
        <f>'A) Base RI'!X251</f>
        <v>0</v>
      </c>
      <c r="F251" s="32">
        <f>'A) Base RI'!Y251</f>
        <v>0</v>
      </c>
      <c r="G251" s="2">
        <f t="shared" si="18"/>
        <v>482521.63</v>
      </c>
      <c r="H251" s="10">
        <f>+'A) Base RI'!E251</f>
        <v>0</v>
      </c>
      <c r="I251" s="10">
        <f>+'A) Base RI'!F251</f>
        <v>2080</v>
      </c>
      <c r="J251" s="10">
        <f>+'A) Base RI'!G251+'A) Base RI'!H251+'A) Base RI'!I251</f>
        <v>2062.1799076720158</v>
      </c>
      <c r="K251" s="10">
        <f>+'A) Base RI'!J251</f>
        <v>0</v>
      </c>
      <c r="L251" s="10">
        <f>+'A) Base RI'!K251</f>
        <v>14600.82</v>
      </c>
      <c r="M251" s="10">
        <f>+'A) Base RI'!L251</f>
        <v>1276.6500000000001</v>
      </c>
      <c r="N251" s="10">
        <f>+'A) Base RI'!R251</f>
        <v>0</v>
      </c>
      <c r="O251" s="10">
        <f t="shared" si="19"/>
        <v>47399.3</v>
      </c>
      <c r="P251" s="10">
        <f>+'A) Base RI'!M251</f>
        <v>47399.3</v>
      </c>
      <c r="Q251" s="35">
        <f>'A) Base RI'!Z251</f>
        <v>1</v>
      </c>
      <c r="R251" s="2">
        <f t="shared" si="20"/>
        <v>549940.57990767201</v>
      </c>
      <c r="S251" s="34">
        <f>+'A) Base RI'!U251</f>
        <v>72</v>
      </c>
      <c r="T251" s="2">
        <f t="shared" si="21"/>
        <v>499184.629907672</v>
      </c>
      <c r="U251" s="2">
        <f t="shared" si="22"/>
        <v>7638.0636098287778</v>
      </c>
      <c r="V251" s="10">
        <f>+'A) Base RI'!P251</f>
        <v>0</v>
      </c>
      <c r="W251" s="10">
        <f>+'A) Base RI'!Q251</f>
        <v>9597.5</v>
      </c>
      <c r="X251" s="10">
        <f>+'A) Base RI'!S251</f>
        <v>3755.25</v>
      </c>
      <c r="Y251" s="2">
        <f t="shared" si="23"/>
        <v>13352.75</v>
      </c>
      <c r="Z251" s="10">
        <f>+'A) Base RI'!O251</f>
        <v>0</v>
      </c>
      <c r="AA251" s="10">
        <f>'A) Base RI'!V251</f>
        <v>352</v>
      </c>
    </row>
    <row r="252" spans="1:27" x14ac:dyDescent="0.25">
      <c r="A252" s="8">
        <f>'A) Base RI'!A252</f>
        <v>5822</v>
      </c>
      <c r="B252" s="33" t="str">
        <f>'A) Base RI'!B252</f>
        <v>Payerne</v>
      </c>
      <c r="C252" s="10">
        <f>'A) Base RI'!C252+'A) Base RI'!D252</f>
        <v>14673425.880000001</v>
      </c>
      <c r="D252" s="10">
        <f>'A) Base RI'!W252</f>
        <v>-632928.4</v>
      </c>
      <c r="E252" s="32">
        <f>'A) Base RI'!X252</f>
        <v>0</v>
      </c>
      <c r="F252" s="32">
        <f>'A) Base RI'!Y252</f>
        <v>-185.05</v>
      </c>
      <c r="G252" s="2">
        <f t="shared" si="18"/>
        <v>14040312.43</v>
      </c>
      <c r="H252" s="10">
        <f>+'A) Base RI'!E252</f>
        <v>0</v>
      </c>
      <c r="I252" s="10">
        <f>+'A) Base RI'!F252</f>
        <v>0</v>
      </c>
      <c r="J252" s="10">
        <f>+'A) Base RI'!G252+'A) Base RI'!H252+'A) Base RI'!I252</f>
        <v>1351353.7454545454</v>
      </c>
      <c r="K252" s="10">
        <f>+'A) Base RI'!J252</f>
        <v>0</v>
      </c>
      <c r="L252" s="10">
        <f>+'A) Base RI'!K252</f>
        <v>693109.76000000001</v>
      </c>
      <c r="M252" s="10">
        <f>+'A) Base RI'!L252</f>
        <v>166885.15</v>
      </c>
      <c r="N252" s="10">
        <f>+'A) Base RI'!R252</f>
        <v>181782.73</v>
      </c>
      <c r="O252" s="10">
        <f t="shared" si="19"/>
        <v>1278294</v>
      </c>
      <c r="P252" s="10">
        <f>+'A) Base RI'!M252</f>
        <v>1278294</v>
      </c>
      <c r="Q252" s="35">
        <f>'A) Base RI'!Z252</f>
        <v>1</v>
      </c>
      <c r="R252" s="2">
        <f t="shared" si="20"/>
        <v>17711737.815454546</v>
      </c>
      <c r="S252" s="34">
        <f>+'A) Base RI'!U252</f>
        <v>75</v>
      </c>
      <c r="T252" s="2">
        <f t="shared" si="21"/>
        <v>16266558.665454546</v>
      </c>
      <c r="U252" s="2">
        <f t="shared" si="22"/>
        <v>236156.50420606061</v>
      </c>
      <c r="V252" s="10">
        <f>+'A) Base RI'!P252</f>
        <v>324837.7</v>
      </c>
      <c r="W252" s="10">
        <f>+'A) Base RI'!Q252</f>
        <v>652835.30000000005</v>
      </c>
      <c r="X252" s="10">
        <f>+'A) Base RI'!S252</f>
        <v>398719.65</v>
      </c>
      <c r="Y252" s="2">
        <f t="shared" si="23"/>
        <v>1376392.65</v>
      </c>
      <c r="Z252" s="10">
        <f>+'A) Base RI'!O252</f>
        <v>79488.55</v>
      </c>
      <c r="AA252" s="10">
        <f>'A) Base RI'!V252</f>
        <v>9716</v>
      </c>
    </row>
    <row r="253" spans="1:27" x14ac:dyDescent="0.25">
      <c r="A253" s="8">
        <f>'A) Base RI'!A253</f>
        <v>5827</v>
      </c>
      <c r="B253" s="33" t="str">
        <f>'A) Base RI'!B253</f>
        <v>Trey</v>
      </c>
      <c r="C253" s="10">
        <f>'A) Base RI'!C253+'A) Base RI'!D253</f>
        <v>496048.76</v>
      </c>
      <c r="D253" s="10">
        <f>'A) Base RI'!W253</f>
        <v>-6716.17</v>
      </c>
      <c r="E253" s="32">
        <f>'A) Base RI'!X253</f>
        <v>0</v>
      </c>
      <c r="F253" s="32">
        <f>'A) Base RI'!Y253</f>
        <v>0</v>
      </c>
      <c r="G253" s="2">
        <f t="shared" si="18"/>
        <v>489332.59</v>
      </c>
      <c r="H253" s="10">
        <f>+'A) Base RI'!E253</f>
        <v>0</v>
      </c>
      <c r="I253" s="10">
        <f>+'A) Base RI'!F253</f>
        <v>1470</v>
      </c>
      <c r="J253" s="10">
        <f>+'A) Base RI'!G253+'A) Base RI'!H253+'A) Base RI'!I253</f>
        <v>8400.2654702724194</v>
      </c>
      <c r="K253" s="10">
        <f>+'A) Base RI'!J253</f>
        <v>0</v>
      </c>
      <c r="L253" s="10">
        <f>+'A) Base RI'!K253</f>
        <v>-141.22999999999999</v>
      </c>
      <c r="M253" s="10">
        <f>+'A) Base RI'!L253</f>
        <v>469.35</v>
      </c>
      <c r="N253" s="10">
        <f>+'A) Base RI'!R253</f>
        <v>1985.27</v>
      </c>
      <c r="O253" s="10">
        <f t="shared" si="19"/>
        <v>33699.65</v>
      </c>
      <c r="P253" s="10">
        <f>+'A) Base RI'!M253</f>
        <v>33699.65</v>
      </c>
      <c r="Q253" s="35">
        <f>'A) Base RI'!Z253</f>
        <v>1</v>
      </c>
      <c r="R253" s="2">
        <f t="shared" si="20"/>
        <v>535215.8954702724</v>
      </c>
      <c r="S253" s="34">
        <f>+'A) Base RI'!U253</f>
        <v>80</v>
      </c>
      <c r="T253" s="2">
        <f t="shared" si="21"/>
        <v>499576.89547027246</v>
      </c>
      <c r="U253" s="2">
        <f t="shared" si="22"/>
        <v>6690.1986933784046</v>
      </c>
      <c r="V253" s="10">
        <f>+'A) Base RI'!P253</f>
        <v>0</v>
      </c>
      <c r="W253" s="10">
        <f>+'A) Base RI'!Q253</f>
        <v>10809.4</v>
      </c>
      <c r="X253" s="10">
        <f>+'A) Base RI'!S253</f>
        <v>7486.1</v>
      </c>
      <c r="Y253" s="2">
        <f t="shared" si="23"/>
        <v>18295.5</v>
      </c>
      <c r="Z253" s="10">
        <f>+'A) Base RI'!O253</f>
        <v>20433.599999999999</v>
      </c>
      <c r="AA253" s="10">
        <f>'A) Base RI'!V253</f>
        <v>268</v>
      </c>
    </row>
    <row r="254" spans="1:27" x14ac:dyDescent="0.25">
      <c r="A254" s="8">
        <f>'A) Base RI'!A254</f>
        <v>5828</v>
      </c>
      <c r="B254" s="33" t="str">
        <f>'A) Base RI'!B254</f>
        <v>Treytorrens (Payerne)</v>
      </c>
      <c r="C254" s="10">
        <f>'A) Base RI'!C254+'A) Base RI'!D254</f>
        <v>184831.12</v>
      </c>
      <c r="D254" s="10">
        <f>'A) Base RI'!W254</f>
        <v>-8514.61</v>
      </c>
      <c r="E254" s="32">
        <f>'A) Base RI'!X254</f>
        <v>0</v>
      </c>
      <c r="F254" s="32">
        <f>'A) Base RI'!Y254</f>
        <v>0</v>
      </c>
      <c r="G254" s="2">
        <f t="shared" si="18"/>
        <v>176316.51</v>
      </c>
      <c r="H254" s="10">
        <f>+'A) Base RI'!E254</f>
        <v>0</v>
      </c>
      <c r="I254" s="10">
        <f>+'A) Base RI'!F254</f>
        <v>0</v>
      </c>
      <c r="J254" s="10">
        <f>+'A) Base RI'!G254+'A) Base RI'!H254+'A) Base RI'!I254</f>
        <v>470.69221568255176</v>
      </c>
      <c r="K254" s="10">
        <f>+'A) Base RI'!J254</f>
        <v>0</v>
      </c>
      <c r="L254" s="10">
        <f>+'A) Base RI'!K254</f>
        <v>184.94</v>
      </c>
      <c r="M254" s="10">
        <f>+'A) Base RI'!L254</f>
        <v>0</v>
      </c>
      <c r="N254" s="10">
        <f>+'A) Base RI'!R254</f>
        <v>0</v>
      </c>
      <c r="O254" s="10">
        <f t="shared" si="19"/>
        <v>14520.866666666667</v>
      </c>
      <c r="P254" s="10">
        <f>+'A) Base RI'!M254</f>
        <v>21781.3</v>
      </c>
      <c r="Q254" s="35">
        <f>'A) Base RI'!Z254</f>
        <v>1.5</v>
      </c>
      <c r="R254" s="2">
        <f t="shared" si="20"/>
        <v>191493.00888234924</v>
      </c>
      <c r="S254" s="34">
        <f>+'A) Base RI'!U254</f>
        <v>84</v>
      </c>
      <c r="T254" s="2">
        <f t="shared" si="21"/>
        <v>176972.14221568257</v>
      </c>
      <c r="U254" s="2">
        <f t="shared" si="22"/>
        <v>2279.6786771708244</v>
      </c>
      <c r="V254" s="10">
        <f>+'A) Base RI'!P254</f>
        <v>3117.5</v>
      </c>
      <c r="W254" s="10">
        <f>+'A) Base RI'!Q254</f>
        <v>13181.75</v>
      </c>
      <c r="X254" s="10">
        <f>+'A) Base RI'!S254</f>
        <v>19729.900000000001</v>
      </c>
      <c r="Y254" s="2">
        <f t="shared" si="23"/>
        <v>36029.15</v>
      </c>
      <c r="Z254" s="10">
        <f>+'A) Base RI'!O254</f>
        <v>0</v>
      </c>
      <c r="AA254" s="10">
        <f>'A) Base RI'!V254</f>
        <v>122</v>
      </c>
    </row>
    <row r="255" spans="1:27" x14ac:dyDescent="0.25">
      <c r="A255" s="8">
        <f>'A) Base RI'!A255</f>
        <v>5830</v>
      </c>
      <c r="B255" s="33" t="str">
        <f>'A) Base RI'!B255</f>
        <v>Villarzel</v>
      </c>
      <c r="C255" s="10">
        <f>'A) Base RI'!C255+'A) Base RI'!D255</f>
        <v>746748.88</v>
      </c>
      <c r="D255" s="10">
        <f>'A) Base RI'!W255</f>
        <v>-3301.08</v>
      </c>
      <c r="E255" s="32">
        <f>'A) Base RI'!X255</f>
        <v>0</v>
      </c>
      <c r="F255" s="32">
        <f>'A) Base RI'!Y255</f>
        <v>-0.89</v>
      </c>
      <c r="G255" s="2">
        <f t="shared" si="18"/>
        <v>743446.91</v>
      </c>
      <c r="H255" s="10">
        <f>+'A) Base RI'!E255</f>
        <v>0</v>
      </c>
      <c r="I255" s="10">
        <f>+'A) Base RI'!F255</f>
        <v>0</v>
      </c>
      <c r="J255" s="10">
        <f>+'A) Base RI'!G255+'A) Base RI'!H255+'A) Base RI'!I255</f>
        <v>8275.1750855302871</v>
      </c>
      <c r="K255" s="10">
        <f>+'A) Base RI'!J255</f>
        <v>0</v>
      </c>
      <c r="L255" s="10">
        <f>+'A) Base RI'!K255</f>
        <v>18139.03</v>
      </c>
      <c r="M255" s="10">
        <f>+'A) Base RI'!L255</f>
        <v>1384.7</v>
      </c>
      <c r="N255" s="10">
        <f>+'A) Base RI'!R255</f>
        <v>50.17</v>
      </c>
      <c r="O255" s="10">
        <f t="shared" si="19"/>
        <v>54020.85</v>
      </c>
      <c r="P255" s="10">
        <f>+'A) Base RI'!M255</f>
        <v>54020.85</v>
      </c>
      <c r="Q255" s="35">
        <f>'A) Base RI'!Z255</f>
        <v>1</v>
      </c>
      <c r="R255" s="2">
        <f t="shared" si="20"/>
        <v>825316.8350855303</v>
      </c>
      <c r="S255" s="34">
        <f>+'A) Base RI'!U255</f>
        <v>79</v>
      </c>
      <c r="T255" s="2">
        <f t="shared" si="21"/>
        <v>769911.28508553037</v>
      </c>
      <c r="U255" s="2">
        <f t="shared" si="22"/>
        <v>10447.04854538646</v>
      </c>
      <c r="V255" s="10">
        <f>+'A) Base RI'!P255</f>
        <v>0</v>
      </c>
      <c r="W255" s="10">
        <f>+'A) Base RI'!Q255</f>
        <v>44385</v>
      </c>
      <c r="X255" s="10">
        <f>+'A) Base RI'!S255</f>
        <v>18401</v>
      </c>
      <c r="Y255" s="2">
        <f t="shared" si="23"/>
        <v>62786</v>
      </c>
      <c r="Z255" s="10">
        <f>+'A) Base RI'!O255</f>
        <v>0</v>
      </c>
      <c r="AA255" s="10">
        <f>'A) Base RI'!V255</f>
        <v>417</v>
      </c>
    </row>
    <row r="256" spans="1:27" x14ac:dyDescent="0.25">
      <c r="A256" s="8">
        <f>'A) Base RI'!A256</f>
        <v>5831</v>
      </c>
      <c r="B256" s="33" t="str">
        <f>'A) Base RI'!B256</f>
        <v>Valbroye</v>
      </c>
      <c r="C256" s="10">
        <f>'A) Base RI'!C256+'A) Base RI'!D256</f>
        <v>5102976.46</v>
      </c>
      <c r="D256" s="10">
        <f>'A) Base RI'!W256</f>
        <v>-78152.509999999995</v>
      </c>
      <c r="E256" s="32">
        <f>'A) Base RI'!X256</f>
        <v>0</v>
      </c>
      <c r="F256" s="32">
        <f>'A) Base RI'!Y256</f>
        <v>-129.99</v>
      </c>
      <c r="G256" s="2">
        <f t="shared" si="18"/>
        <v>5024693.96</v>
      </c>
      <c r="H256" s="10">
        <f>+'A) Base RI'!E256</f>
        <v>0</v>
      </c>
      <c r="I256" s="10">
        <f>+'A) Base RI'!F256</f>
        <v>0</v>
      </c>
      <c r="J256" s="10">
        <f>+'A) Base RI'!G256+'A) Base RI'!H256+'A) Base RI'!I256</f>
        <v>289732.14093078754</v>
      </c>
      <c r="K256" s="10">
        <f>+'A) Base RI'!J256</f>
        <v>0</v>
      </c>
      <c r="L256" s="10">
        <f>+'A) Base RI'!K256</f>
        <v>133776.45000000001</v>
      </c>
      <c r="M256" s="10">
        <f>+'A) Base RI'!L256</f>
        <v>3274.7</v>
      </c>
      <c r="N256" s="10">
        <f>+'A) Base RI'!R256</f>
        <v>21451.98</v>
      </c>
      <c r="O256" s="10">
        <f t="shared" si="19"/>
        <v>395815.75000000006</v>
      </c>
      <c r="P256" s="10">
        <f>+'A) Base RI'!M256</f>
        <v>237489.45</v>
      </c>
      <c r="Q256" s="35">
        <f>'A) Base RI'!Z256</f>
        <v>0.6</v>
      </c>
      <c r="R256" s="2">
        <f t="shared" si="20"/>
        <v>5868744.9809307884</v>
      </c>
      <c r="S256" s="34">
        <f>+'A) Base RI'!U256</f>
        <v>73</v>
      </c>
      <c r="T256" s="2">
        <f t="shared" si="21"/>
        <v>5469654.5309307883</v>
      </c>
      <c r="U256" s="2">
        <f t="shared" si="22"/>
        <v>80393.76686206559</v>
      </c>
      <c r="V256" s="10">
        <f>+'A) Base RI'!P256</f>
        <v>239598.05</v>
      </c>
      <c r="W256" s="10">
        <f>+'A) Base RI'!Q256</f>
        <v>269533.90000000002</v>
      </c>
      <c r="X256" s="10">
        <f>+'A) Base RI'!S256</f>
        <v>140805.75</v>
      </c>
      <c r="Y256" s="2">
        <f t="shared" si="23"/>
        <v>649937.69999999995</v>
      </c>
      <c r="Z256" s="10">
        <f>+'A) Base RI'!O256</f>
        <v>28878.2</v>
      </c>
      <c r="AA256" s="10">
        <f>'A) Base RI'!V256</f>
        <v>3035</v>
      </c>
    </row>
    <row r="257" spans="1:27" x14ac:dyDescent="0.25">
      <c r="A257" s="8">
        <f>'A) Base RI'!A257</f>
        <v>5841</v>
      </c>
      <c r="B257" s="33" t="str">
        <f>'A) Base RI'!B257</f>
        <v>Château-d'Oex</v>
      </c>
      <c r="C257" s="10">
        <f>'A) Base RI'!C257+'A) Base RI'!D257</f>
        <v>7289041.8899999997</v>
      </c>
      <c r="D257" s="10">
        <f>'A) Base RI'!W257</f>
        <v>-121594.72</v>
      </c>
      <c r="E257" s="32">
        <f>'A) Base RI'!X257</f>
        <v>0</v>
      </c>
      <c r="F257" s="32">
        <f>'A) Base RI'!Y257</f>
        <v>-2399.7600000000002</v>
      </c>
      <c r="G257" s="2">
        <f t="shared" si="18"/>
        <v>7165047.4100000001</v>
      </c>
      <c r="H257" s="10">
        <f>+'A) Base RI'!E257</f>
        <v>0</v>
      </c>
      <c r="I257" s="10">
        <f>+'A) Base RI'!F257</f>
        <v>0</v>
      </c>
      <c r="J257" s="10">
        <f>+'A) Base RI'!G257+'A) Base RI'!H257+'A) Base RI'!I257</f>
        <v>320878.93615591398</v>
      </c>
      <c r="K257" s="10">
        <f>+'A) Base RI'!J257</f>
        <v>527038.55000000005</v>
      </c>
      <c r="L257" s="10">
        <f>+'A) Base RI'!K257</f>
        <v>341795.83</v>
      </c>
      <c r="M257" s="10">
        <f>+'A) Base RI'!L257</f>
        <v>29642.55</v>
      </c>
      <c r="N257" s="10">
        <f>+'A) Base RI'!R257</f>
        <v>13534.32</v>
      </c>
      <c r="O257" s="10">
        <f t="shared" si="19"/>
        <v>934580.5</v>
      </c>
      <c r="P257" s="10">
        <f>+'A) Base RI'!M257</f>
        <v>1401870.75</v>
      </c>
      <c r="Q257" s="35">
        <f>'A) Base RI'!Z257</f>
        <v>1.5</v>
      </c>
      <c r="R257" s="2">
        <f t="shared" si="20"/>
        <v>9332518.0961559135</v>
      </c>
      <c r="S257" s="34">
        <f>+'A) Base RI'!U257</f>
        <v>83</v>
      </c>
      <c r="T257" s="2">
        <f t="shared" si="21"/>
        <v>8368295.0461559147</v>
      </c>
      <c r="U257" s="2">
        <f t="shared" si="22"/>
        <v>112439.97706211945</v>
      </c>
      <c r="V257" s="10">
        <f>+'A) Base RI'!P257</f>
        <v>389778.3</v>
      </c>
      <c r="W257" s="10">
        <f>+'A) Base RI'!Q257</f>
        <v>529843.15</v>
      </c>
      <c r="X257" s="10">
        <f>+'A) Base RI'!S257</f>
        <v>212308.15</v>
      </c>
      <c r="Y257" s="2">
        <f t="shared" si="23"/>
        <v>1131929.5999999999</v>
      </c>
      <c r="Z257" s="10">
        <f>+'A) Base RI'!O257</f>
        <v>6087.3</v>
      </c>
      <c r="AA257" s="10">
        <f>'A) Base RI'!V257</f>
        <v>3433</v>
      </c>
    </row>
    <row r="258" spans="1:27" x14ac:dyDescent="0.25">
      <c r="A258" s="8">
        <f>'A) Base RI'!A258</f>
        <v>5842</v>
      </c>
      <c r="B258" s="33" t="str">
        <f>'A) Base RI'!B258</f>
        <v>Rossinière</v>
      </c>
      <c r="C258" s="10">
        <f>'A) Base RI'!C258+'A) Base RI'!D258</f>
        <v>873789.67</v>
      </c>
      <c r="D258" s="10">
        <f>'A) Base RI'!W258</f>
        <v>-5268.32</v>
      </c>
      <c r="E258" s="32">
        <f>'A) Base RI'!X258</f>
        <v>0</v>
      </c>
      <c r="F258" s="32">
        <f>'A) Base RI'!Y258</f>
        <v>-97.71</v>
      </c>
      <c r="G258" s="2">
        <f t="shared" si="18"/>
        <v>868423.64000000013</v>
      </c>
      <c r="H258" s="10">
        <f>+'A) Base RI'!E258</f>
        <v>0</v>
      </c>
      <c r="I258" s="10">
        <f>+'A) Base RI'!F258</f>
        <v>0</v>
      </c>
      <c r="J258" s="10">
        <f>+'A) Base RI'!G258+'A) Base RI'!H258+'A) Base RI'!I258</f>
        <v>9834.87027903321</v>
      </c>
      <c r="K258" s="10">
        <f>+'A) Base RI'!J258</f>
        <v>24596.85</v>
      </c>
      <c r="L258" s="10">
        <f>+'A) Base RI'!K258</f>
        <v>17398.23</v>
      </c>
      <c r="M258" s="10">
        <f>+'A) Base RI'!L258</f>
        <v>369.65</v>
      </c>
      <c r="N258" s="10">
        <f>+'A) Base RI'!R258</f>
        <v>3076.88</v>
      </c>
      <c r="O258" s="10">
        <f t="shared" si="19"/>
        <v>85872.433333333334</v>
      </c>
      <c r="P258" s="10">
        <f>+'A) Base RI'!M258</f>
        <v>128808.65</v>
      </c>
      <c r="Q258" s="35">
        <f>'A) Base RI'!Z258</f>
        <v>1.5</v>
      </c>
      <c r="R258" s="2">
        <f t="shared" si="20"/>
        <v>1009572.5536123667</v>
      </c>
      <c r="S258" s="34">
        <f>+'A) Base RI'!U258</f>
        <v>81</v>
      </c>
      <c r="T258" s="2">
        <f t="shared" si="21"/>
        <v>923330.4702790333</v>
      </c>
      <c r="U258" s="2">
        <f t="shared" si="22"/>
        <v>12463.858686572428</v>
      </c>
      <c r="V258" s="10">
        <f>+'A) Base RI'!P258</f>
        <v>51868.5</v>
      </c>
      <c r="W258" s="10">
        <f>+'A) Base RI'!Q258</f>
        <v>21807.5</v>
      </c>
      <c r="X258" s="10">
        <f>+'A) Base RI'!S258</f>
        <v>12361.7</v>
      </c>
      <c r="Y258" s="2">
        <f t="shared" si="23"/>
        <v>86037.7</v>
      </c>
      <c r="Z258" s="10">
        <f>+'A) Base RI'!O258</f>
        <v>0</v>
      </c>
      <c r="AA258" s="10">
        <f>'A) Base RI'!V258</f>
        <v>545</v>
      </c>
    </row>
    <row r="259" spans="1:27" x14ac:dyDescent="0.25">
      <c r="A259" s="8">
        <f>'A) Base RI'!A259</f>
        <v>5843</v>
      </c>
      <c r="B259" s="33" t="str">
        <f>'A) Base RI'!B259</f>
        <v>Rougemont</v>
      </c>
      <c r="C259" s="10">
        <f>'A) Base RI'!C259+'A) Base RI'!D259</f>
        <v>4191269.5700000003</v>
      </c>
      <c r="D259" s="10">
        <f>'A) Base RI'!W259</f>
        <v>-53275.41</v>
      </c>
      <c r="E259" s="32">
        <f>'A) Base RI'!X259</f>
        <v>0</v>
      </c>
      <c r="F259" s="32">
        <f>'A) Base RI'!Y259</f>
        <v>-5363.1</v>
      </c>
      <c r="G259" s="2">
        <f t="shared" si="18"/>
        <v>4132631.06</v>
      </c>
      <c r="H259" s="10">
        <f>+'A) Base RI'!E259</f>
        <v>0</v>
      </c>
      <c r="I259" s="10">
        <f>+'A) Base RI'!F259</f>
        <v>0</v>
      </c>
      <c r="J259" s="10">
        <f>+'A) Base RI'!G259+'A) Base RI'!H259+'A) Base RI'!I259</f>
        <v>133670.6449404762</v>
      </c>
      <c r="K259" s="10">
        <f>+'A) Base RI'!J259</f>
        <v>1313074.51</v>
      </c>
      <c r="L259" s="10">
        <f>+'A) Base RI'!K259</f>
        <v>83618.48</v>
      </c>
      <c r="M259" s="10">
        <f>+'A) Base RI'!L259</f>
        <v>39669</v>
      </c>
      <c r="N259" s="10">
        <f>+'A) Base RI'!R259</f>
        <v>1.23</v>
      </c>
      <c r="O259" s="10">
        <f t="shared" si="19"/>
        <v>743167.70000000007</v>
      </c>
      <c r="P259" s="10">
        <f>+'A) Base RI'!M259</f>
        <v>1114751.55</v>
      </c>
      <c r="Q259" s="35">
        <f>'A) Base RI'!Z259</f>
        <v>1.5</v>
      </c>
      <c r="R259" s="2">
        <f t="shared" si="20"/>
        <v>6445832.6249404773</v>
      </c>
      <c r="S259" s="34">
        <f>+'A) Base RI'!U259</f>
        <v>74</v>
      </c>
      <c r="T259" s="2">
        <f t="shared" si="21"/>
        <v>5662995.9249404771</v>
      </c>
      <c r="U259" s="2">
        <f t="shared" si="22"/>
        <v>87105.84628297943</v>
      </c>
      <c r="V259" s="10">
        <f>+'A) Base RI'!P259</f>
        <v>271009.8</v>
      </c>
      <c r="W259" s="10">
        <f>+'A) Base RI'!Q259</f>
        <v>285187.20000000001</v>
      </c>
      <c r="X259" s="10">
        <f>+'A) Base RI'!S259</f>
        <v>400319.65</v>
      </c>
      <c r="Y259" s="2">
        <f t="shared" si="23"/>
        <v>956516.65</v>
      </c>
      <c r="Z259" s="10">
        <f>+'A) Base RI'!O259</f>
        <v>0</v>
      </c>
      <c r="AA259" s="10">
        <f>'A) Base RI'!V259</f>
        <v>882</v>
      </c>
    </row>
    <row r="260" spans="1:27" x14ac:dyDescent="0.25">
      <c r="A260" s="8">
        <f>'A) Base RI'!A260</f>
        <v>5851</v>
      </c>
      <c r="B260" s="33" t="str">
        <f>'A) Base RI'!B260</f>
        <v>Allaman</v>
      </c>
      <c r="C260" s="10">
        <f>'A) Base RI'!C260+'A) Base RI'!D260</f>
        <v>1154464.04</v>
      </c>
      <c r="D260" s="10">
        <f>'A) Base RI'!W260</f>
        <v>-20033.97</v>
      </c>
      <c r="E260" s="32">
        <f>'A) Base RI'!X260</f>
        <v>0</v>
      </c>
      <c r="F260" s="32">
        <f>'A) Base RI'!Y260</f>
        <v>-192.23</v>
      </c>
      <c r="G260" s="2">
        <f t="shared" si="18"/>
        <v>1134237.8400000001</v>
      </c>
      <c r="H260" s="10">
        <f>+'A) Base RI'!E260</f>
        <v>0</v>
      </c>
      <c r="I260" s="10">
        <f>+'A) Base RI'!F260</f>
        <v>0</v>
      </c>
      <c r="J260" s="10">
        <f>+'A) Base RI'!G260+'A) Base RI'!H260+'A) Base RI'!I260</f>
        <v>138778.62488584477</v>
      </c>
      <c r="K260" s="10">
        <f>+'A) Base RI'!J260</f>
        <v>146101.65</v>
      </c>
      <c r="L260" s="10">
        <f>+'A) Base RI'!K260</f>
        <v>60745.440000000002</v>
      </c>
      <c r="M260" s="10">
        <f>+'A) Base RI'!L260</f>
        <v>28577.3</v>
      </c>
      <c r="N260" s="10">
        <f>+'A) Base RI'!R260</f>
        <v>0</v>
      </c>
      <c r="O260" s="10">
        <f t="shared" si="19"/>
        <v>214262.49999999997</v>
      </c>
      <c r="P260" s="10">
        <f>+'A) Base RI'!M260</f>
        <v>235688.75</v>
      </c>
      <c r="Q260" s="35">
        <f>'A) Base RI'!Z260</f>
        <v>1.1000000000000001</v>
      </c>
      <c r="R260" s="2">
        <f t="shared" si="20"/>
        <v>1722703.3548858447</v>
      </c>
      <c r="S260" s="34">
        <f>+'A) Base RI'!U260</f>
        <v>62</v>
      </c>
      <c r="T260" s="2">
        <f t="shared" si="21"/>
        <v>1479863.5548858447</v>
      </c>
      <c r="U260" s="2">
        <f t="shared" si="22"/>
        <v>27785.537982029753</v>
      </c>
      <c r="V260" s="10">
        <f>+'A) Base RI'!P260</f>
        <v>21620.1</v>
      </c>
      <c r="W260" s="10">
        <f>+'A) Base RI'!Q260</f>
        <v>22440</v>
      </c>
      <c r="X260" s="10">
        <f>+'A) Base RI'!S260</f>
        <v>24488.799999999999</v>
      </c>
      <c r="Y260" s="2">
        <f t="shared" si="23"/>
        <v>68548.899999999994</v>
      </c>
      <c r="Z260" s="10">
        <f>+'A) Base RI'!O260</f>
        <v>27948.65</v>
      </c>
      <c r="AA260" s="10">
        <f>'A) Base RI'!V260</f>
        <v>442</v>
      </c>
    </row>
    <row r="261" spans="1:27" x14ac:dyDescent="0.25">
      <c r="A261" s="8">
        <f>'A) Base RI'!A261</f>
        <v>5852</v>
      </c>
      <c r="B261" s="33" t="str">
        <f>'A) Base RI'!B261</f>
        <v>Bursinel</v>
      </c>
      <c r="C261" s="10">
        <f>'A) Base RI'!C261+'A) Base RI'!D261</f>
        <v>1888757.1</v>
      </c>
      <c r="D261" s="10">
        <f>'A) Base RI'!W261</f>
        <v>-6310.4</v>
      </c>
      <c r="E261" s="32">
        <f>'A) Base RI'!X261</f>
        <v>0</v>
      </c>
      <c r="F261" s="32">
        <f>'A) Base RI'!Y261</f>
        <v>-1971.28</v>
      </c>
      <c r="G261" s="2">
        <f t="shared" si="18"/>
        <v>1880475.4200000002</v>
      </c>
      <c r="H261" s="10">
        <f>+'A) Base RI'!E261</f>
        <v>0</v>
      </c>
      <c r="I261" s="10">
        <f>+'A) Base RI'!F261</f>
        <v>0</v>
      </c>
      <c r="J261" s="10">
        <f>+'A) Base RI'!G261+'A) Base RI'!H261+'A) Base RI'!I261</f>
        <v>11040.570288808663</v>
      </c>
      <c r="K261" s="10">
        <f>+'A) Base RI'!J261</f>
        <v>337827.75</v>
      </c>
      <c r="L261" s="10">
        <f>+'A) Base RI'!K261</f>
        <v>130024.34</v>
      </c>
      <c r="M261" s="10">
        <f>+'A) Base RI'!L261</f>
        <v>6707.65</v>
      </c>
      <c r="N261" s="10">
        <f>+'A) Base RI'!R261</f>
        <v>1073.69</v>
      </c>
      <c r="O261" s="10">
        <f t="shared" si="19"/>
        <v>170328.9</v>
      </c>
      <c r="P261" s="10">
        <f>+'A) Base RI'!M261</f>
        <v>170328.9</v>
      </c>
      <c r="Q261" s="35">
        <f>'A) Base RI'!Z261</f>
        <v>1</v>
      </c>
      <c r="R261" s="2">
        <f t="shared" si="20"/>
        <v>2537478.3202888086</v>
      </c>
      <c r="S261" s="34">
        <f>+'A) Base RI'!U261</f>
        <v>65.5</v>
      </c>
      <c r="T261" s="2">
        <f t="shared" si="21"/>
        <v>2360441.7702888087</v>
      </c>
      <c r="U261" s="2">
        <f t="shared" si="22"/>
        <v>38740.127027310053</v>
      </c>
      <c r="V261" s="10">
        <f>+'A) Base RI'!P261</f>
        <v>2681875</v>
      </c>
      <c r="W261" s="10">
        <f>+'A) Base RI'!Q261</f>
        <v>207295.25</v>
      </c>
      <c r="X261" s="10">
        <f>+'A) Base RI'!S261</f>
        <v>107361.75</v>
      </c>
      <c r="Y261" s="2">
        <f t="shared" si="23"/>
        <v>2996532</v>
      </c>
      <c r="Z261" s="10">
        <f>+'A) Base RI'!O261</f>
        <v>8338.25</v>
      </c>
      <c r="AA261" s="10">
        <f>'A) Base RI'!V261</f>
        <v>488</v>
      </c>
    </row>
    <row r="262" spans="1:27" x14ac:dyDescent="0.25">
      <c r="A262" s="8">
        <f>'A) Base RI'!A262</f>
        <v>5853</v>
      </c>
      <c r="B262" s="33" t="str">
        <f>'A) Base RI'!B262</f>
        <v>Bursins</v>
      </c>
      <c r="C262" s="10">
        <f>'A) Base RI'!C262+'A) Base RI'!D262</f>
        <v>2021372.66</v>
      </c>
      <c r="D262" s="10">
        <f>'A) Base RI'!W262</f>
        <v>-58273.05</v>
      </c>
      <c r="E262" s="32">
        <f>'A) Base RI'!X262</f>
        <v>0</v>
      </c>
      <c r="F262" s="32">
        <f>'A) Base RI'!Y262</f>
        <v>-479.8</v>
      </c>
      <c r="G262" s="2">
        <f t="shared" si="18"/>
        <v>1962619.8099999998</v>
      </c>
      <c r="H262" s="10">
        <f>+'A) Base RI'!E262</f>
        <v>0</v>
      </c>
      <c r="I262" s="10">
        <f>+'A) Base RI'!F262</f>
        <v>0</v>
      </c>
      <c r="J262" s="10">
        <f>+'A) Base RI'!G262+'A) Base RI'!H262+'A) Base RI'!I262</f>
        <v>45063.163822677656</v>
      </c>
      <c r="K262" s="10">
        <f>+'A) Base RI'!J262</f>
        <v>256574.3</v>
      </c>
      <c r="L262" s="10">
        <f>+'A) Base RI'!K262</f>
        <v>83353.259999999995</v>
      </c>
      <c r="M262" s="10">
        <f>+'A) Base RI'!L262</f>
        <v>8287.65</v>
      </c>
      <c r="N262" s="10">
        <f>+'A) Base RI'!R262</f>
        <v>4065.52</v>
      </c>
      <c r="O262" s="10">
        <f t="shared" si="19"/>
        <v>191238.1</v>
      </c>
      <c r="P262" s="10">
        <f>+'A) Base RI'!M262</f>
        <v>191238.1</v>
      </c>
      <c r="Q262" s="35">
        <f>'A) Base RI'!Z262</f>
        <v>1</v>
      </c>
      <c r="R262" s="2">
        <f t="shared" si="20"/>
        <v>2551201.8038226771</v>
      </c>
      <c r="S262" s="34">
        <f>+'A) Base RI'!U262</f>
        <v>71</v>
      </c>
      <c r="T262" s="2">
        <f t="shared" si="21"/>
        <v>2351676.0538226771</v>
      </c>
      <c r="U262" s="2">
        <f t="shared" si="22"/>
        <v>35932.419772150381</v>
      </c>
      <c r="V262" s="10">
        <f>+'A) Base RI'!P262</f>
        <v>123783.5</v>
      </c>
      <c r="W262" s="10">
        <f>+'A) Base RI'!Q262</f>
        <v>79721.899999999994</v>
      </c>
      <c r="X262" s="10">
        <f>+'A) Base RI'!S262</f>
        <v>85713.1</v>
      </c>
      <c r="Y262" s="2">
        <f t="shared" si="23"/>
        <v>289218.5</v>
      </c>
      <c r="Z262" s="10">
        <f>+'A) Base RI'!O262</f>
        <v>24763.7</v>
      </c>
      <c r="AA262" s="10">
        <f>'A) Base RI'!V262</f>
        <v>745</v>
      </c>
    </row>
    <row r="263" spans="1:27" x14ac:dyDescent="0.25">
      <c r="A263" s="8">
        <f>'A) Base RI'!A263</f>
        <v>5854</v>
      </c>
      <c r="B263" s="33" t="str">
        <f>'A) Base RI'!B263</f>
        <v>Burtigny</v>
      </c>
      <c r="C263" s="10">
        <f>'A) Base RI'!C263+'A) Base RI'!D263</f>
        <v>685118.67</v>
      </c>
      <c r="D263" s="10">
        <f>'A) Base RI'!W263</f>
        <v>-781.83</v>
      </c>
      <c r="E263" s="32">
        <f>'A) Base RI'!X263</f>
        <v>0</v>
      </c>
      <c r="F263" s="32">
        <f>'A) Base RI'!Y263</f>
        <v>-133.74</v>
      </c>
      <c r="G263" s="2">
        <f t="shared" si="18"/>
        <v>684203.10000000009</v>
      </c>
      <c r="H263" s="10">
        <f>+'A) Base RI'!E263</f>
        <v>0</v>
      </c>
      <c r="I263" s="10">
        <f>+'A) Base RI'!F263</f>
        <v>0</v>
      </c>
      <c r="J263" s="10">
        <f>+'A) Base RI'!G263+'A) Base RI'!H263+'A) Base RI'!I263</f>
        <v>31627.73517597932</v>
      </c>
      <c r="K263" s="10">
        <f>+'A) Base RI'!J263</f>
        <v>0</v>
      </c>
      <c r="L263" s="10">
        <f>+'A) Base RI'!K263</f>
        <v>15625.34</v>
      </c>
      <c r="M263" s="10">
        <f>+'A) Base RI'!L263</f>
        <v>1051.2</v>
      </c>
      <c r="N263" s="10">
        <f>+'A) Base RI'!R263</f>
        <v>0</v>
      </c>
      <c r="O263" s="10">
        <f t="shared" si="19"/>
        <v>55754.633333333331</v>
      </c>
      <c r="P263" s="10">
        <f>+'A) Base RI'!M263</f>
        <v>83631.95</v>
      </c>
      <c r="Q263" s="35">
        <f>'A) Base RI'!Z263</f>
        <v>1.5</v>
      </c>
      <c r="R263" s="2">
        <f t="shared" si="20"/>
        <v>788262.00850931264</v>
      </c>
      <c r="S263" s="34">
        <f>+'A) Base RI'!U263</f>
        <v>80</v>
      </c>
      <c r="T263" s="2">
        <f t="shared" si="21"/>
        <v>731456.17517597938</v>
      </c>
      <c r="U263" s="2">
        <f t="shared" si="22"/>
        <v>9853.2751063664073</v>
      </c>
      <c r="V263" s="10">
        <f>+'A) Base RI'!P263</f>
        <v>0</v>
      </c>
      <c r="W263" s="10">
        <f>+'A) Base RI'!Q263</f>
        <v>70739.75</v>
      </c>
      <c r="X263" s="10">
        <f>+'A) Base RI'!S263</f>
        <v>57416</v>
      </c>
      <c r="Y263" s="2">
        <f t="shared" si="23"/>
        <v>128155.75</v>
      </c>
      <c r="Z263" s="10">
        <f>+'A) Base RI'!O263</f>
        <v>17103</v>
      </c>
      <c r="AA263" s="10">
        <f>'A) Base RI'!V263</f>
        <v>361</v>
      </c>
    </row>
    <row r="264" spans="1:27" x14ac:dyDescent="0.25">
      <c r="A264" s="8">
        <f>'A) Base RI'!A264</f>
        <v>5855</v>
      </c>
      <c r="B264" s="33" t="str">
        <f>'A) Base RI'!B264</f>
        <v>Dully</v>
      </c>
      <c r="C264" s="10">
        <f>'A) Base RI'!C264+'A) Base RI'!D264</f>
        <v>2803837.73</v>
      </c>
      <c r="D264" s="10">
        <f>'A) Base RI'!W264</f>
        <v>-4816.03</v>
      </c>
      <c r="E264" s="32">
        <f>'A) Base RI'!X264</f>
        <v>0</v>
      </c>
      <c r="F264" s="32">
        <f>'A) Base RI'!Y264</f>
        <v>-2621.16</v>
      </c>
      <c r="G264" s="2">
        <f t="shared" ref="G264:G315" si="28">SUM(C264:F264)</f>
        <v>2796400.54</v>
      </c>
      <c r="H264" s="10">
        <f>+'A) Base RI'!E264</f>
        <v>0</v>
      </c>
      <c r="I264" s="10">
        <f>+'A) Base RI'!F264</f>
        <v>0</v>
      </c>
      <c r="J264" s="10">
        <f>+'A) Base RI'!G264+'A) Base RI'!H264+'A) Base RI'!I264</f>
        <v>42241.677832590714</v>
      </c>
      <c r="K264" s="10">
        <f>+'A) Base RI'!J264</f>
        <v>540610.02</v>
      </c>
      <c r="L264" s="10">
        <f>+'A) Base RI'!K264</f>
        <v>107810.65</v>
      </c>
      <c r="M264" s="10">
        <f>+'A) Base RI'!L264</f>
        <v>8960.25</v>
      </c>
      <c r="N264" s="10">
        <f>+'A) Base RI'!R264</f>
        <v>0</v>
      </c>
      <c r="O264" s="10">
        <f t="shared" ref="O264:O315" si="29">(P264/Q264)*1</f>
        <v>338671.1</v>
      </c>
      <c r="P264" s="10">
        <f>+'A) Base RI'!M264</f>
        <v>169335.55</v>
      </c>
      <c r="Q264" s="35">
        <f>'A) Base RI'!Z264</f>
        <v>0.5</v>
      </c>
      <c r="R264" s="2">
        <f t="shared" ref="R264:R315" si="30">SUM(G264:O264)</f>
        <v>3834694.2378325909</v>
      </c>
      <c r="S264" s="34">
        <f>+'A) Base RI'!U264</f>
        <v>49</v>
      </c>
      <c r="T264" s="2">
        <f t="shared" ref="T264:T315" si="31">(G264+H264+J264+K264+L264+N264)</f>
        <v>3487062.8878325908</v>
      </c>
      <c r="U264" s="2">
        <f t="shared" ref="U264:U315" si="32">R264/S264</f>
        <v>78259.066078216143</v>
      </c>
      <c r="V264" s="10">
        <f>+'A) Base RI'!P264</f>
        <v>0</v>
      </c>
      <c r="W264" s="10">
        <f>+'A) Base RI'!Q264</f>
        <v>96380.85</v>
      </c>
      <c r="X264" s="10">
        <f>+'A) Base RI'!S264</f>
        <v>87104.85</v>
      </c>
      <c r="Y264" s="2">
        <f t="shared" ref="Y264:Y315" si="33">SUM(V264:X264)</f>
        <v>183485.7</v>
      </c>
      <c r="Z264" s="10">
        <f>+'A) Base RI'!O264</f>
        <v>1345.35</v>
      </c>
      <c r="AA264" s="10">
        <f>'A) Base RI'!V264</f>
        <v>640</v>
      </c>
    </row>
    <row r="265" spans="1:27" x14ac:dyDescent="0.25">
      <c r="A265" s="8">
        <f>'A) Base RI'!A265</f>
        <v>5856</v>
      </c>
      <c r="B265" s="33" t="str">
        <f>'A) Base RI'!B265</f>
        <v>Essertines-sur-Rolle</v>
      </c>
      <c r="C265" s="10">
        <f>'A) Base RI'!C265+'A) Base RI'!D265</f>
        <v>1912575.1500000001</v>
      </c>
      <c r="D265" s="10">
        <f>'A) Base RI'!W265</f>
        <v>-4845.28</v>
      </c>
      <c r="E265" s="32">
        <f>'A) Base RI'!X265</f>
        <v>0</v>
      </c>
      <c r="F265" s="32">
        <f>'A) Base RI'!Y265</f>
        <v>-336.96</v>
      </c>
      <c r="G265" s="2">
        <f t="shared" si="28"/>
        <v>1907392.9100000001</v>
      </c>
      <c r="H265" s="10">
        <f>+'A) Base RI'!E265</f>
        <v>0</v>
      </c>
      <c r="I265" s="10">
        <f>+'A) Base RI'!F265</f>
        <v>0</v>
      </c>
      <c r="J265" s="10">
        <f>+'A) Base RI'!G265+'A) Base RI'!H265+'A) Base RI'!I265</f>
        <v>5070.5791734385875</v>
      </c>
      <c r="K265" s="10">
        <f>+'A) Base RI'!J265</f>
        <v>190327.85</v>
      </c>
      <c r="L265" s="10">
        <f>+'A) Base RI'!K265</f>
        <v>57015.24</v>
      </c>
      <c r="M265" s="10">
        <f>+'A) Base RI'!L265</f>
        <v>2727.6</v>
      </c>
      <c r="N265" s="10">
        <f>+'A) Base RI'!R265</f>
        <v>3224.22</v>
      </c>
      <c r="O265" s="10">
        <f t="shared" si="29"/>
        <v>170628.61538461538</v>
      </c>
      <c r="P265" s="10">
        <f>+'A) Base RI'!M265</f>
        <v>221817.2</v>
      </c>
      <c r="Q265" s="35">
        <f>'A) Base RI'!Z265</f>
        <v>1.3</v>
      </c>
      <c r="R265" s="2">
        <f t="shared" si="30"/>
        <v>2336387.0145580545</v>
      </c>
      <c r="S265" s="34">
        <f>+'A) Base RI'!U265</f>
        <v>68</v>
      </c>
      <c r="T265" s="2">
        <f t="shared" si="31"/>
        <v>2163030.7991734389</v>
      </c>
      <c r="U265" s="2">
        <f t="shared" si="32"/>
        <v>34358.63256703021</v>
      </c>
      <c r="V265" s="10">
        <f>+'A) Base RI'!P265</f>
        <v>235101.65</v>
      </c>
      <c r="W265" s="10">
        <f>+'A) Base RI'!Q265</f>
        <v>43760.25</v>
      </c>
      <c r="X265" s="10">
        <f>+'A) Base RI'!S265</f>
        <v>39422.949999999997</v>
      </c>
      <c r="Y265" s="2">
        <f t="shared" si="33"/>
        <v>318284.85000000003</v>
      </c>
      <c r="Z265" s="10">
        <f>+'A) Base RI'!O265</f>
        <v>3050.8</v>
      </c>
      <c r="AA265" s="10">
        <f>'A) Base RI'!V265</f>
        <v>696</v>
      </c>
    </row>
    <row r="266" spans="1:27" x14ac:dyDescent="0.25">
      <c r="A266" s="8">
        <f>'A) Base RI'!A266</f>
        <v>5857</v>
      </c>
      <c r="B266" s="33" t="str">
        <f>'A) Base RI'!B266</f>
        <v>Gilly</v>
      </c>
      <c r="C266" s="10">
        <f>'A) Base RI'!C266+'A) Base RI'!D266</f>
        <v>4535210.41</v>
      </c>
      <c r="D266" s="10">
        <f>'A) Base RI'!W266</f>
        <v>-32962.92</v>
      </c>
      <c r="E266" s="32">
        <f>'A) Base RI'!X266</f>
        <v>0</v>
      </c>
      <c r="F266" s="32">
        <f>'A) Base RI'!Y266</f>
        <v>-411.98</v>
      </c>
      <c r="G266" s="2">
        <f t="shared" si="28"/>
        <v>4501835.51</v>
      </c>
      <c r="H266" s="10">
        <f>+'A) Base RI'!E266</f>
        <v>0</v>
      </c>
      <c r="I266" s="10">
        <f>+'A) Base RI'!F266</f>
        <v>0</v>
      </c>
      <c r="J266" s="10">
        <f>+'A) Base RI'!G266+'A) Base RI'!H266+'A) Base RI'!I266</f>
        <v>41902.248662207363</v>
      </c>
      <c r="K266" s="10">
        <f>+'A) Base RI'!J266</f>
        <v>0</v>
      </c>
      <c r="L266" s="10">
        <f>+'A) Base RI'!K266</f>
        <v>142583.84</v>
      </c>
      <c r="M266" s="10">
        <f>+'A) Base RI'!L266</f>
        <v>10352.75</v>
      </c>
      <c r="N266" s="10">
        <f>+'A) Base RI'!R266</f>
        <v>3446.66</v>
      </c>
      <c r="O266" s="10">
        <f t="shared" si="29"/>
        <v>349305.3</v>
      </c>
      <c r="P266" s="10">
        <f>+'A) Base RI'!M266</f>
        <v>349305.3</v>
      </c>
      <c r="Q266" s="35">
        <f>'A) Base RI'!Z266</f>
        <v>1</v>
      </c>
      <c r="R266" s="2">
        <f t="shared" si="30"/>
        <v>5049426.3086622069</v>
      </c>
      <c r="S266" s="34">
        <f>+'A) Base RI'!U266</f>
        <v>66</v>
      </c>
      <c r="T266" s="2">
        <f t="shared" si="31"/>
        <v>4689768.2586622071</v>
      </c>
      <c r="U266" s="2">
        <f t="shared" si="32"/>
        <v>76506.459222154648</v>
      </c>
      <c r="V266" s="10">
        <f>+'A) Base RI'!P266</f>
        <v>74218.7</v>
      </c>
      <c r="W266" s="10">
        <f>+'A) Base RI'!Q266</f>
        <v>238221.95</v>
      </c>
      <c r="X266" s="10">
        <f>+'A) Base RI'!S266</f>
        <v>170605.4</v>
      </c>
      <c r="Y266" s="2">
        <f t="shared" si="33"/>
        <v>483046.05000000005</v>
      </c>
      <c r="Z266" s="10">
        <f>+'A) Base RI'!O266</f>
        <v>88455.1</v>
      </c>
      <c r="AA266" s="10">
        <f>'A) Base RI'!V266</f>
        <v>1294</v>
      </c>
    </row>
    <row r="267" spans="1:27" x14ac:dyDescent="0.25">
      <c r="A267" s="8">
        <f>'A) Base RI'!A267</f>
        <v>5858</v>
      </c>
      <c r="B267" s="33" t="str">
        <f>'A) Base RI'!B267</f>
        <v>Luins</v>
      </c>
      <c r="C267" s="10">
        <f>'A) Base RI'!C267+'A) Base RI'!D267</f>
        <v>1651503.43</v>
      </c>
      <c r="D267" s="10">
        <f>'A) Base RI'!W267</f>
        <v>-15473.35</v>
      </c>
      <c r="E267" s="32">
        <f>'A) Base RI'!X267</f>
        <v>0</v>
      </c>
      <c r="F267" s="32">
        <f>'A) Base RI'!Y267</f>
        <v>-487.24</v>
      </c>
      <c r="G267" s="2">
        <f t="shared" si="28"/>
        <v>1635542.8399999999</v>
      </c>
      <c r="H267" s="10">
        <f>+'A) Base RI'!E267</f>
        <v>0</v>
      </c>
      <c r="I267" s="10">
        <f>+'A) Base RI'!F267</f>
        <v>0</v>
      </c>
      <c r="J267" s="10">
        <f>+'A) Base RI'!G267+'A) Base RI'!H267+'A) Base RI'!I267</f>
        <v>11975.965602094242</v>
      </c>
      <c r="K267" s="10">
        <f>+'A) Base RI'!J267</f>
        <v>171069.7</v>
      </c>
      <c r="L267" s="10">
        <f>+'A) Base RI'!K267</f>
        <v>53935.73</v>
      </c>
      <c r="M267" s="10">
        <f>+'A) Base RI'!L267</f>
        <v>1039.5</v>
      </c>
      <c r="N267" s="10">
        <f>+'A) Base RI'!R267</f>
        <v>39322.300000000003</v>
      </c>
      <c r="O267" s="10">
        <f t="shared" si="29"/>
        <v>143770.66666666666</v>
      </c>
      <c r="P267" s="10">
        <f>+'A) Base RI'!M267</f>
        <v>215656</v>
      </c>
      <c r="Q267" s="35">
        <f>'A) Base RI'!Z267</f>
        <v>1.5</v>
      </c>
      <c r="R267" s="2">
        <f t="shared" si="30"/>
        <v>2056656.7022687609</v>
      </c>
      <c r="S267" s="34">
        <f>+'A) Base RI'!U267</f>
        <v>60</v>
      </c>
      <c r="T267" s="2">
        <f t="shared" si="31"/>
        <v>1911846.5356020941</v>
      </c>
      <c r="U267" s="2">
        <f t="shared" si="32"/>
        <v>34277.61170447935</v>
      </c>
      <c r="V267" s="10">
        <f>+'A) Base RI'!P267</f>
        <v>3226.4</v>
      </c>
      <c r="W267" s="10">
        <f>+'A) Base RI'!Q267</f>
        <v>59278.95</v>
      </c>
      <c r="X267" s="10">
        <f>+'A) Base RI'!S267</f>
        <v>42849.2</v>
      </c>
      <c r="Y267" s="2">
        <f t="shared" si="33"/>
        <v>105354.54999999999</v>
      </c>
      <c r="Z267" s="10">
        <f>+'A) Base RI'!O267</f>
        <v>9337.1</v>
      </c>
      <c r="AA267" s="10">
        <f>'A) Base RI'!V267</f>
        <v>608</v>
      </c>
    </row>
    <row r="268" spans="1:27" x14ac:dyDescent="0.25">
      <c r="A268" s="8">
        <f>'A) Base RI'!A268</f>
        <v>5859</v>
      </c>
      <c r="B268" s="33" t="str">
        <f>'A) Base RI'!B268</f>
        <v>Mont-sur-Rolle</v>
      </c>
      <c r="C268" s="10">
        <f>'A) Base RI'!C268+'A) Base RI'!D268</f>
        <v>7532176.4199999999</v>
      </c>
      <c r="D268" s="10">
        <f>'A) Base RI'!W268</f>
        <v>-96651.16</v>
      </c>
      <c r="E268" s="32">
        <f>'A) Base RI'!X268</f>
        <v>0</v>
      </c>
      <c r="F268" s="32">
        <f>'A) Base RI'!Y268</f>
        <v>-5190.49</v>
      </c>
      <c r="G268" s="2">
        <f t="shared" si="28"/>
        <v>7430334.7699999996</v>
      </c>
      <c r="H268" s="10">
        <f>+'A) Base RI'!E268</f>
        <v>0</v>
      </c>
      <c r="I268" s="10">
        <f>+'A) Base RI'!F268</f>
        <v>0</v>
      </c>
      <c r="J268" s="10">
        <f>+'A) Base RI'!G268+'A) Base RI'!H268+'A) Base RI'!I268</f>
        <v>72507.331705216537</v>
      </c>
      <c r="K268" s="10">
        <f>+'A) Base RI'!J268</f>
        <v>359170.5</v>
      </c>
      <c r="L268" s="10">
        <f>+'A) Base RI'!K268</f>
        <v>207146.41</v>
      </c>
      <c r="M268" s="10">
        <f>+'A) Base RI'!L268</f>
        <v>17333.150000000001</v>
      </c>
      <c r="N268" s="10">
        <f>+'A) Base RI'!R268</f>
        <v>14124.27</v>
      </c>
      <c r="O268" s="10">
        <f t="shared" si="29"/>
        <v>620357.05000000005</v>
      </c>
      <c r="P268" s="10">
        <f>+'A) Base RI'!M268</f>
        <v>620357.05000000005</v>
      </c>
      <c r="Q268" s="35">
        <f>'A) Base RI'!Z268</f>
        <v>1</v>
      </c>
      <c r="R268" s="2">
        <f t="shared" si="30"/>
        <v>8720973.4817052167</v>
      </c>
      <c r="S268" s="34">
        <f>+'A) Base RI'!U268</f>
        <v>64</v>
      </c>
      <c r="T268" s="2">
        <f t="shared" si="31"/>
        <v>8083283.2817052156</v>
      </c>
      <c r="U268" s="2">
        <f t="shared" si="32"/>
        <v>136265.21065164401</v>
      </c>
      <c r="V268" s="10">
        <f>+'A) Base RI'!P268</f>
        <v>27006.9</v>
      </c>
      <c r="W268" s="10">
        <f>+'A) Base RI'!Q268</f>
        <v>564504.80000000005</v>
      </c>
      <c r="X268" s="10">
        <f>+'A) Base RI'!S268</f>
        <v>552728.85</v>
      </c>
      <c r="Y268" s="2">
        <f t="shared" si="33"/>
        <v>1144240.55</v>
      </c>
      <c r="Z268" s="10">
        <f>+'A) Base RI'!O268</f>
        <v>96183.6</v>
      </c>
      <c r="AA268" s="10">
        <f>'A) Base RI'!V268</f>
        <v>2701</v>
      </c>
    </row>
    <row r="269" spans="1:27" x14ac:dyDescent="0.25">
      <c r="A269" s="8">
        <f>'A) Base RI'!A269</f>
        <v>5860</v>
      </c>
      <c r="B269" s="33" t="str">
        <f>'A) Base RI'!B269</f>
        <v>Perroy</v>
      </c>
      <c r="C269" s="10">
        <f>'A) Base RI'!C269+'A) Base RI'!D269</f>
        <v>4378277.4800000004</v>
      </c>
      <c r="D269" s="10">
        <f>'A) Base RI'!W269</f>
        <v>-62586.02</v>
      </c>
      <c r="E269" s="32">
        <f>'A) Base RI'!X269</f>
        <v>0</v>
      </c>
      <c r="F269" s="32">
        <f>'A) Base RI'!Y269</f>
        <v>-3997.52</v>
      </c>
      <c r="G269" s="2">
        <f t="shared" si="28"/>
        <v>4311693.9400000013</v>
      </c>
      <c r="H269" s="10">
        <f>+'A) Base RI'!E269</f>
        <v>0</v>
      </c>
      <c r="I269" s="10">
        <f>+'A) Base RI'!F269</f>
        <v>0</v>
      </c>
      <c r="J269" s="10">
        <f>+'A) Base RI'!G269+'A) Base RI'!H269+'A) Base RI'!I269</f>
        <v>37381.774450261779</v>
      </c>
      <c r="K269" s="10">
        <f>+'A) Base RI'!J269</f>
        <v>294245.23</v>
      </c>
      <c r="L269" s="10">
        <f>+'A) Base RI'!K269</f>
        <v>91442.32</v>
      </c>
      <c r="M269" s="10">
        <f>+'A) Base RI'!L269</f>
        <v>26801.05</v>
      </c>
      <c r="N269" s="10">
        <f>+'A) Base RI'!R269</f>
        <v>19264.79</v>
      </c>
      <c r="O269" s="10">
        <f t="shared" si="29"/>
        <v>473145.19230769231</v>
      </c>
      <c r="P269" s="10">
        <f>+'A) Base RI'!M269</f>
        <v>615088.75</v>
      </c>
      <c r="Q269" s="35">
        <f>'A) Base RI'!Z269</f>
        <v>1.3</v>
      </c>
      <c r="R269" s="2">
        <f t="shared" si="30"/>
        <v>5253974.2967579551</v>
      </c>
      <c r="S269" s="34">
        <f>+'A) Base RI'!U269</f>
        <v>60</v>
      </c>
      <c r="T269" s="2">
        <f t="shared" si="31"/>
        <v>4754028.0544502633</v>
      </c>
      <c r="U269" s="2">
        <f t="shared" si="32"/>
        <v>87566.238279299258</v>
      </c>
      <c r="V269" s="10">
        <f>+'A) Base RI'!P269</f>
        <v>19677.7</v>
      </c>
      <c r="W269" s="10">
        <f>+'A) Base RI'!Q269</f>
        <v>306789.59999999998</v>
      </c>
      <c r="X269" s="10">
        <f>+'A) Base RI'!S269</f>
        <v>267455.75</v>
      </c>
      <c r="Y269" s="2">
        <f t="shared" si="33"/>
        <v>593923.05000000005</v>
      </c>
      <c r="Z269" s="10">
        <f>+'A) Base RI'!O269</f>
        <v>19488.349999999999</v>
      </c>
      <c r="AA269" s="10">
        <f>'A) Base RI'!V269</f>
        <v>1514</v>
      </c>
    </row>
    <row r="270" spans="1:27" x14ac:dyDescent="0.25">
      <c r="A270" s="8">
        <f>'A) Base RI'!A270</f>
        <v>5861</v>
      </c>
      <c r="B270" s="33" t="str">
        <f>'A) Base RI'!B270</f>
        <v>Rolle</v>
      </c>
      <c r="C270" s="10">
        <f>'A) Base RI'!C270+'A) Base RI'!D270</f>
        <v>15152461.99</v>
      </c>
      <c r="D270" s="10">
        <f>'A) Base RI'!W270</f>
        <v>-131439.24</v>
      </c>
      <c r="E270" s="32">
        <f>'A) Base RI'!X270</f>
        <v>0</v>
      </c>
      <c r="F270" s="32">
        <f>'A) Base RI'!Y270</f>
        <v>-7202.48</v>
      </c>
      <c r="G270" s="2">
        <f t="shared" si="28"/>
        <v>15013820.27</v>
      </c>
      <c r="H270" s="10">
        <f>+'A) Base RI'!E270</f>
        <v>0</v>
      </c>
      <c r="I270" s="10">
        <f>+'A) Base RI'!F270</f>
        <v>0</v>
      </c>
      <c r="J270" s="10">
        <f>+'A) Base RI'!G270+'A) Base RI'!H270+'A) Base RI'!I270</f>
        <v>24473837.788374241</v>
      </c>
      <c r="K270" s="10">
        <f>+'A) Base RI'!J270</f>
        <v>1099470.69</v>
      </c>
      <c r="L270" s="10">
        <f>+'A) Base RI'!K270</f>
        <v>3463952.82</v>
      </c>
      <c r="M270" s="10">
        <f>+'A) Base RI'!L270</f>
        <v>269525.3</v>
      </c>
      <c r="N270" s="10">
        <f>+'A) Base RI'!R270</f>
        <v>29176.57</v>
      </c>
      <c r="O270" s="10">
        <f t="shared" si="29"/>
        <v>1700525.45</v>
      </c>
      <c r="P270" s="10">
        <f>+'A) Base RI'!M270</f>
        <v>1700525.45</v>
      </c>
      <c r="Q270" s="35">
        <f>'A) Base RI'!Z270</f>
        <v>1</v>
      </c>
      <c r="R270" s="2">
        <f t="shared" si="30"/>
        <v>46050308.888374239</v>
      </c>
      <c r="S270" s="34">
        <f>+'A) Base RI'!U270</f>
        <v>59.5</v>
      </c>
      <c r="T270" s="2">
        <f t="shared" si="31"/>
        <v>44080258.138374239</v>
      </c>
      <c r="U270" s="2">
        <f t="shared" si="32"/>
        <v>773954.77123318054</v>
      </c>
      <c r="V270" s="10">
        <f>+'A) Base RI'!P270</f>
        <v>198879.2</v>
      </c>
      <c r="W270" s="10">
        <f>+'A) Base RI'!Q270</f>
        <v>570098.19999999995</v>
      </c>
      <c r="X270" s="10">
        <f>+'A) Base RI'!S270</f>
        <v>507120.8</v>
      </c>
      <c r="Y270" s="2">
        <f t="shared" si="33"/>
        <v>1276098.2</v>
      </c>
      <c r="Z270" s="10">
        <f>+'A) Base RI'!O270</f>
        <v>673413.7</v>
      </c>
      <c r="AA270" s="10">
        <f>'A) Base RI'!V270</f>
        <v>6225</v>
      </c>
    </row>
    <row r="271" spans="1:27" x14ac:dyDescent="0.25">
      <c r="A271" s="8">
        <f>'A) Base RI'!A271</f>
        <v>5862</v>
      </c>
      <c r="B271" s="33" t="str">
        <f>'A) Base RI'!B271</f>
        <v>Tartegnin</v>
      </c>
      <c r="C271" s="10">
        <f>'A) Base RI'!C271+'A) Base RI'!D271</f>
        <v>804315.55999999994</v>
      </c>
      <c r="D271" s="10">
        <f>'A) Base RI'!W271</f>
        <v>-12838.81</v>
      </c>
      <c r="E271" s="32">
        <f>'A) Base RI'!X271</f>
        <v>0</v>
      </c>
      <c r="F271" s="32">
        <f>'A) Base RI'!Y271</f>
        <v>-9.18</v>
      </c>
      <c r="G271" s="2">
        <f t="shared" si="28"/>
        <v>791467.56999999983</v>
      </c>
      <c r="H271" s="10">
        <f>+'A) Base RI'!E271</f>
        <v>0</v>
      </c>
      <c r="I271" s="10">
        <f>+'A) Base RI'!F271</f>
        <v>0</v>
      </c>
      <c r="J271" s="10">
        <f>+'A) Base RI'!G271+'A) Base RI'!H271+'A) Base RI'!I271</f>
        <v>7056.094835769889</v>
      </c>
      <c r="K271" s="10">
        <f>+'A) Base RI'!J271</f>
        <v>0</v>
      </c>
      <c r="L271" s="10">
        <f>+'A) Base RI'!K271</f>
        <v>13344.4</v>
      </c>
      <c r="M271" s="10">
        <f>+'A) Base RI'!L271</f>
        <v>0</v>
      </c>
      <c r="N271" s="10">
        <f>+'A) Base RI'!R271</f>
        <v>0</v>
      </c>
      <c r="O271" s="10">
        <f t="shared" si="29"/>
        <v>45860.833333333336</v>
      </c>
      <c r="P271" s="10">
        <f>+'A) Base RI'!M271</f>
        <v>41274.75</v>
      </c>
      <c r="Q271" s="35">
        <f>'A) Base RI'!Z271</f>
        <v>0.9</v>
      </c>
      <c r="R271" s="2">
        <f t="shared" si="30"/>
        <v>857728.89816910308</v>
      </c>
      <c r="S271" s="34">
        <f>+'A) Base RI'!U271</f>
        <v>81</v>
      </c>
      <c r="T271" s="2">
        <f t="shared" si="31"/>
        <v>811868.06483576971</v>
      </c>
      <c r="U271" s="2">
        <f t="shared" si="32"/>
        <v>10589.245656408681</v>
      </c>
      <c r="V271" s="10">
        <f>+'A) Base RI'!P271</f>
        <v>143354.9</v>
      </c>
      <c r="W271" s="10">
        <f>+'A) Base RI'!Q271</f>
        <v>0</v>
      </c>
      <c r="X271" s="10">
        <f>+'A) Base RI'!S271</f>
        <v>0</v>
      </c>
      <c r="Y271" s="2">
        <f t="shared" si="33"/>
        <v>143354.9</v>
      </c>
      <c r="Z271" s="10">
        <f>+'A) Base RI'!O271</f>
        <v>4117.75</v>
      </c>
      <c r="AA271" s="10">
        <f>'A) Base RI'!V271</f>
        <v>235</v>
      </c>
    </row>
    <row r="272" spans="1:27" x14ac:dyDescent="0.25">
      <c r="A272" s="8">
        <f>'A) Base RI'!A272</f>
        <v>5863</v>
      </c>
      <c r="B272" s="33" t="str">
        <f>'A) Base RI'!B272</f>
        <v>Vinzel</v>
      </c>
      <c r="C272" s="10">
        <f>'A) Base RI'!C272+'A) Base RI'!D272</f>
        <v>1417788.54</v>
      </c>
      <c r="D272" s="10">
        <f>'A) Base RI'!W272</f>
        <v>-14262.93</v>
      </c>
      <c r="E272" s="32">
        <f>'A) Base RI'!X272</f>
        <v>0</v>
      </c>
      <c r="F272" s="32">
        <f>'A) Base RI'!Y272</f>
        <v>-1188.23</v>
      </c>
      <c r="G272" s="2">
        <f t="shared" si="28"/>
        <v>1402337.3800000001</v>
      </c>
      <c r="H272" s="10">
        <f>+'A) Base RI'!E272</f>
        <v>0</v>
      </c>
      <c r="I272" s="10">
        <f>+'A) Base RI'!F272</f>
        <v>0</v>
      </c>
      <c r="J272" s="10">
        <f>+'A) Base RI'!G272+'A) Base RI'!H272+'A) Base RI'!I272</f>
        <v>14351.335975609754</v>
      </c>
      <c r="K272" s="10">
        <f>+'A) Base RI'!J272</f>
        <v>0</v>
      </c>
      <c r="L272" s="10">
        <f>+'A) Base RI'!K272</f>
        <v>29620.6</v>
      </c>
      <c r="M272" s="10">
        <f>+'A) Base RI'!L272</f>
        <v>2004.9</v>
      </c>
      <c r="N272" s="10">
        <f>+'A) Base RI'!R272</f>
        <v>0</v>
      </c>
      <c r="O272" s="10">
        <f t="shared" si="29"/>
        <v>77805.600000000006</v>
      </c>
      <c r="P272" s="10">
        <f>+'A) Base RI'!M272</f>
        <v>77805.600000000006</v>
      </c>
      <c r="Q272" s="35">
        <f>'A) Base RI'!Z272</f>
        <v>1</v>
      </c>
      <c r="R272" s="2">
        <f t="shared" si="30"/>
        <v>1526119.8159756099</v>
      </c>
      <c r="S272" s="34">
        <f>+'A) Base RI'!U272</f>
        <v>67</v>
      </c>
      <c r="T272" s="2">
        <f t="shared" si="31"/>
        <v>1446309.3159756099</v>
      </c>
      <c r="U272" s="2">
        <f t="shared" si="32"/>
        <v>22777.907701128508</v>
      </c>
      <c r="V272" s="10">
        <f>+'A) Base RI'!P272</f>
        <v>0</v>
      </c>
      <c r="W272" s="10">
        <f>+'A) Base RI'!Q272</f>
        <v>1375.2</v>
      </c>
      <c r="X272" s="10">
        <f>+'A) Base RI'!S272</f>
        <v>0</v>
      </c>
      <c r="Y272" s="2">
        <f t="shared" si="33"/>
        <v>1375.2</v>
      </c>
      <c r="Z272" s="10">
        <f>+'A) Base RI'!O272</f>
        <v>24160.55</v>
      </c>
      <c r="AA272" s="10">
        <f>'A) Base RI'!V272</f>
        <v>371</v>
      </c>
    </row>
    <row r="273" spans="1:27" x14ac:dyDescent="0.25">
      <c r="A273" s="8">
        <f>'A) Base RI'!A273</f>
        <v>5871</v>
      </c>
      <c r="B273" s="33" t="str">
        <f>'A) Base RI'!B273</f>
        <v>L'Abbaye</v>
      </c>
      <c r="C273" s="10">
        <f>'A) Base RI'!C273+'A) Base RI'!D273</f>
        <v>3126417.52</v>
      </c>
      <c r="D273" s="10">
        <f>'A) Base RI'!W273</f>
        <v>-71554.31</v>
      </c>
      <c r="E273" s="32">
        <f>'A) Base RI'!X273</f>
        <v>0</v>
      </c>
      <c r="F273" s="32">
        <f>'A) Base RI'!Y273</f>
        <v>-208</v>
      </c>
      <c r="G273" s="2">
        <f t="shared" si="28"/>
        <v>3054655.21</v>
      </c>
      <c r="H273" s="10">
        <f>+'A) Base RI'!E273</f>
        <v>0</v>
      </c>
      <c r="I273" s="10">
        <f>+'A) Base RI'!F273</f>
        <v>0</v>
      </c>
      <c r="J273" s="10">
        <f>+'A) Base RI'!G273+'A) Base RI'!H273+'A) Base RI'!I273</f>
        <v>174758.03870563672</v>
      </c>
      <c r="K273" s="10">
        <f>+'A) Base RI'!J273</f>
        <v>0</v>
      </c>
      <c r="L273" s="10">
        <f>+'A) Base RI'!K273</f>
        <v>74316.539999999994</v>
      </c>
      <c r="M273" s="10">
        <f>+'A) Base RI'!L273</f>
        <v>2702.5</v>
      </c>
      <c r="N273" s="10">
        <f>+'A) Base RI'!R273</f>
        <v>43762.28</v>
      </c>
      <c r="O273" s="10">
        <f t="shared" si="29"/>
        <v>241459.6</v>
      </c>
      <c r="P273" s="10">
        <f>+'A) Base RI'!M273</f>
        <v>241459.6</v>
      </c>
      <c r="Q273" s="35">
        <f>'A) Base RI'!Z273</f>
        <v>1</v>
      </c>
      <c r="R273" s="2">
        <f t="shared" si="30"/>
        <v>3591654.1687056366</v>
      </c>
      <c r="S273" s="34">
        <f>+'A) Base RI'!U273</f>
        <v>77.3</v>
      </c>
      <c r="T273" s="2">
        <f t="shared" si="31"/>
        <v>3347492.0687056365</v>
      </c>
      <c r="U273" s="2">
        <f t="shared" si="32"/>
        <v>46463.831419219103</v>
      </c>
      <c r="V273" s="10">
        <f>+'A) Base RI'!P273</f>
        <v>11699</v>
      </c>
      <c r="W273" s="10">
        <f>+'A) Base RI'!Q273</f>
        <v>94222.45</v>
      </c>
      <c r="X273" s="10">
        <f>+'A) Base RI'!S273</f>
        <v>136544.1</v>
      </c>
      <c r="Y273" s="2">
        <f t="shared" si="33"/>
        <v>242465.55</v>
      </c>
      <c r="Z273" s="10">
        <f>+'A) Base RI'!O273</f>
        <v>728755.45</v>
      </c>
      <c r="AA273" s="10">
        <f>'A) Base RI'!V273</f>
        <v>1492</v>
      </c>
    </row>
    <row r="274" spans="1:27" x14ac:dyDescent="0.25">
      <c r="A274" s="8">
        <f>'A) Base RI'!A274</f>
        <v>5872</v>
      </c>
      <c r="B274" s="33" t="str">
        <f>'A) Base RI'!B274</f>
        <v>Le Chenit</v>
      </c>
      <c r="C274" s="10">
        <f>'A) Base RI'!C274+'A) Base RI'!D274</f>
        <v>7916466.1100000003</v>
      </c>
      <c r="D274" s="10">
        <f>'A) Base RI'!W274</f>
        <v>-92981.24</v>
      </c>
      <c r="E274" s="32">
        <f>'A) Base RI'!X274</f>
        <v>0</v>
      </c>
      <c r="F274" s="32">
        <f>'A) Base RI'!Y274</f>
        <v>-1082.8399999999999</v>
      </c>
      <c r="G274" s="2">
        <f t="shared" si="28"/>
        <v>7822402.0300000003</v>
      </c>
      <c r="H274" s="10">
        <f>+'A) Base RI'!E274</f>
        <v>0</v>
      </c>
      <c r="I274" s="10">
        <f>+'A) Base RI'!F274</f>
        <v>0</v>
      </c>
      <c r="J274" s="10">
        <f>+'A) Base RI'!G274+'A) Base RI'!H274+'A) Base RI'!I274</f>
        <v>5171327.0372774871</v>
      </c>
      <c r="K274" s="10">
        <f>+'A) Base RI'!J274</f>
        <v>0</v>
      </c>
      <c r="L274" s="10">
        <f>+'A) Base RI'!K274</f>
        <v>405845.68</v>
      </c>
      <c r="M274" s="10">
        <f>+'A) Base RI'!L274</f>
        <v>46592.35</v>
      </c>
      <c r="N274" s="10">
        <f>+'A) Base RI'!R274</f>
        <v>9244.66</v>
      </c>
      <c r="O274" s="10">
        <f t="shared" si="29"/>
        <v>698301.07142857148</v>
      </c>
      <c r="P274" s="10">
        <f>+'A) Base RI'!M274</f>
        <v>488810.75</v>
      </c>
      <c r="Q274" s="35">
        <f>'A) Base RI'!Z274</f>
        <v>0.7</v>
      </c>
      <c r="R274" s="2">
        <f t="shared" si="30"/>
        <v>14153712.828706058</v>
      </c>
      <c r="S274" s="34">
        <f>+'A) Base RI'!U274</f>
        <v>69.56</v>
      </c>
      <c r="T274" s="2">
        <f t="shared" si="31"/>
        <v>13408819.407277487</v>
      </c>
      <c r="U274" s="2">
        <f t="shared" si="32"/>
        <v>203474.88252883923</v>
      </c>
      <c r="V274" s="10">
        <f>+'A) Base RI'!P274</f>
        <v>233987.3</v>
      </c>
      <c r="W274" s="10">
        <f>+'A) Base RI'!Q274</f>
        <v>318319.25</v>
      </c>
      <c r="X274" s="10">
        <f>+'A) Base RI'!S274</f>
        <v>139690.15</v>
      </c>
      <c r="Y274" s="2">
        <f t="shared" si="33"/>
        <v>691996.70000000007</v>
      </c>
      <c r="Z274" s="10">
        <f>+'A) Base RI'!O274</f>
        <v>4996793.5999999996</v>
      </c>
      <c r="AA274" s="10">
        <f>'A) Base RI'!V274</f>
        <v>4612</v>
      </c>
    </row>
    <row r="275" spans="1:27" x14ac:dyDescent="0.25">
      <c r="A275" s="8">
        <f>'A) Base RI'!A275</f>
        <v>5873</v>
      </c>
      <c r="B275" s="33" t="str">
        <f>'A) Base RI'!B275</f>
        <v>Le Lieu</v>
      </c>
      <c r="C275" s="10">
        <f>'A) Base RI'!C275+'A) Base RI'!D275</f>
        <v>1700491.35</v>
      </c>
      <c r="D275" s="10">
        <f>'A) Base RI'!W275</f>
        <v>-16404.84</v>
      </c>
      <c r="E275" s="32">
        <f>'A) Base RI'!X275</f>
        <v>0</v>
      </c>
      <c r="F275" s="32">
        <f>'A) Base RI'!Y275</f>
        <v>-96.5</v>
      </c>
      <c r="G275" s="2">
        <f t="shared" si="28"/>
        <v>1683990.01</v>
      </c>
      <c r="H275" s="10">
        <f>+'A) Base RI'!E275</f>
        <v>0</v>
      </c>
      <c r="I275" s="10">
        <f>+'A) Base RI'!F275</f>
        <v>0</v>
      </c>
      <c r="J275" s="10">
        <f>+'A) Base RI'!G275+'A) Base RI'!H275+'A) Base RI'!I275</f>
        <v>171706.74963636362</v>
      </c>
      <c r="K275" s="10">
        <f>+'A) Base RI'!J275</f>
        <v>0</v>
      </c>
      <c r="L275" s="10">
        <f>+'A) Base RI'!K275</f>
        <v>65289.86</v>
      </c>
      <c r="M275" s="10">
        <f>+'A) Base RI'!L275</f>
        <v>0</v>
      </c>
      <c r="N275" s="10">
        <f>+'A) Base RI'!R275</f>
        <v>23317.53</v>
      </c>
      <c r="O275" s="10">
        <f t="shared" si="29"/>
        <v>138564.16666666669</v>
      </c>
      <c r="P275" s="10">
        <f>+'A) Base RI'!M275</f>
        <v>83138.5</v>
      </c>
      <c r="Q275" s="35">
        <f>'A) Base RI'!Z275</f>
        <v>0.6</v>
      </c>
      <c r="R275" s="2">
        <f t="shared" si="30"/>
        <v>2082868.3163030306</v>
      </c>
      <c r="S275" s="34">
        <f>+'A) Base RI'!U275</f>
        <v>65</v>
      </c>
      <c r="T275" s="2">
        <f t="shared" si="31"/>
        <v>1944304.1496363638</v>
      </c>
      <c r="U275" s="2">
        <f t="shared" si="32"/>
        <v>32044.127943123549</v>
      </c>
      <c r="V275" s="10">
        <f>+'A) Base RI'!P275</f>
        <v>0</v>
      </c>
      <c r="W275" s="10">
        <f>+'A) Base RI'!Q275</f>
        <v>18660.95</v>
      </c>
      <c r="X275" s="10">
        <f>+'A) Base RI'!S275</f>
        <v>35140.9</v>
      </c>
      <c r="Y275" s="2">
        <f t="shared" si="33"/>
        <v>53801.850000000006</v>
      </c>
      <c r="Z275" s="10">
        <f>+'A) Base RI'!O275</f>
        <v>848439.35</v>
      </c>
      <c r="AA275" s="10">
        <f>'A) Base RI'!V275</f>
        <v>869</v>
      </c>
    </row>
    <row r="276" spans="1:27" x14ac:dyDescent="0.25">
      <c r="A276" s="8">
        <f>'A) Base RI'!A276</f>
        <v>5881</v>
      </c>
      <c r="B276" s="33" t="str">
        <f>'A) Base RI'!B276</f>
        <v>Blonay</v>
      </c>
      <c r="C276" s="10">
        <f>'A) Base RI'!C276+'A) Base RI'!D276</f>
        <v>20580808.259999998</v>
      </c>
      <c r="D276" s="10">
        <f>'A) Base RI'!W276</f>
        <v>-155287.64000000001</v>
      </c>
      <c r="E276" s="32">
        <f>'A) Base RI'!X276</f>
        <v>0</v>
      </c>
      <c r="F276" s="32">
        <f>'A) Base RI'!Y276</f>
        <v>-109052.67</v>
      </c>
      <c r="G276" s="2">
        <f t="shared" si="28"/>
        <v>20316467.949999996</v>
      </c>
      <c r="H276" s="10">
        <f>+'A) Base RI'!E276</f>
        <v>0</v>
      </c>
      <c r="I276" s="10">
        <f>+'A) Base RI'!F276</f>
        <v>0</v>
      </c>
      <c r="J276" s="10">
        <f>+'A) Base RI'!G276+'A) Base RI'!H276+'A) Base RI'!I276</f>
        <v>280236.29613821139</v>
      </c>
      <c r="K276" s="10">
        <f>+'A) Base RI'!J276</f>
        <v>1024100.06</v>
      </c>
      <c r="L276" s="10">
        <f>+'A) Base RI'!K276</f>
        <v>331530.07</v>
      </c>
      <c r="M276" s="10">
        <f>+'A) Base RI'!L276</f>
        <v>36678.1</v>
      </c>
      <c r="N276" s="10">
        <f>+'A) Base RI'!R276</f>
        <v>42838.68</v>
      </c>
      <c r="O276" s="10">
        <f t="shared" si="29"/>
        <v>1604822.15</v>
      </c>
      <c r="P276" s="10">
        <f>+'A) Base RI'!M276</f>
        <v>1604822.15</v>
      </c>
      <c r="Q276" s="35">
        <f>'A) Base RI'!Z276</f>
        <v>1</v>
      </c>
      <c r="R276" s="2">
        <f t="shared" si="30"/>
        <v>23636673.306138206</v>
      </c>
      <c r="S276" s="34">
        <f>+'A) Base RI'!U276</f>
        <v>70</v>
      </c>
      <c r="T276" s="2">
        <f t="shared" si="31"/>
        <v>21995173.056138206</v>
      </c>
      <c r="U276" s="2">
        <f t="shared" si="32"/>
        <v>337666.7615162601</v>
      </c>
      <c r="V276" s="10">
        <f>+'A) Base RI'!P276</f>
        <v>102726.39999999999</v>
      </c>
      <c r="W276" s="10">
        <f>+'A) Base RI'!Q276</f>
        <v>693090.65</v>
      </c>
      <c r="X276" s="10">
        <f>+'A) Base RI'!S276</f>
        <v>448979.8</v>
      </c>
      <c r="Y276" s="2">
        <f t="shared" si="33"/>
        <v>1244796.8500000001</v>
      </c>
      <c r="Z276" s="10">
        <f>+'A) Base RI'!O276</f>
        <v>83809.45</v>
      </c>
      <c r="AA276" s="10">
        <f>'A) Base RI'!V276</f>
        <v>6183</v>
      </c>
    </row>
    <row r="277" spans="1:27" x14ac:dyDescent="0.25">
      <c r="A277" s="8">
        <f>'A) Base RI'!A277</f>
        <v>5882</v>
      </c>
      <c r="B277" s="33" t="str">
        <f>'A) Base RI'!B277</f>
        <v>Chardonne</v>
      </c>
      <c r="C277" s="10">
        <f>'A) Base RI'!C277+'A) Base RI'!D277</f>
        <v>9123796.6300000008</v>
      </c>
      <c r="D277" s="10">
        <f>'A) Base RI'!W277</f>
        <v>-84606.54</v>
      </c>
      <c r="E277" s="32">
        <f>'A) Base RI'!X277</f>
        <v>0</v>
      </c>
      <c r="F277" s="32">
        <f>'A) Base RI'!Y277</f>
        <v>-1575.09</v>
      </c>
      <c r="G277" s="2">
        <f t="shared" si="28"/>
        <v>9037615.0000000019</v>
      </c>
      <c r="H277" s="10">
        <f>+'A) Base RI'!E277</f>
        <v>0</v>
      </c>
      <c r="I277" s="10">
        <f>+'A) Base RI'!F277</f>
        <v>0</v>
      </c>
      <c r="J277" s="10">
        <f>+'A) Base RI'!G277+'A) Base RI'!H277+'A) Base RI'!I277</f>
        <v>105263.0913628976</v>
      </c>
      <c r="K277" s="10">
        <f>+'A) Base RI'!J277</f>
        <v>362767.42</v>
      </c>
      <c r="L277" s="10">
        <f>+'A) Base RI'!K277</f>
        <v>227461.72</v>
      </c>
      <c r="M277" s="10">
        <f>+'A) Base RI'!L277</f>
        <v>38284.25</v>
      </c>
      <c r="N277" s="10">
        <f>+'A) Base RI'!R277</f>
        <v>9686.6299999999992</v>
      </c>
      <c r="O277" s="10">
        <f t="shared" si="29"/>
        <v>859661.16</v>
      </c>
      <c r="P277" s="10">
        <f>+'A) Base RI'!M277</f>
        <v>859661.16</v>
      </c>
      <c r="Q277" s="35">
        <f>'A) Base RI'!Z277</f>
        <v>1</v>
      </c>
      <c r="R277" s="2">
        <f t="shared" si="30"/>
        <v>10640739.271362901</v>
      </c>
      <c r="S277" s="34">
        <f>+'A) Base RI'!U277</f>
        <v>68</v>
      </c>
      <c r="T277" s="2">
        <f t="shared" si="31"/>
        <v>9742793.8613629006</v>
      </c>
      <c r="U277" s="2">
        <f t="shared" si="32"/>
        <v>156481.45987298383</v>
      </c>
      <c r="V277" s="10">
        <f>+'A) Base RI'!P277</f>
        <v>1190895.6000000001</v>
      </c>
      <c r="W277" s="10">
        <f>+'A) Base RI'!Q277</f>
        <v>593668.25</v>
      </c>
      <c r="X277" s="10">
        <f>+'A) Base RI'!S277</f>
        <v>771366.25</v>
      </c>
      <c r="Y277" s="2">
        <f t="shared" si="33"/>
        <v>2555930.1</v>
      </c>
      <c r="Z277" s="10">
        <f>+'A) Base RI'!O277</f>
        <v>15528.4</v>
      </c>
      <c r="AA277" s="10">
        <f>'A) Base RI'!V277</f>
        <v>2921</v>
      </c>
    </row>
    <row r="278" spans="1:27" x14ac:dyDescent="0.25">
      <c r="A278" s="8">
        <f>'A) Base RI'!A278</f>
        <v>5883</v>
      </c>
      <c r="B278" s="33" t="str">
        <f>'A) Base RI'!B278</f>
        <v>Corseaux</v>
      </c>
      <c r="C278" s="10">
        <f>'A) Base RI'!C278+'A) Base RI'!D278</f>
        <v>8926035.9900000002</v>
      </c>
      <c r="D278" s="10">
        <f>'A) Base RI'!W278</f>
        <v>-64700.57</v>
      </c>
      <c r="E278" s="32">
        <f>'A) Base RI'!X278</f>
        <v>0</v>
      </c>
      <c r="F278" s="32">
        <f>'A) Base RI'!Y278</f>
        <v>-1687.17</v>
      </c>
      <c r="G278" s="2">
        <f t="shared" si="28"/>
        <v>8859648.25</v>
      </c>
      <c r="H278" s="10">
        <f>+'A) Base RI'!E278</f>
        <v>0</v>
      </c>
      <c r="I278" s="10">
        <f>+'A) Base RI'!F278</f>
        <v>0</v>
      </c>
      <c r="J278" s="10">
        <f>+'A) Base RI'!G278+'A) Base RI'!H278+'A) Base RI'!I278</f>
        <v>134732.04812992126</v>
      </c>
      <c r="K278" s="10">
        <f>+'A) Base RI'!J278</f>
        <v>548295.93999999994</v>
      </c>
      <c r="L278" s="10">
        <f>+'A) Base RI'!K278</f>
        <v>169713.3</v>
      </c>
      <c r="M278" s="10">
        <f>+'A) Base RI'!L278</f>
        <v>7131.5</v>
      </c>
      <c r="N278" s="10">
        <f>+'A) Base RI'!R278</f>
        <v>4659.0200000000004</v>
      </c>
      <c r="O278" s="10">
        <f t="shared" si="29"/>
        <v>635793.85</v>
      </c>
      <c r="P278" s="10">
        <f>+'A) Base RI'!M278</f>
        <v>635793.85</v>
      </c>
      <c r="Q278" s="35">
        <f>'A) Base RI'!Z278</f>
        <v>1</v>
      </c>
      <c r="R278" s="2">
        <f t="shared" si="30"/>
        <v>10359973.908129921</v>
      </c>
      <c r="S278" s="34">
        <f>+'A) Base RI'!U278</f>
        <v>69</v>
      </c>
      <c r="T278" s="2">
        <f t="shared" si="31"/>
        <v>9717048.5581299216</v>
      </c>
      <c r="U278" s="2">
        <f t="shared" si="32"/>
        <v>150144.54939318728</v>
      </c>
      <c r="V278" s="10">
        <f>+'A) Base RI'!P278</f>
        <v>362315.7</v>
      </c>
      <c r="W278" s="10">
        <f>+'A) Base RI'!Q278</f>
        <v>265661</v>
      </c>
      <c r="X278" s="10">
        <f>+'A) Base RI'!S278</f>
        <v>235156.7</v>
      </c>
      <c r="Y278" s="2">
        <f t="shared" si="33"/>
        <v>863133.39999999991</v>
      </c>
      <c r="Z278" s="10">
        <f>+'A) Base RI'!O278</f>
        <v>0</v>
      </c>
      <c r="AA278" s="10">
        <f>'A) Base RI'!V278</f>
        <v>2289</v>
      </c>
    </row>
    <row r="279" spans="1:27" x14ac:dyDescent="0.25">
      <c r="A279" s="8">
        <f>'A) Base RI'!A279</f>
        <v>5884</v>
      </c>
      <c r="B279" s="33" t="str">
        <f>'A) Base RI'!B279</f>
        <v>Corsier-sur-Vevey</v>
      </c>
      <c r="C279" s="10">
        <f>'A) Base RI'!C279+'A) Base RI'!D279</f>
        <v>5914252.1899999995</v>
      </c>
      <c r="D279" s="10">
        <f>'A) Base RI'!W279</f>
        <v>-164447.10999999999</v>
      </c>
      <c r="E279" s="32">
        <f>'A) Base RI'!X279</f>
        <v>0</v>
      </c>
      <c r="F279" s="32">
        <f>'A) Base RI'!Y279</f>
        <v>-665.19</v>
      </c>
      <c r="G279" s="2">
        <f t="shared" si="28"/>
        <v>5749139.8899999987</v>
      </c>
      <c r="H279" s="10">
        <f>+'A) Base RI'!E279</f>
        <v>0</v>
      </c>
      <c r="I279" s="10">
        <f>+'A) Base RI'!F279</f>
        <v>0</v>
      </c>
      <c r="J279" s="10">
        <f>+'A) Base RI'!G279+'A) Base RI'!H279+'A) Base RI'!I279</f>
        <v>1042943.3579431438</v>
      </c>
      <c r="K279" s="10">
        <f>+'A) Base RI'!J279</f>
        <v>22781.4</v>
      </c>
      <c r="L279" s="10">
        <f>+'A) Base RI'!K279</f>
        <v>265255.77</v>
      </c>
      <c r="M279" s="10">
        <f>+'A) Base RI'!L279</f>
        <v>50985.2</v>
      </c>
      <c r="N279" s="10">
        <f>+'A) Base RI'!R279</f>
        <v>47766.79</v>
      </c>
      <c r="O279" s="10">
        <f t="shared" si="29"/>
        <v>779549.08333333337</v>
      </c>
      <c r="P279" s="10">
        <f>+'A) Base RI'!M279</f>
        <v>935458.9</v>
      </c>
      <c r="Q279" s="35">
        <f>'A) Base RI'!Z279</f>
        <v>1.2</v>
      </c>
      <c r="R279" s="2">
        <f t="shared" si="30"/>
        <v>7958421.4912764756</v>
      </c>
      <c r="S279" s="34">
        <f>+'A) Base RI'!U279</f>
        <v>66</v>
      </c>
      <c r="T279" s="2">
        <f t="shared" si="31"/>
        <v>7127887.2079431424</v>
      </c>
      <c r="U279" s="2">
        <f t="shared" si="32"/>
        <v>120582.14380721933</v>
      </c>
      <c r="V279" s="10">
        <f>+'A) Base RI'!P279</f>
        <v>98675.3</v>
      </c>
      <c r="W279" s="10">
        <f>+'A) Base RI'!Q279</f>
        <v>229542.5</v>
      </c>
      <c r="X279" s="10">
        <f>+'A) Base RI'!S279</f>
        <v>234602.75</v>
      </c>
      <c r="Y279" s="2">
        <f t="shared" si="33"/>
        <v>562820.55000000005</v>
      </c>
      <c r="Z279" s="10">
        <f>+'A) Base RI'!O279</f>
        <v>469080.1</v>
      </c>
      <c r="AA279" s="10">
        <f>'A) Base RI'!V279</f>
        <v>3396</v>
      </c>
    </row>
    <row r="280" spans="1:27" x14ac:dyDescent="0.25">
      <c r="A280" s="8">
        <f>'A) Base RI'!A280</f>
        <v>5885</v>
      </c>
      <c r="B280" s="33" t="str">
        <f>'A) Base RI'!B280</f>
        <v>Jongny</v>
      </c>
      <c r="C280" s="10">
        <f>'A) Base RI'!C280+'A) Base RI'!D280</f>
        <v>5810111.3100000005</v>
      </c>
      <c r="D280" s="10">
        <f>'A) Base RI'!W280</f>
        <v>-32513.439999999999</v>
      </c>
      <c r="E280" s="32">
        <f>'A) Base RI'!X280</f>
        <v>0</v>
      </c>
      <c r="F280" s="32">
        <f>'A) Base RI'!Y280</f>
        <v>-5133.49</v>
      </c>
      <c r="G280" s="2">
        <f t="shared" si="28"/>
        <v>5772464.3799999999</v>
      </c>
      <c r="H280" s="10">
        <f>+'A) Base RI'!E280</f>
        <v>0</v>
      </c>
      <c r="I280" s="10">
        <f>+'A) Base RI'!F280</f>
        <v>0</v>
      </c>
      <c r="J280" s="10">
        <f>+'A) Base RI'!G280+'A) Base RI'!H280+'A) Base RI'!I280</f>
        <v>147594.25814212518</v>
      </c>
      <c r="K280" s="10">
        <f>+'A) Base RI'!J280</f>
        <v>142208.18</v>
      </c>
      <c r="L280" s="10">
        <f>+'A) Base RI'!K280</f>
        <v>120812.65</v>
      </c>
      <c r="M280" s="10">
        <f>+'A) Base RI'!L280</f>
        <v>10194.9</v>
      </c>
      <c r="N280" s="10">
        <f>+'A) Base RI'!R280</f>
        <v>13302.69</v>
      </c>
      <c r="O280" s="10">
        <f t="shared" si="29"/>
        <v>370708.04166666669</v>
      </c>
      <c r="P280" s="10">
        <f>+'A) Base RI'!M280</f>
        <v>444849.65</v>
      </c>
      <c r="Q280" s="35">
        <f>'A) Base RI'!Z280</f>
        <v>1.2</v>
      </c>
      <c r="R280" s="2">
        <f t="shared" si="30"/>
        <v>6577285.0998087926</v>
      </c>
      <c r="S280" s="34">
        <f>+'A) Base RI'!U280</f>
        <v>71</v>
      </c>
      <c r="T280" s="2">
        <f t="shared" si="31"/>
        <v>6196382.1581421252</v>
      </c>
      <c r="U280" s="2">
        <f t="shared" si="32"/>
        <v>92637.81830716609</v>
      </c>
      <c r="V280" s="10">
        <f>+'A) Base RI'!P280</f>
        <v>165366.1</v>
      </c>
      <c r="W280" s="10">
        <f>+'A) Base RI'!Q280</f>
        <v>213726.4</v>
      </c>
      <c r="X280" s="10">
        <f>+'A) Base RI'!S280</f>
        <v>278243.15000000002</v>
      </c>
      <c r="Y280" s="2">
        <f t="shared" si="33"/>
        <v>657335.65</v>
      </c>
      <c r="Z280" s="10">
        <f>+'A) Base RI'!O280</f>
        <v>7550.35</v>
      </c>
      <c r="AA280" s="10">
        <f>'A) Base RI'!V280</f>
        <v>1549</v>
      </c>
    </row>
    <row r="281" spans="1:27" x14ac:dyDescent="0.25">
      <c r="A281" s="8">
        <f>'A) Base RI'!A281</f>
        <v>5886</v>
      </c>
      <c r="B281" s="33" t="str">
        <f>'A) Base RI'!B281</f>
        <v>Montreux</v>
      </c>
      <c r="C281" s="10">
        <f>'A) Base RI'!C281+'A) Base RI'!D281</f>
        <v>55933971.640000001</v>
      </c>
      <c r="D281" s="10">
        <f>'A) Base RI'!W281</f>
        <v>-1625317.09</v>
      </c>
      <c r="E281" s="32">
        <f>'A) Base RI'!X281</f>
        <v>0</v>
      </c>
      <c r="F281" s="32">
        <f>'A) Base RI'!Y281</f>
        <v>-31877.83</v>
      </c>
      <c r="G281" s="2">
        <f t="shared" si="28"/>
        <v>54276776.719999999</v>
      </c>
      <c r="H281" s="10">
        <f>+'A) Base RI'!E281</f>
        <v>0</v>
      </c>
      <c r="I281" s="10">
        <f>+'A) Base RI'!F281</f>
        <v>0</v>
      </c>
      <c r="J281" s="10">
        <f>+'A) Base RI'!G281+'A) Base RI'!H281+'A) Base RI'!I281</f>
        <v>3338870.2135636359</v>
      </c>
      <c r="K281" s="10">
        <f>+'A) Base RI'!J281</f>
        <v>4481090.6100000003</v>
      </c>
      <c r="L281" s="10">
        <f>+'A) Base RI'!K281</f>
        <v>3087361.22</v>
      </c>
      <c r="M281" s="10">
        <f>+'A) Base RI'!L281</f>
        <v>586296.69999999995</v>
      </c>
      <c r="N281" s="10">
        <f>+'A) Base RI'!R281</f>
        <v>388269.5</v>
      </c>
      <c r="O281" s="10">
        <f t="shared" si="29"/>
        <v>6703561.4333333336</v>
      </c>
      <c r="P281" s="10">
        <f>+'A) Base RI'!M281</f>
        <v>10055342.15</v>
      </c>
      <c r="Q281" s="35">
        <f>'A) Base RI'!Z281</f>
        <v>1.5</v>
      </c>
      <c r="R281" s="2">
        <f t="shared" si="30"/>
        <v>72862226.396896973</v>
      </c>
      <c r="S281" s="34">
        <f>+'A) Base RI'!U281</f>
        <v>65</v>
      </c>
      <c r="T281" s="2">
        <f t="shared" si="31"/>
        <v>65572368.263563633</v>
      </c>
      <c r="U281" s="2">
        <f t="shared" si="32"/>
        <v>1120957.3291830304</v>
      </c>
      <c r="V281" s="10">
        <f>+'A) Base RI'!P281</f>
        <v>8095409.7000000002</v>
      </c>
      <c r="W281" s="10">
        <f>+'A) Base RI'!Q281</f>
        <v>3972357.55</v>
      </c>
      <c r="X281" s="10">
        <f>+'A) Base RI'!S281</f>
        <v>3792148.65</v>
      </c>
      <c r="Y281" s="2">
        <f t="shared" si="33"/>
        <v>15859915.9</v>
      </c>
      <c r="Z281" s="10">
        <f>+'A) Base RI'!O281</f>
        <v>677240.75</v>
      </c>
      <c r="AA281" s="10">
        <f>'A) Base RI'!V281</f>
        <v>26653</v>
      </c>
    </row>
    <row r="282" spans="1:27" x14ac:dyDescent="0.25">
      <c r="A282" s="8">
        <f>'A) Base RI'!A282</f>
        <v>5888</v>
      </c>
      <c r="B282" s="33" t="str">
        <f>'A) Base RI'!B282</f>
        <v>Saint-Légier-La Chiésaz</v>
      </c>
      <c r="C282" s="10">
        <f>'A) Base RI'!C282+'A) Base RI'!D282</f>
        <v>17256489.400000002</v>
      </c>
      <c r="D282" s="10">
        <f>'A) Base RI'!W282</f>
        <v>-202357.88</v>
      </c>
      <c r="E282" s="32">
        <f>'A) Base RI'!X282</f>
        <v>0</v>
      </c>
      <c r="F282" s="32">
        <f>'A) Base RI'!Y282</f>
        <v>-8942.5</v>
      </c>
      <c r="G282" s="2">
        <f t="shared" si="28"/>
        <v>17045189.020000003</v>
      </c>
      <c r="H282" s="10">
        <f>+'A) Base RI'!E282</f>
        <v>0</v>
      </c>
      <c r="I282" s="10">
        <f>+'A) Base RI'!F282</f>
        <v>0</v>
      </c>
      <c r="J282" s="10">
        <f>+'A) Base RI'!G282+'A) Base RI'!H282+'A) Base RI'!I282</f>
        <v>425278.19232399343</v>
      </c>
      <c r="K282" s="10">
        <f>+'A) Base RI'!J282</f>
        <v>90942.84</v>
      </c>
      <c r="L282" s="10">
        <f>+'A) Base RI'!K282</f>
        <v>357068.75</v>
      </c>
      <c r="M282" s="10">
        <f>+'A) Base RI'!L282</f>
        <v>-6066.65</v>
      </c>
      <c r="N282" s="10">
        <f>+'A) Base RI'!R282</f>
        <v>139599.91</v>
      </c>
      <c r="O282" s="10">
        <f t="shared" si="29"/>
        <v>1452616.8333333333</v>
      </c>
      <c r="P282" s="10">
        <f>+'A) Base RI'!M282</f>
        <v>1743140.2</v>
      </c>
      <c r="Q282" s="35">
        <f>'A) Base RI'!Z282</f>
        <v>1.2</v>
      </c>
      <c r="R282" s="2">
        <f t="shared" si="30"/>
        <v>19504628.895657331</v>
      </c>
      <c r="S282" s="34">
        <f>+'A) Base RI'!U282</f>
        <v>67</v>
      </c>
      <c r="T282" s="2">
        <f t="shared" si="31"/>
        <v>18058078.712323997</v>
      </c>
      <c r="U282" s="2">
        <f t="shared" si="32"/>
        <v>291113.86411428853</v>
      </c>
      <c r="V282" s="10">
        <f>+'A) Base RI'!P282</f>
        <v>387548</v>
      </c>
      <c r="W282" s="10">
        <f>+'A) Base RI'!Q282</f>
        <v>1047193.35</v>
      </c>
      <c r="X282" s="10">
        <f>+'A) Base RI'!S282</f>
        <v>482408.15</v>
      </c>
      <c r="Y282" s="2">
        <f t="shared" si="33"/>
        <v>1917149.5</v>
      </c>
      <c r="Z282" s="10">
        <f>+'A) Base RI'!O282</f>
        <v>154863.9</v>
      </c>
      <c r="AA282" s="10">
        <f>'A) Base RI'!V282</f>
        <v>5167</v>
      </c>
    </row>
    <row r="283" spans="1:27" x14ac:dyDescent="0.25">
      <c r="A283" s="8">
        <f>'A) Base RI'!A283</f>
        <v>5889</v>
      </c>
      <c r="B283" s="33" t="str">
        <f>'A) Base RI'!B283</f>
        <v>La Tour-de-Peilz</v>
      </c>
      <c r="C283" s="10">
        <f>'A) Base RI'!C283+'A) Base RI'!D283</f>
        <v>32041337.009999998</v>
      </c>
      <c r="D283" s="10">
        <f>'A) Base RI'!W283</f>
        <v>-394446.37</v>
      </c>
      <c r="E283" s="32">
        <f>'A) Base RI'!X283</f>
        <v>0</v>
      </c>
      <c r="F283" s="32">
        <f>'A) Base RI'!Y283</f>
        <v>-84398.75</v>
      </c>
      <c r="G283" s="2">
        <f t="shared" si="28"/>
        <v>31562491.889999997</v>
      </c>
      <c r="H283" s="10">
        <f>+'A) Base RI'!E283</f>
        <v>0</v>
      </c>
      <c r="I283" s="10">
        <f>+'A) Base RI'!F283</f>
        <v>0</v>
      </c>
      <c r="J283" s="10">
        <f>+'A) Base RI'!G283+'A) Base RI'!H283+'A) Base RI'!I283</f>
        <v>6862342.4158587605</v>
      </c>
      <c r="K283" s="10">
        <f>+'A) Base RI'!J283</f>
        <v>919774.08</v>
      </c>
      <c r="L283" s="10">
        <f>+'A) Base RI'!K283</f>
        <v>1352330.25</v>
      </c>
      <c r="M283" s="10">
        <f>+'A) Base RI'!L283</f>
        <v>188269.6</v>
      </c>
      <c r="N283" s="10">
        <f>+'A) Base RI'!R283</f>
        <v>118064.7</v>
      </c>
      <c r="O283" s="10">
        <f t="shared" si="29"/>
        <v>2166725.4583333335</v>
      </c>
      <c r="P283" s="10">
        <f>+'A) Base RI'!M283</f>
        <v>2600070.5499999998</v>
      </c>
      <c r="Q283" s="35">
        <f>'A) Base RI'!Z283</f>
        <v>1.2</v>
      </c>
      <c r="R283" s="2">
        <f t="shared" si="30"/>
        <v>43169998.3941921</v>
      </c>
      <c r="S283" s="34">
        <f>+'A) Base RI'!U283</f>
        <v>64</v>
      </c>
      <c r="T283" s="2">
        <f t="shared" si="31"/>
        <v>40815003.335858762</v>
      </c>
      <c r="U283" s="2">
        <f t="shared" si="32"/>
        <v>674531.22490925156</v>
      </c>
      <c r="V283" s="10">
        <f>+'A) Base RI'!P283</f>
        <v>294441.2</v>
      </c>
      <c r="W283" s="10">
        <f>+'A) Base RI'!Q283</f>
        <v>2117848.35</v>
      </c>
      <c r="X283" s="10">
        <f>+'A) Base RI'!S283</f>
        <v>1102536.1000000001</v>
      </c>
      <c r="Y283" s="2">
        <f t="shared" si="33"/>
        <v>3514825.6500000004</v>
      </c>
      <c r="Z283" s="10">
        <f>+'A) Base RI'!O283</f>
        <v>130445.55</v>
      </c>
      <c r="AA283" s="10">
        <f>'A) Base RI'!V283</f>
        <v>11779</v>
      </c>
    </row>
    <row r="284" spans="1:27" x14ac:dyDescent="0.25">
      <c r="A284" s="8">
        <f>'A) Base RI'!A284</f>
        <v>5890</v>
      </c>
      <c r="B284" s="33" t="str">
        <f>'A) Base RI'!B284</f>
        <v>Vevey</v>
      </c>
      <c r="C284" s="10">
        <f>'A) Base RI'!C284+'A) Base RI'!D284</f>
        <v>42144236.050000004</v>
      </c>
      <c r="D284" s="10">
        <f>'A) Base RI'!W284</f>
        <v>-1079319.3999999999</v>
      </c>
      <c r="E284" s="32">
        <f>'A) Base RI'!X284</f>
        <v>0</v>
      </c>
      <c r="F284" s="32">
        <f>'A) Base RI'!Y284</f>
        <v>-100162.21</v>
      </c>
      <c r="G284" s="2">
        <f t="shared" si="28"/>
        <v>40964754.440000005</v>
      </c>
      <c r="H284" s="10">
        <f>+'A) Base RI'!E284</f>
        <v>0</v>
      </c>
      <c r="I284" s="10">
        <f>+'A) Base RI'!F284</f>
        <v>0</v>
      </c>
      <c r="J284" s="10">
        <f>+'A) Base RI'!G284+'A) Base RI'!H284+'A) Base RI'!I284</f>
        <v>19377210.292026471</v>
      </c>
      <c r="K284" s="10">
        <f>+'A) Base RI'!J284</f>
        <v>532328.87</v>
      </c>
      <c r="L284" s="10">
        <f>+'A) Base RI'!K284</f>
        <v>4596329.45</v>
      </c>
      <c r="M284" s="10">
        <f>+'A) Base RI'!L284</f>
        <v>546173.19999999995</v>
      </c>
      <c r="N284" s="10">
        <f>+'A) Base RI'!R284</f>
        <v>142962.25</v>
      </c>
      <c r="O284" s="10">
        <f t="shared" si="29"/>
        <v>3427339.2666666671</v>
      </c>
      <c r="P284" s="10">
        <f>+'A) Base RI'!M284</f>
        <v>5141008.9000000004</v>
      </c>
      <c r="Q284" s="35">
        <f>'A) Base RI'!Z284</f>
        <v>1.5</v>
      </c>
      <c r="R284" s="2">
        <f t="shared" si="30"/>
        <v>69587097.768693149</v>
      </c>
      <c r="S284" s="34">
        <f>+'A) Base RI'!U284</f>
        <v>73</v>
      </c>
      <c r="T284" s="2">
        <f t="shared" si="31"/>
        <v>65613585.302026473</v>
      </c>
      <c r="U284" s="2">
        <f t="shared" si="32"/>
        <v>953247.91463963222</v>
      </c>
      <c r="V284" s="10">
        <f>+'A) Base RI'!P284</f>
        <v>3914517.8</v>
      </c>
      <c r="W284" s="10">
        <f>+'A) Base RI'!Q284</f>
        <v>1147833.8999999999</v>
      </c>
      <c r="X284" s="10">
        <f>+'A) Base RI'!S284</f>
        <v>530230.4</v>
      </c>
      <c r="Y284" s="2">
        <f t="shared" si="33"/>
        <v>5592582.0999999996</v>
      </c>
      <c r="Z284" s="10">
        <f>+'A) Base RI'!O284</f>
        <v>904038.35</v>
      </c>
      <c r="AA284" s="10">
        <f>'A) Base RI'!V284</f>
        <v>19829</v>
      </c>
    </row>
    <row r="285" spans="1:27" x14ac:dyDescent="0.25">
      <c r="A285" s="8">
        <f>'A) Base RI'!A285</f>
        <v>5891</v>
      </c>
      <c r="B285" s="33" t="str">
        <f>'A) Base RI'!B285</f>
        <v>Veytaux</v>
      </c>
      <c r="C285" s="10">
        <f>'A) Base RI'!C285+'A) Base RI'!D285</f>
        <v>2070261.3</v>
      </c>
      <c r="D285" s="10">
        <f>'A) Base RI'!W285</f>
        <v>-60678.64</v>
      </c>
      <c r="E285" s="32">
        <f>'A) Base RI'!X285</f>
        <v>0</v>
      </c>
      <c r="F285" s="32">
        <f>'A) Base RI'!Y285</f>
        <v>-1060.32</v>
      </c>
      <c r="G285" s="2">
        <f t="shared" si="28"/>
        <v>2008522.34</v>
      </c>
      <c r="H285" s="10">
        <f>+'A) Base RI'!E285</f>
        <v>0</v>
      </c>
      <c r="I285" s="10">
        <f>+'A) Base RI'!F285</f>
        <v>0</v>
      </c>
      <c r="J285" s="10">
        <f>+'A) Base RI'!G285+'A) Base RI'!H285+'A) Base RI'!I285</f>
        <v>56491.385027472526</v>
      </c>
      <c r="K285" s="10">
        <f>+'A) Base RI'!J285</f>
        <v>57838.65</v>
      </c>
      <c r="L285" s="10">
        <f>+'A) Base RI'!K285</f>
        <v>57552</v>
      </c>
      <c r="M285" s="10">
        <f>+'A) Base RI'!L285</f>
        <v>-12841.9</v>
      </c>
      <c r="N285" s="10">
        <f>+'A) Base RI'!R285</f>
        <v>21048.67</v>
      </c>
      <c r="O285" s="10">
        <f t="shared" si="29"/>
        <v>236002.66666666669</v>
      </c>
      <c r="P285" s="10">
        <f>+'A) Base RI'!M285</f>
        <v>283203.20000000001</v>
      </c>
      <c r="Q285" s="35">
        <f>'A) Base RI'!Z285</f>
        <v>1.2</v>
      </c>
      <c r="R285" s="2">
        <f t="shared" si="30"/>
        <v>2424613.8116941391</v>
      </c>
      <c r="S285" s="34">
        <f>+'A) Base RI'!U285</f>
        <v>69</v>
      </c>
      <c r="T285" s="2">
        <f t="shared" si="31"/>
        <v>2201453.0450274725</v>
      </c>
      <c r="U285" s="2">
        <f t="shared" si="32"/>
        <v>35139.330604262883</v>
      </c>
      <c r="V285" s="10">
        <f>+'A) Base RI'!P285</f>
        <v>10395</v>
      </c>
      <c r="W285" s="10">
        <f>+'A) Base RI'!Q285</f>
        <v>182197.4</v>
      </c>
      <c r="X285" s="10">
        <f>+'A) Base RI'!S285</f>
        <v>50754.9</v>
      </c>
      <c r="Y285" s="2">
        <f t="shared" si="33"/>
        <v>243347.3</v>
      </c>
      <c r="Z285" s="10">
        <f>+'A) Base RI'!O285</f>
        <v>0</v>
      </c>
      <c r="AA285" s="10">
        <f>'A) Base RI'!V285</f>
        <v>870</v>
      </c>
    </row>
    <row r="286" spans="1:27" x14ac:dyDescent="0.25">
      <c r="A286" s="8">
        <f>'A) Base RI'!A286</f>
        <v>5902</v>
      </c>
      <c r="B286" s="33" t="str">
        <f>'A) Base RI'!B286</f>
        <v>Belmont-sur-Yverdon</v>
      </c>
      <c r="C286" s="10">
        <f>'A) Base RI'!C286+'A) Base RI'!D286</f>
        <v>688200.2</v>
      </c>
      <c r="D286" s="10">
        <f>'A) Base RI'!W286</f>
        <v>-8.65</v>
      </c>
      <c r="E286" s="32">
        <f>'A) Base RI'!X286</f>
        <v>0</v>
      </c>
      <c r="F286" s="32">
        <f>'A) Base RI'!Y286</f>
        <v>0</v>
      </c>
      <c r="G286" s="2">
        <f t="shared" si="28"/>
        <v>688191.54999999993</v>
      </c>
      <c r="H286" s="10">
        <f>+'A) Base RI'!E286</f>
        <v>0</v>
      </c>
      <c r="I286" s="10">
        <f>+'A) Base RI'!F286</f>
        <v>0</v>
      </c>
      <c r="J286" s="10">
        <f>+'A) Base RI'!G286+'A) Base RI'!H286+'A) Base RI'!I286</f>
        <v>2538.6438830897705</v>
      </c>
      <c r="K286" s="10">
        <f>+'A) Base RI'!J286</f>
        <v>0</v>
      </c>
      <c r="L286" s="10">
        <f>+'A) Base RI'!K286</f>
        <v>8882.9500000000007</v>
      </c>
      <c r="M286" s="10">
        <f>+'A) Base RI'!L286</f>
        <v>-84.5</v>
      </c>
      <c r="N286" s="10">
        <f>+'A) Base RI'!R286</f>
        <v>0</v>
      </c>
      <c r="O286" s="10">
        <f t="shared" si="29"/>
        <v>52127.9</v>
      </c>
      <c r="P286" s="10">
        <f>+'A) Base RI'!M286</f>
        <v>52127.9</v>
      </c>
      <c r="Q286" s="35">
        <f>'A) Base RI'!Z286</f>
        <v>1</v>
      </c>
      <c r="R286" s="2">
        <f t="shared" si="30"/>
        <v>751656.54388308967</v>
      </c>
      <c r="S286" s="34">
        <f>+'A) Base RI'!U286</f>
        <v>76</v>
      </c>
      <c r="T286" s="2">
        <f t="shared" si="31"/>
        <v>699613.14388308965</v>
      </c>
      <c r="U286" s="2">
        <f t="shared" si="32"/>
        <v>9890.2176826722334</v>
      </c>
      <c r="V286" s="10">
        <f>+'A) Base RI'!P286</f>
        <v>0</v>
      </c>
      <c r="W286" s="10">
        <f>+'A) Base RI'!Q286</f>
        <v>32761.85</v>
      </c>
      <c r="X286" s="10">
        <f>+'A) Base RI'!S286</f>
        <v>30670.85</v>
      </c>
      <c r="Y286" s="2">
        <f t="shared" si="33"/>
        <v>63432.7</v>
      </c>
      <c r="Z286" s="10">
        <f>+'A) Base RI'!O286</f>
        <v>0</v>
      </c>
      <c r="AA286" s="10">
        <f>'A) Base RI'!V286</f>
        <v>378</v>
      </c>
    </row>
    <row r="287" spans="1:27" x14ac:dyDescent="0.25">
      <c r="A287" s="8">
        <f>'A) Base RI'!A287</f>
        <v>5903</v>
      </c>
      <c r="B287" s="33" t="str">
        <f>'A) Base RI'!B287</f>
        <v>Bioley-Magnoux</v>
      </c>
      <c r="C287" s="10">
        <f>'A) Base RI'!C287+'A) Base RI'!D287</f>
        <v>397089.19</v>
      </c>
      <c r="D287" s="10">
        <f>'A) Base RI'!W287</f>
        <v>-172.76</v>
      </c>
      <c r="E287" s="32">
        <f>'A) Base RI'!X287</f>
        <v>0</v>
      </c>
      <c r="F287" s="32">
        <f>'A) Base RI'!Y287</f>
        <v>0</v>
      </c>
      <c r="G287" s="2">
        <f t="shared" si="28"/>
        <v>396916.43</v>
      </c>
      <c r="H287" s="10">
        <f>+'A) Base RI'!E287</f>
        <v>0</v>
      </c>
      <c r="I287" s="10">
        <f>+'A) Base RI'!F287</f>
        <v>0</v>
      </c>
      <c r="J287" s="10">
        <f>+'A) Base RI'!G287+'A) Base RI'!H287+'A) Base RI'!I287</f>
        <v>5654.8269379014982</v>
      </c>
      <c r="K287" s="10">
        <f>+'A) Base RI'!J287</f>
        <v>0</v>
      </c>
      <c r="L287" s="10">
        <f>+'A) Base RI'!K287</f>
        <v>2401.9299999999998</v>
      </c>
      <c r="M287" s="10">
        <f>+'A) Base RI'!L287</f>
        <v>0</v>
      </c>
      <c r="N287" s="10">
        <f>+'A) Base RI'!R287</f>
        <v>0</v>
      </c>
      <c r="O287" s="10">
        <f t="shared" si="29"/>
        <v>33539.857142857145</v>
      </c>
      <c r="P287" s="10">
        <f>+'A) Base RI'!M287</f>
        <v>23477.9</v>
      </c>
      <c r="Q287" s="35">
        <f>'A) Base RI'!Z287</f>
        <v>0.7</v>
      </c>
      <c r="R287" s="2">
        <f t="shared" si="30"/>
        <v>438513.04408075864</v>
      </c>
      <c r="S287" s="34">
        <f>+'A) Base RI'!U287</f>
        <v>74</v>
      </c>
      <c r="T287" s="2">
        <f t="shared" si="31"/>
        <v>404973.18693790148</v>
      </c>
      <c r="U287" s="2">
        <f t="shared" si="32"/>
        <v>5925.8519470372794</v>
      </c>
      <c r="V287" s="10">
        <f>+'A) Base RI'!P287</f>
        <v>0</v>
      </c>
      <c r="W287" s="10">
        <f>+'A) Base RI'!Q287</f>
        <v>13707.75</v>
      </c>
      <c r="X287" s="10">
        <f>+'A) Base RI'!S287</f>
        <v>13292.75</v>
      </c>
      <c r="Y287" s="2">
        <f t="shared" si="33"/>
        <v>27000.5</v>
      </c>
      <c r="Z287" s="10">
        <f>+'A) Base RI'!O287</f>
        <v>6652.7</v>
      </c>
      <c r="AA287" s="10">
        <f>'A) Base RI'!V287</f>
        <v>225</v>
      </c>
    </row>
    <row r="288" spans="1:27" x14ac:dyDescent="0.25">
      <c r="A288" s="8">
        <f>'A) Base RI'!A288</f>
        <v>5904</v>
      </c>
      <c r="B288" s="33" t="str">
        <f>'A) Base RI'!B288</f>
        <v>Chamblon</v>
      </c>
      <c r="C288" s="10">
        <f>'A) Base RI'!C288+'A) Base RI'!D288</f>
        <v>1324448.5100000002</v>
      </c>
      <c r="D288" s="10">
        <f>'A) Base RI'!W288</f>
        <v>-24375.13</v>
      </c>
      <c r="E288" s="32">
        <f>'A) Base RI'!X288</f>
        <v>0</v>
      </c>
      <c r="F288" s="32">
        <f>'A) Base RI'!Y288</f>
        <v>-11.68</v>
      </c>
      <c r="G288" s="2">
        <f t="shared" si="28"/>
        <v>1300061.7000000004</v>
      </c>
      <c r="H288" s="10">
        <f>+'A) Base RI'!E288</f>
        <v>0</v>
      </c>
      <c r="I288" s="10">
        <f>+'A) Base RI'!F288</f>
        <v>0</v>
      </c>
      <c r="J288" s="10">
        <f>+'A) Base RI'!G288+'A) Base RI'!H288+'A) Base RI'!I288</f>
        <v>9154.7622909699003</v>
      </c>
      <c r="K288" s="10">
        <f>+'A) Base RI'!J288</f>
        <v>0</v>
      </c>
      <c r="L288" s="10">
        <f>+'A) Base RI'!K288</f>
        <v>24088.22</v>
      </c>
      <c r="M288" s="10">
        <f>+'A) Base RI'!L288</f>
        <v>2914.15</v>
      </c>
      <c r="N288" s="10">
        <f>+'A) Base RI'!R288</f>
        <v>0</v>
      </c>
      <c r="O288" s="10">
        <f t="shared" si="29"/>
        <v>92722</v>
      </c>
      <c r="P288" s="10">
        <f>+'A) Base RI'!M288</f>
        <v>92722</v>
      </c>
      <c r="Q288" s="35">
        <f>'A) Base RI'!Z288</f>
        <v>1</v>
      </c>
      <c r="R288" s="2">
        <f t="shared" si="30"/>
        <v>1428940.8322909703</v>
      </c>
      <c r="S288" s="34">
        <f>+'A) Base RI'!U288</f>
        <v>66</v>
      </c>
      <c r="T288" s="2">
        <f t="shared" si="31"/>
        <v>1333304.6822909703</v>
      </c>
      <c r="U288" s="2">
        <f t="shared" si="32"/>
        <v>21650.618671075306</v>
      </c>
      <c r="V288" s="10">
        <f>+'A) Base RI'!P288</f>
        <v>4058.8</v>
      </c>
      <c r="W288" s="10">
        <f>+'A) Base RI'!Q288</f>
        <v>71951</v>
      </c>
      <c r="X288" s="10">
        <f>+'A) Base RI'!S288</f>
        <v>7540.6</v>
      </c>
      <c r="Y288" s="2">
        <f t="shared" si="33"/>
        <v>83550.400000000009</v>
      </c>
      <c r="Z288" s="10">
        <f>+'A) Base RI'!O288</f>
        <v>31716.6</v>
      </c>
      <c r="AA288" s="10">
        <f>'A) Base RI'!V288</f>
        <v>534</v>
      </c>
    </row>
    <row r="289" spans="1:27" x14ac:dyDescent="0.25">
      <c r="A289" s="8">
        <f>'A) Base RI'!A289</f>
        <v>5905</v>
      </c>
      <c r="B289" s="33" t="str">
        <f>'A) Base RI'!B289</f>
        <v>Champvent</v>
      </c>
      <c r="C289" s="10">
        <f>'A) Base RI'!C289+'A) Base RI'!D289</f>
        <v>1313203.4099999999</v>
      </c>
      <c r="D289" s="10">
        <f>'A) Base RI'!W289</f>
        <v>-4229.2</v>
      </c>
      <c r="E289" s="32">
        <f>'A) Base RI'!X289</f>
        <v>0</v>
      </c>
      <c r="F289" s="32">
        <f>'A) Base RI'!Y289</f>
        <v>-7.32</v>
      </c>
      <c r="G289" s="2">
        <f t="shared" si="28"/>
        <v>1308966.8899999999</v>
      </c>
      <c r="H289" s="10">
        <f>+'A) Base RI'!E289</f>
        <v>0</v>
      </c>
      <c r="I289" s="10">
        <f>+'A) Base RI'!F289</f>
        <v>0</v>
      </c>
      <c r="J289" s="10">
        <f>+'A) Base RI'!G289+'A) Base RI'!H289+'A) Base RI'!I289</f>
        <v>124453.80563599909</v>
      </c>
      <c r="K289" s="10">
        <f>+'A) Base RI'!J289</f>
        <v>0</v>
      </c>
      <c r="L289" s="10">
        <f>+'A) Base RI'!K289</f>
        <v>41043.230000000003</v>
      </c>
      <c r="M289" s="10">
        <f>+'A) Base RI'!L289</f>
        <v>855.3</v>
      </c>
      <c r="N289" s="10">
        <f>+'A) Base RI'!R289</f>
        <v>2804.22</v>
      </c>
      <c r="O289" s="10">
        <f t="shared" si="29"/>
        <v>95315.65</v>
      </c>
      <c r="P289" s="10">
        <f>+'A) Base RI'!M289</f>
        <v>95315.65</v>
      </c>
      <c r="Q289" s="35">
        <f>'A) Base RI'!Z289</f>
        <v>1</v>
      </c>
      <c r="R289" s="2">
        <f t="shared" si="30"/>
        <v>1573439.095635999</v>
      </c>
      <c r="S289" s="34">
        <f>+'A) Base RI'!U289</f>
        <v>71</v>
      </c>
      <c r="T289" s="2">
        <f t="shared" si="31"/>
        <v>1477268.145635999</v>
      </c>
      <c r="U289" s="2">
        <f t="shared" si="32"/>
        <v>22161.114023042239</v>
      </c>
      <c r="V289" s="10">
        <f>+'A) Base RI'!P289</f>
        <v>0</v>
      </c>
      <c r="W289" s="10">
        <f>+'A) Base RI'!Q289</f>
        <v>36061.1</v>
      </c>
      <c r="X289" s="10">
        <f>+'A) Base RI'!S289</f>
        <v>12873.75</v>
      </c>
      <c r="Y289" s="2">
        <f t="shared" si="33"/>
        <v>48934.85</v>
      </c>
      <c r="Z289" s="10">
        <f>+'A) Base RI'!O289</f>
        <v>111826.35</v>
      </c>
      <c r="AA289" s="10">
        <f>'A) Base RI'!V289</f>
        <v>669</v>
      </c>
    </row>
    <row r="290" spans="1:27" x14ac:dyDescent="0.25">
      <c r="A290" s="8">
        <f>'A) Base RI'!A290</f>
        <v>5907</v>
      </c>
      <c r="B290" s="33" t="str">
        <f>'A) Base RI'!B290</f>
        <v>Chavannes-le-Chêne</v>
      </c>
      <c r="C290" s="10">
        <f>'A) Base RI'!C290+'A) Base RI'!D290</f>
        <v>630076.30999999994</v>
      </c>
      <c r="D290" s="10">
        <f>'A) Base RI'!W290</f>
        <v>-10875.63</v>
      </c>
      <c r="E290" s="32">
        <f>'A) Base RI'!X290</f>
        <v>0</v>
      </c>
      <c r="F290" s="32">
        <f>'A) Base RI'!Y290</f>
        <v>0</v>
      </c>
      <c r="G290" s="2">
        <f t="shared" si="28"/>
        <v>619200.67999999993</v>
      </c>
      <c r="H290" s="10">
        <f>+'A) Base RI'!E290</f>
        <v>0</v>
      </c>
      <c r="I290" s="10">
        <f>+'A) Base RI'!F290</f>
        <v>1820</v>
      </c>
      <c r="J290" s="10">
        <f>+'A) Base RI'!G290+'A) Base RI'!H290+'A) Base RI'!I290</f>
        <v>1611.1783910386964</v>
      </c>
      <c r="K290" s="10">
        <f>+'A) Base RI'!J290</f>
        <v>0</v>
      </c>
      <c r="L290" s="10">
        <f>+'A) Base RI'!K290</f>
        <v>3429.23</v>
      </c>
      <c r="M290" s="10">
        <f>+'A) Base RI'!L290</f>
        <v>134</v>
      </c>
      <c r="N290" s="10">
        <f>+'A) Base RI'!R290</f>
        <v>8850.2999999999993</v>
      </c>
      <c r="O290" s="10">
        <f t="shared" si="29"/>
        <v>38474.699999999997</v>
      </c>
      <c r="P290" s="10">
        <f>+'A) Base RI'!M290</f>
        <v>38474.699999999997</v>
      </c>
      <c r="Q290" s="35">
        <f>'A) Base RI'!Z290</f>
        <v>1</v>
      </c>
      <c r="R290" s="2">
        <f t="shared" si="30"/>
        <v>673520.08839103859</v>
      </c>
      <c r="S290" s="34">
        <f>+'A) Base RI'!U290</f>
        <v>78</v>
      </c>
      <c r="T290" s="2">
        <f t="shared" si="31"/>
        <v>633091.38839103864</v>
      </c>
      <c r="U290" s="2">
        <f t="shared" si="32"/>
        <v>8634.8729280902389</v>
      </c>
      <c r="V290" s="10">
        <f>+'A) Base RI'!P290</f>
        <v>0</v>
      </c>
      <c r="W290" s="10">
        <f>+'A) Base RI'!Q290</f>
        <v>8230.5499999999993</v>
      </c>
      <c r="X290" s="10">
        <f>+'A) Base RI'!S290</f>
        <v>1166.6500000000001</v>
      </c>
      <c r="Y290" s="2">
        <f t="shared" si="33"/>
        <v>9397.1999999999989</v>
      </c>
      <c r="Z290" s="10">
        <f>+'A) Base RI'!O290</f>
        <v>6237</v>
      </c>
      <c r="AA290" s="10">
        <f>'A) Base RI'!V290</f>
        <v>298</v>
      </c>
    </row>
    <row r="291" spans="1:27" x14ac:dyDescent="0.25">
      <c r="A291" s="8">
        <f>'A) Base RI'!A291</f>
        <v>5908</v>
      </c>
      <c r="B291" s="33" t="str">
        <f>'A) Base RI'!B291</f>
        <v>Chêne-Pâquier</v>
      </c>
      <c r="C291" s="10">
        <f>'A) Base RI'!C291+'A) Base RI'!D291</f>
        <v>198925.1</v>
      </c>
      <c r="D291" s="10">
        <f>'A) Base RI'!W291</f>
        <v>-1708.82</v>
      </c>
      <c r="E291" s="32">
        <f>'A) Base RI'!X291</f>
        <v>0</v>
      </c>
      <c r="F291" s="32">
        <f>'A) Base RI'!Y291</f>
        <v>-8.43</v>
      </c>
      <c r="G291" s="2">
        <f t="shared" si="28"/>
        <v>197207.85</v>
      </c>
      <c r="H291" s="10">
        <f>+'A) Base RI'!E291</f>
        <v>0</v>
      </c>
      <c r="I291" s="10">
        <f>+'A) Base RI'!F291</f>
        <v>0</v>
      </c>
      <c r="J291" s="10">
        <f>+'A) Base RI'!G291+'A) Base RI'!H291+'A) Base RI'!I291</f>
        <v>1105.3036627087945</v>
      </c>
      <c r="K291" s="10">
        <f>+'A) Base RI'!J291</f>
        <v>0</v>
      </c>
      <c r="L291" s="10">
        <f>+'A) Base RI'!K291</f>
        <v>2485.4699999999998</v>
      </c>
      <c r="M291" s="10">
        <f>+'A) Base RI'!L291</f>
        <v>49.5</v>
      </c>
      <c r="N291" s="10">
        <f>+'A) Base RI'!R291</f>
        <v>362.93</v>
      </c>
      <c r="O291" s="10">
        <f t="shared" si="29"/>
        <v>16264</v>
      </c>
      <c r="P291" s="10">
        <f>+'A) Base RI'!M291</f>
        <v>16264</v>
      </c>
      <c r="Q291" s="35">
        <f>'A) Base RI'!Z291</f>
        <v>1</v>
      </c>
      <c r="R291" s="2">
        <f t="shared" si="30"/>
        <v>217475.05366270879</v>
      </c>
      <c r="S291" s="34">
        <f>+'A) Base RI'!U291</f>
        <v>79</v>
      </c>
      <c r="T291" s="2">
        <f t="shared" si="31"/>
        <v>201161.55366270879</v>
      </c>
      <c r="U291" s="2">
        <f t="shared" si="32"/>
        <v>2752.8487805406176</v>
      </c>
      <c r="V291" s="10">
        <f>+'A) Base RI'!P291</f>
        <v>1173</v>
      </c>
      <c r="W291" s="10">
        <f>+'A) Base RI'!Q291</f>
        <v>867.85</v>
      </c>
      <c r="X291" s="10">
        <f>+'A) Base RI'!S291</f>
        <v>798.8</v>
      </c>
      <c r="Y291" s="2">
        <f t="shared" si="33"/>
        <v>2839.6499999999996</v>
      </c>
      <c r="Z291" s="10">
        <f>+'A) Base RI'!O291</f>
        <v>0</v>
      </c>
      <c r="AA291" s="10">
        <f>'A) Base RI'!V291</f>
        <v>139</v>
      </c>
    </row>
    <row r="292" spans="1:27" x14ac:dyDescent="0.25">
      <c r="A292" s="8">
        <f>'A) Base RI'!A292</f>
        <v>5909</v>
      </c>
      <c r="B292" s="33" t="str">
        <f>'A) Base RI'!B292</f>
        <v>Cheseaux-Noréaz</v>
      </c>
      <c r="C292" s="10">
        <f>'A) Base RI'!C292+'A) Base RI'!D292</f>
        <v>1799812.4100000001</v>
      </c>
      <c r="D292" s="10">
        <f>'A) Base RI'!W292</f>
        <v>-174.35</v>
      </c>
      <c r="E292" s="32">
        <f>'A) Base RI'!X292</f>
        <v>-37138.800000000003</v>
      </c>
      <c r="F292" s="32">
        <f>'A) Base RI'!Y292</f>
        <v>-125.62</v>
      </c>
      <c r="G292" s="2">
        <f t="shared" si="28"/>
        <v>1762373.64</v>
      </c>
      <c r="H292" s="10">
        <f>+'A) Base RI'!E292</f>
        <v>0</v>
      </c>
      <c r="I292" s="10">
        <f>+'A) Base RI'!F292</f>
        <v>0</v>
      </c>
      <c r="J292" s="10">
        <f>+'A) Base RI'!G292+'A) Base RI'!H292+'A) Base RI'!I292</f>
        <v>18123.624593495933</v>
      </c>
      <c r="K292" s="10">
        <f>+'A) Base RI'!J292</f>
        <v>0</v>
      </c>
      <c r="L292" s="10">
        <f>+'A) Base RI'!K292</f>
        <v>18439.009999999998</v>
      </c>
      <c r="M292" s="10">
        <f>+'A) Base RI'!L292</f>
        <v>747.45</v>
      </c>
      <c r="N292" s="10">
        <f>+'A) Base RI'!R292</f>
        <v>0</v>
      </c>
      <c r="O292" s="10">
        <f t="shared" si="29"/>
        <v>150561</v>
      </c>
      <c r="P292" s="10">
        <f>+'A) Base RI'!M292</f>
        <v>150561</v>
      </c>
      <c r="Q292" s="35">
        <f>'A) Base RI'!Z292</f>
        <v>1</v>
      </c>
      <c r="R292" s="2">
        <f t="shared" si="30"/>
        <v>1950244.7245934957</v>
      </c>
      <c r="S292" s="34">
        <f>+'A) Base RI'!U292</f>
        <v>70</v>
      </c>
      <c r="T292" s="2">
        <f t="shared" si="31"/>
        <v>1798936.2745934958</v>
      </c>
      <c r="U292" s="2">
        <f t="shared" si="32"/>
        <v>27860.638922764225</v>
      </c>
      <c r="V292" s="10">
        <f>+'A) Base RI'!P292</f>
        <v>60298.1</v>
      </c>
      <c r="W292" s="10">
        <f>+'A) Base RI'!Q292</f>
        <v>132481.75</v>
      </c>
      <c r="X292" s="10">
        <f>+'A) Base RI'!S292</f>
        <v>75092.149999999994</v>
      </c>
      <c r="Y292" s="2">
        <f t="shared" si="33"/>
        <v>267872</v>
      </c>
      <c r="Z292" s="10">
        <f>+'A) Base RI'!O292</f>
        <v>11017.75</v>
      </c>
      <c r="AA292" s="10">
        <f>'A) Base RI'!V292</f>
        <v>705</v>
      </c>
    </row>
    <row r="293" spans="1:27" x14ac:dyDescent="0.25">
      <c r="A293" s="8">
        <f>'A) Base RI'!A293</f>
        <v>5910</v>
      </c>
      <c r="B293" s="33" t="str">
        <f>'A) Base RI'!B293</f>
        <v>Cronay</v>
      </c>
      <c r="C293" s="10">
        <f>'A) Base RI'!C293+'A) Base RI'!D293</f>
        <v>739550.51</v>
      </c>
      <c r="D293" s="10">
        <f>'A) Base RI'!W293</f>
        <v>-10986.44</v>
      </c>
      <c r="E293" s="32">
        <f>'A) Base RI'!X293</f>
        <v>0</v>
      </c>
      <c r="F293" s="32">
        <f>'A) Base RI'!Y293</f>
        <v>-4.93</v>
      </c>
      <c r="G293" s="2">
        <f t="shared" si="28"/>
        <v>728559.14</v>
      </c>
      <c r="H293" s="10">
        <f>+'A) Base RI'!E293</f>
        <v>0</v>
      </c>
      <c r="I293" s="10">
        <f>+'A) Base RI'!F293</f>
        <v>2210</v>
      </c>
      <c r="J293" s="10">
        <f>+'A) Base RI'!G293+'A) Base RI'!H293+'A) Base RI'!I293</f>
        <v>5429.560857315355</v>
      </c>
      <c r="K293" s="10">
        <f>+'A) Base RI'!J293</f>
        <v>0</v>
      </c>
      <c r="L293" s="10">
        <f>+'A) Base RI'!K293</f>
        <v>4762.8100000000004</v>
      </c>
      <c r="M293" s="10">
        <f>+'A) Base RI'!L293</f>
        <v>0</v>
      </c>
      <c r="N293" s="10">
        <f>+'A) Base RI'!R293</f>
        <v>6153.75</v>
      </c>
      <c r="O293" s="10">
        <f t="shared" si="29"/>
        <v>49435.7</v>
      </c>
      <c r="P293" s="10">
        <f>+'A) Base RI'!M293</f>
        <v>49435.7</v>
      </c>
      <c r="Q293" s="35">
        <f>'A) Base RI'!Z293</f>
        <v>1</v>
      </c>
      <c r="R293" s="2">
        <f t="shared" si="30"/>
        <v>796550.96085731534</v>
      </c>
      <c r="S293" s="34">
        <f>+'A) Base RI'!U293</f>
        <v>79</v>
      </c>
      <c r="T293" s="2">
        <f t="shared" si="31"/>
        <v>744905.26085731538</v>
      </c>
      <c r="U293" s="2">
        <f t="shared" si="32"/>
        <v>10082.92355515589</v>
      </c>
      <c r="V293" s="10">
        <f>+'A) Base RI'!P293</f>
        <v>2399.6999999999998</v>
      </c>
      <c r="W293" s="10">
        <f>+'A) Base RI'!Q293</f>
        <v>5667.95</v>
      </c>
      <c r="X293" s="10">
        <f>+'A) Base RI'!S293</f>
        <v>382.7</v>
      </c>
      <c r="Y293" s="2">
        <f t="shared" si="33"/>
        <v>8450.35</v>
      </c>
      <c r="Z293" s="10">
        <f>+'A) Base RI'!O293</f>
        <v>0</v>
      </c>
      <c r="AA293" s="10">
        <f>'A) Base RI'!V293</f>
        <v>380</v>
      </c>
    </row>
    <row r="294" spans="1:27" x14ac:dyDescent="0.25">
      <c r="A294" s="8">
        <f>'A) Base RI'!A294</f>
        <v>5911</v>
      </c>
      <c r="B294" s="33" t="str">
        <f>'A) Base RI'!B294</f>
        <v>Cuarny</v>
      </c>
      <c r="C294" s="10">
        <f>'A) Base RI'!C294+'A) Base RI'!D294</f>
        <v>528264.06000000006</v>
      </c>
      <c r="D294" s="10">
        <f>'A) Base RI'!W294</f>
        <v>-2478.67</v>
      </c>
      <c r="E294" s="32">
        <f>'A) Base RI'!X294</f>
        <v>0</v>
      </c>
      <c r="F294" s="32">
        <f>'A) Base RI'!Y294</f>
        <v>-134.75</v>
      </c>
      <c r="G294" s="2">
        <f t="shared" si="28"/>
        <v>525650.64</v>
      </c>
      <c r="H294" s="10">
        <f>+'A) Base RI'!E294</f>
        <v>0</v>
      </c>
      <c r="I294" s="10">
        <f>+'A) Base RI'!F294</f>
        <v>1520</v>
      </c>
      <c r="J294" s="10">
        <f>+'A) Base RI'!G294+'A) Base RI'!H294+'A) Base RI'!I294</f>
        <v>692.25861340309916</v>
      </c>
      <c r="K294" s="10">
        <f>+'A) Base RI'!J294</f>
        <v>0</v>
      </c>
      <c r="L294" s="10">
        <f>+'A) Base RI'!K294</f>
        <v>1590.82</v>
      </c>
      <c r="M294" s="10">
        <f>+'A) Base RI'!L294</f>
        <v>827.05</v>
      </c>
      <c r="N294" s="10">
        <f>+'A) Base RI'!R294</f>
        <v>0</v>
      </c>
      <c r="O294" s="10">
        <f t="shared" si="29"/>
        <v>29255.95</v>
      </c>
      <c r="P294" s="10">
        <f>+'A) Base RI'!M294</f>
        <v>29255.95</v>
      </c>
      <c r="Q294" s="35">
        <f>'A) Base RI'!Z294</f>
        <v>1</v>
      </c>
      <c r="R294" s="2">
        <f t="shared" si="30"/>
        <v>559536.71861340303</v>
      </c>
      <c r="S294" s="34">
        <f>+'A) Base RI'!U294</f>
        <v>79</v>
      </c>
      <c r="T294" s="2">
        <f t="shared" si="31"/>
        <v>527933.71861340303</v>
      </c>
      <c r="U294" s="2">
        <f t="shared" si="32"/>
        <v>7082.7432735873799</v>
      </c>
      <c r="V294" s="10">
        <f>+'A) Base RI'!P294</f>
        <v>683.5</v>
      </c>
      <c r="W294" s="10">
        <f>+'A) Base RI'!Q294</f>
        <v>3004.05</v>
      </c>
      <c r="X294" s="10">
        <f>+'A) Base RI'!S294</f>
        <v>6901.1</v>
      </c>
      <c r="Y294" s="2">
        <f t="shared" si="33"/>
        <v>10588.650000000001</v>
      </c>
      <c r="Z294" s="10">
        <f>+'A) Base RI'!O294</f>
        <v>0</v>
      </c>
      <c r="AA294" s="10">
        <f>'A) Base RI'!V294</f>
        <v>241</v>
      </c>
    </row>
    <row r="295" spans="1:27" x14ac:dyDescent="0.25">
      <c r="A295" s="8">
        <f>'A) Base RI'!A295</f>
        <v>5912</v>
      </c>
      <c r="B295" s="33" t="str">
        <f>'A) Base RI'!B295</f>
        <v>Démoret</v>
      </c>
      <c r="C295" s="10">
        <f>'A) Base RI'!C295+'A) Base RI'!D295</f>
        <v>240150.66999999998</v>
      </c>
      <c r="D295" s="10">
        <f>'A) Base RI'!W295</f>
        <v>-3258.73</v>
      </c>
      <c r="E295" s="32">
        <f>'A) Base RI'!X295</f>
        <v>0</v>
      </c>
      <c r="F295" s="32">
        <f>'A) Base RI'!Y295</f>
        <v>0</v>
      </c>
      <c r="G295" s="2">
        <f t="shared" si="28"/>
        <v>236891.93999999997</v>
      </c>
      <c r="H295" s="10">
        <f>+'A) Base RI'!E295</f>
        <v>0</v>
      </c>
      <c r="I295" s="10">
        <f>+'A) Base RI'!F295</f>
        <v>880</v>
      </c>
      <c r="J295" s="10">
        <f>+'A) Base RI'!G295+'A) Base RI'!H295+'A) Base RI'!I295</f>
        <v>689.3999115739831</v>
      </c>
      <c r="K295" s="10">
        <f>+'A) Base RI'!J295</f>
        <v>0</v>
      </c>
      <c r="L295" s="10">
        <f>+'A) Base RI'!K295</f>
        <v>1364.52</v>
      </c>
      <c r="M295" s="10">
        <f>+'A) Base RI'!L295</f>
        <v>0</v>
      </c>
      <c r="N295" s="10">
        <f>+'A) Base RI'!R295</f>
        <v>0</v>
      </c>
      <c r="O295" s="10">
        <f t="shared" si="29"/>
        <v>18259.7</v>
      </c>
      <c r="P295" s="10">
        <f>+'A) Base RI'!M295</f>
        <v>18259.7</v>
      </c>
      <c r="Q295" s="35">
        <f>'A) Base RI'!Z295</f>
        <v>1</v>
      </c>
      <c r="R295" s="2">
        <f t="shared" si="30"/>
        <v>258085.55991157395</v>
      </c>
      <c r="S295" s="34">
        <f>+'A) Base RI'!U295</f>
        <v>81</v>
      </c>
      <c r="T295" s="2">
        <f t="shared" si="31"/>
        <v>238945.85991157393</v>
      </c>
      <c r="U295" s="2">
        <f t="shared" si="32"/>
        <v>3186.2414803898018</v>
      </c>
      <c r="V295" s="10">
        <f>+'A) Base RI'!P295</f>
        <v>0</v>
      </c>
      <c r="W295" s="10">
        <f>+'A) Base RI'!Q295</f>
        <v>6050</v>
      </c>
      <c r="X295" s="10">
        <f>+'A) Base RI'!S295</f>
        <v>8210.35</v>
      </c>
      <c r="Y295" s="2">
        <f t="shared" si="33"/>
        <v>14260.35</v>
      </c>
      <c r="Z295" s="10">
        <f>+'A) Base RI'!O295</f>
        <v>0</v>
      </c>
      <c r="AA295" s="10">
        <f>'A) Base RI'!V295</f>
        <v>146</v>
      </c>
    </row>
    <row r="296" spans="1:27" x14ac:dyDescent="0.25">
      <c r="A296" s="8">
        <f>'A) Base RI'!A296</f>
        <v>5913</v>
      </c>
      <c r="B296" s="33" t="str">
        <f>'A) Base RI'!B296</f>
        <v>Donneloye</v>
      </c>
      <c r="C296" s="10">
        <f>'A) Base RI'!C296+'A) Base RI'!D296</f>
        <v>1333757.17</v>
      </c>
      <c r="D296" s="10">
        <f>'A) Base RI'!W296</f>
        <v>-9610.66</v>
      </c>
      <c r="E296" s="32">
        <f>'A) Base RI'!X296</f>
        <v>0</v>
      </c>
      <c r="F296" s="32">
        <f>'A) Base RI'!Y296</f>
        <v>-273.58999999999997</v>
      </c>
      <c r="G296" s="2">
        <f t="shared" si="28"/>
        <v>1323872.92</v>
      </c>
      <c r="H296" s="10">
        <f>+'A) Base RI'!E296</f>
        <v>0</v>
      </c>
      <c r="I296" s="10">
        <f>+'A) Base RI'!F296</f>
        <v>0</v>
      </c>
      <c r="J296" s="10">
        <f>+'A) Base RI'!G296+'A) Base RI'!H296+'A) Base RI'!I296</f>
        <v>19487.312226079408</v>
      </c>
      <c r="K296" s="10">
        <f>+'A) Base RI'!J296</f>
        <v>0</v>
      </c>
      <c r="L296" s="10">
        <f>+'A) Base RI'!K296</f>
        <v>12589.86</v>
      </c>
      <c r="M296" s="10">
        <f>+'A) Base RI'!L296</f>
        <v>2569.65</v>
      </c>
      <c r="N296" s="10">
        <f>+'A) Base RI'!R296</f>
        <v>48.89</v>
      </c>
      <c r="O296" s="10">
        <f t="shared" si="29"/>
        <v>104015.3</v>
      </c>
      <c r="P296" s="10">
        <f>+'A) Base RI'!M296</f>
        <v>104015.3</v>
      </c>
      <c r="Q296" s="35">
        <f>'A) Base RI'!Z296</f>
        <v>1</v>
      </c>
      <c r="R296" s="2">
        <f t="shared" si="30"/>
        <v>1462583.9322260793</v>
      </c>
      <c r="S296" s="34">
        <f>+'A) Base RI'!U296</f>
        <v>73</v>
      </c>
      <c r="T296" s="2">
        <f t="shared" si="31"/>
        <v>1355998.9822260793</v>
      </c>
      <c r="U296" s="2">
        <f t="shared" si="32"/>
        <v>20035.3963318641</v>
      </c>
      <c r="V296" s="10">
        <f>+'A) Base RI'!P296</f>
        <v>19742.599999999999</v>
      </c>
      <c r="W296" s="10">
        <f>+'A) Base RI'!Q296</f>
        <v>38560.35</v>
      </c>
      <c r="X296" s="10">
        <f>+'A) Base RI'!S296</f>
        <v>19462.25</v>
      </c>
      <c r="Y296" s="2">
        <f t="shared" si="33"/>
        <v>77765.2</v>
      </c>
      <c r="Z296" s="10">
        <f>+'A) Base RI'!O296</f>
        <v>20008.099999999999</v>
      </c>
      <c r="AA296" s="10">
        <f>'A) Base RI'!V296</f>
        <v>813</v>
      </c>
    </row>
    <row r="297" spans="1:27" x14ac:dyDescent="0.25">
      <c r="A297" s="8">
        <f>'A) Base RI'!A297</f>
        <v>5914</v>
      </c>
      <c r="B297" s="33" t="str">
        <f>'A) Base RI'!B297</f>
        <v>Ependes</v>
      </c>
      <c r="C297" s="10">
        <f>'A) Base RI'!C297+'A) Base RI'!D297</f>
        <v>680657.93</v>
      </c>
      <c r="D297" s="10">
        <f>'A) Base RI'!W297</f>
        <v>-2404.36</v>
      </c>
      <c r="E297" s="32">
        <f>'A) Base RI'!X297</f>
        <v>0</v>
      </c>
      <c r="F297" s="32">
        <f>'A) Base RI'!Y297</f>
        <v>0</v>
      </c>
      <c r="G297" s="2">
        <f t="shared" si="28"/>
        <v>678253.57000000007</v>
      </c>
      <c r="H297" s="10">
        <f>+'A) Base RI'!E297</f>
        <v>0</v>
      </c>
      <c r="I297" s="10">
        <f>+'A) Base RI'!F297</f>
        <v>2100</v>
      </c>
      <c r="J297" s="10">
        <f>+'A) Base RI'!G297+'A) Base RI'!H297+'A) Base RI'!I297</f>
        <v>18238.381818181817</v>
      </c>
      <c r="K297" s="10">
        <f>+'A) Base RI'!J297</f>
        <v>0</v>
      </c>
      <c r="L297" s="10">
        <f>+'A) Base RI'!K297</f>
        <v>12582.57</v>
      </c>
      <c r="M297" s="10">
        <f>+'A) Base RI'!L297</f>
        <v>1258.0999999999999</v>
      </c>
      <c r="N297" s="10">
        <f>+'A) Base RI'!R297</f>
        <v>0</v>
      </c>
      <c r="O297" s="10">
        <f t="shared" si="29"/>
        <v>50334.15</v>
      </c>
      <c r="P297" s="10">
        <f>+'A) Base RI'!M297</f>
        <v>50334.15</v>
      </c>
      <c r="Q297" s="35">
        <f>'A) Base RI'!Z297</f>
        <v>1</v>
      </c>
      <c r="R297" s="2">
        <f t="shared" si="30"/>
        <v>762766.77181818185</v>
      </c>
      <c r="S297" s="34">
        <f>+'A) Base RI'!U297</f>
        <v>75</v>
      </c>
      <c r="T297" s="2">
        <f t="shared" si="31"/>
        <v>709074.52181818185</v>
      </c>
      <c r="U297" s="2">
        <f t="shared" si="32"/>
        <v>10170.223624242424</v>
      </c>
      <c r="V297" s="10">
        <f>+'A) Base RI'!P297</f>
        <v>890.45</v>
      </c>
      <c r="W297" s="10">
        <f>+'A) Base RI'!Q297</f>
        <v>24700</v>
      </c>
      <c r="X297" s="10">
        <f>+'A) Base RI'!S297</f>
        <v>12129.45</v>
      </c>
      <c r="Y297" s="2">
        <f t="shared" si="33"/>
        <v>37719.9</v>
      </c>
      <c r="Z297" s="10">
        <f>+'A) Base RI'!O297</f>
        <v>0</v>
      </c>
      <c r="AA297" s="10">
        <f>'A) Base RI'!V297</f>
        <v>361</v>
      </c>
    </row>
    <row r="298" spans="1:27" x14ac:dyDescent="0.25">
      <c r="A298" s="8">
        <f>'A) Base RI'!A298</f>
        <v>5919</v>
      </c>
      <c r="B298" s="33" t="str">
        <f>'A) Base RI'!B298</f>
        <v>Mathod</v>
      </c>
      <c r="C298" s="10">
        <f>'A) Base RI'!C298+'A) Base RI'!D298</f>
        <v>1049064.58</v>
      </c>
      <c r="D298" s="10">
        <f>'A) Base RI'!W298</f>
        <v>-38968.370000000003</v>
      </c>
      <c r="E298" s="32">
        <f>'A) Base RI'!X298</f>
        <v>0</v>
      </c>
      <c r="F298" s="32">
        <f>'A) Base RI'!Y298</f>
        <v>-144.69999999999999</v>
      </c>
      <c r="G298" s="2">
        <f t="shared" si="28"/>
        <v>1009951.5100000001</v>
      </c>
      <c r="H298" s="10">
        <f>+'A) Base RI'!E298</f>
        <v>0</v>
      </c>
      <c r="I298" s="10">
        <f>+'A) Base RI'!F298</f>
        <v>3630</v>
      </c>
      <c r="J298" s="10">
        <f>+'A) Base RI'!G298+'A) Base RI'!H298+'A) Base RI'!I298</f>
        <v>14653.680471092077</v>
      </c>
      <c r="K298" s="10">
        <f>+'A) Base RI'!J298</f>
        <v>0</v>
      </c>
      <c r="L298" s="10">
        <f>+'A) Base RI'!K298</f>
        <v>11999.1</v>
      </c>
      <c r="M298" s="10">
        <f>+'A) Base RI'!L298</f>
        <v>5527.7</v>
      </c>
      <c r="N298" s="10">
        <f>+'A) Base RI'!R298</f>
        <v>11208.01</v>
      </c>
      <c r="O298" s="10">
        <f t="shared" si="29"/>
        <v>92175</v>
      </c>
      <c r="P298" s="10">
        <f>+'A) Base RI'!M298</f>
        <v>110610</v>
      </c>
      <c r="Q298" s="35">
        <f>'A) Base RI'!Z298</f>
        <v>1.2</v>
      </c>
      <c r="R298" s="2">
        <f t="shared" si="30"/>
        <v>1149145.0004710921</v>
      </c>
      <c r="S298" s="34">
        <f>+'A) Base RI'!U298</f>
        <v>72</v>
      </c>
      <c r="T298" s="2">
        <f t="shared" si="31"/>
        <v>1047812.3004710922</v>
      </c>
      <c r="U298" s="2">
        <f t="shared" si="32"/>
        <v>15960.347228765168</v>
      </c>
      <c r="V298" s="10">
        <f>+'A) Base RI'!P298</f>
        <v>0</v>
      </c>
      <c r="W298" s="10">
        <f>+'A) Base RI'!Q298</f>
        <v>19790.849999999999</v>
      </c>
      <c r="X298" s="10">
        <f>+'A) Base RI'!S298</f>
        <v>0</v>
      </c>
      <c r="Y298" s="2">
        <f t="shared" si="33"/>
        <v>19790.849999999999</v>
      </c>
      <c r="Z298" s="10">
        <f>+'A) Base RI'!O298</f>
        <v>8491.2000000000007</v>
      </c>
      <c r="AA298" s="10">
        <f>'A) Base RI'!V298</f>
        <v>617</v>
      </c>
    </row>
    <row r="299" spans="1:27" x14ac:dyDescent="0.25">
      <c r="A299" s="8">
        <f>'A) Base RI'!A299</f>
        <v>5921</v>
      </c>
      <c r="B299" s="33" t="str">
        <f>'A) Base RI'!B299</f>
        <v>Molondin</v>
      </c>
      <c r="C299" s="10">
        <f>'A) Base RI'!C299+'A) Base RI'!D299</f>
        <v>368299.75</v>
      </c>
      <c r="D299" s="10">
        <f>'A) Base RI'!W299</f>
        <v>-10074.469999999999</v>
      </c>
      <c r="E299" s="32">
        <f>'A) Base RI'!X299</f>
        <v>0</v>
      </c>
      <c r="F299" s="32">
        <f>'A) Base RI'!Y299</f>
        <v>-0.06</v>
      </c>
      <c r="G299" s="2">
        <f t="shared" si="28"/>
        <v>358225.22000000003</v>
      </c>
      <c r="H299" s="10">
        <f>+'A) Base RI'!E299</f>
        <v>0</v>
      </c>
      <c r="I299" s="10">
        <f>+'A) Base RI'!F299</f>
        <v>0</v>
      </c>
      <c r="J299" s="10">
        <f>+'A) Base RI'!G299+'A) Base RI'!H299+'A) Base RI'!I299</f>
        <v>16011.78244252309</v>
      </c>
      <c r="K299" s="10">
        <f>+'A) Base RI'!J299</f>
        <v>0</v>
      </c>
      <c r="L299" s="10">
        <f>+'A) Base RI'!K299</f>
        <v>16675.400000000001</v>
      </c>
      <c r="M299" s="10">
        <f>+'A) Base RI'!L299</f>
        <v>0</v>
      </c>
      <c r="N299" s="10">
        <f>+'A) Base RI'!R299</f>
        <v>11622.85</v>
      </c>
      <c r="O299" s="10">
        <f t="shared" si="29"/>
        <v>28681</v>
      </c>
      <c r="P299" s="10">
        <f>+'A) Base RI'!M299</f>
        <v>28681</v>
      </c>
      <c r="Q299" s="35">
        <f>'A) Base RI'!Z299</f>
        <v>1</v>
      </c>
      <c r="R299" s="2">
        <f t="shared" si="30"/>
        <v>431216.25244252314</v>
      </c>
      <c r="S299" s="34">
        <f>+'A) Base RI'!U299</f>
        <v>81</v>
      </c>
      <c r="T299" s="2">
        <f t="shared" si="31"/>
        <v>402535.25244252314</v>
      </c>
      <c r="U299" s="2">
        <f t="shared" si="32"/>
        <v>5323.6574375620139</v>
      </c>
      <c r="V299" s="10">
        <f>+'A) Base RI'!P299</f>
        <v>3286.2</v>
      </c>
      <c r="W299" s="10">
        <f>+'A) Base RI'!Q299</f>
        <v>17480.8</v>
      </c>
      <c r="X299" s="10">
        <f>+'A) Base RI'!S299</f>
        <v>3177.3</v>
      </c>
      <c r="Y299" s="2">
        <f t="shared" si="33"/>
        <v>23944.3</v>
      </c>
      <c r="Z299" s="10">
        <f>+'A) Base RI'!O299</f>
        <v>0</v>
      </c>
      <c r="AA299" s="10">
        <f>'A) Base RI'!V299</f>
        <v>232</v>
      </c>
    </row>
    <row r="300" spans="1:27" x14ac:dyDescent="0.25">
      <c r="A300" s="8">
        <f>'A) Base RI'!A300</f>
        <v>5922</v>
      </c>
      <c r="B300" s="33" t="str">
        <f>'A) Base RI'!B300</f>
        <v>Montagny-près-Yverdon</v>
      </c>
      <c r="C300" s="10">
        <f>'A) Base RI'!C300+'A) Base RI'!D300</f>
        <v>1686589.11</v>
      </c>
      <c r="D300" s="10">
        <f>'A) Base RI'!W300</f>
        <v>-59801.45</v>
      </c>
      <c r="E300" s="32">
        <f>'A) Base RI'!X300</f>
        <v>0</v>
      </c>
      <c r="F300" s="32">
        <f>'A) Base RI'!Y300</f>
        <v>-63.37</v>
      </c>
      <c r="G300" s="2">
        <f t="shared" si="28"/>
        <v>1626724.29</v>
      </c>
      <c r="H300" s="10">
        <f>+'A) Base RI'!E300</f>
        <v>0</v>
      </c>
      <c r="I300" s="10">
        <f>+'A) Base RI'!F300</f>
        <v>0</v>
      </c>
      <c r="J300" s="10">
        <f>+'A) Base RI'!G300+'A) Base RI'!H300+'A) Base RI'!I300</f>
        <v>548349.75131409441</v>
      </c>
      <c r="K300" s="10">
        <f>+'A) Base RI'!J300</f>
        <v>0</v>
      </c>
      <c r="L300" s="10">
        <f>+'A) Base RI'!K300</f>
        <v>44718.02</v>
      </c>
      <c r="M300" s="10">
        <f>+'A) Base RI'!L300</f>
        <v>44958.05</v>
      </c>
      <c r="N300" s="10">
        <f>+'A) Base RI'!R300</f>
        <v>26802.41</v>
      </c>
      <c r="O300" s="10">
        <f t="shared" si="29"/>
        <v>303272.0625</v>
      </c>
      <c r="P300" s="10">
        <f>+'A) Base RI'!M300</f>
        <v>242617.65</v>
      </c>
      <c r="Q300" s="35">
        <f>'A) Base RI'!Z300</f>
        <v>0.8</v>
      </c>
      <c r="R300" s="2">
        <f t="shared" si="30"/>
        <v>2594824.5838140943</v>
      </c>
      <c r="S300" s="34">
        <f>+'A) Base RI'!U300</f>
        <v>61</v>
      </c>
      <c r="T300" s="2">
        <f t="shared" si="31"/>
        <v>2246594.4713140945</v>
      </c>
      <c r="U300" s="2">
        <f t="shared" si="32"/>
        <v>42538.107931378596</v>
      </c>
      <c r="V300" s="10">
        <f>+'A) Base RI'!P300</f>
        <v>0</v>
      </c>
      <c r="W300" s="10">
        <f>+'A) Base RI'!Q300</f>
        <v>82569</v>
      </c>
      <c r="X300" s="10">
        <f>+'A) Base RI'!S300</f>
        <v>78110.600000000006</v>
      </c>
      <c r="Y300" s="2">
        <f t="shared" si="33"/>
        <v>160679.6</v>
      </c>
      <c r="Z300" s="10">
        <f>+'A) Base RI'!O300</f>
        <v>151849.95000000001</v>
      </c>
      <c r="AA300" s="10">
        <f>'A) Base RI'!V300</f>
        <v>717</v>
      </c>
    </row>
    <row r="301" spans="1:27" x14ac:dyDescent="0.25">
      <c r="A301" s="8">
        <f>'A) Base RI'!A301</f>
        <v>5923</v>
      </c>
      <c r="B301" s="33" t="str">
        <f>'A) Base RI'!B301</f>
        <v>Oppens</v>
      </c>
      <c r="C301" s="10">
        <f>'A) Base RI'!C301+'A) Base RI'!D301</f>
        <v>323692.01</v>
      </c>
      <c r="D301" s="10">
        <f>'A) Base RI'!W301</f>
        <v>-2651.85</v>
      </c>
      <c r="E301" s="32">
        <f>'A) Base RI'!X301</f>
        <v>0</v>
      </c>
      <c r="F301" s="32">
        <f>'A) Base RI'!Y301</f>
        <v>0</v>
      </c>
      <c r="G301" s="2">
        <f t="shared" si="28"/>
        <v>321040.16000000003</v>
      </c>
      <c r="H301" s="10">
        <f>+'A) Base RI'!E301</f>
        <v>0</v>
      </c>
      <c r="I301" s="10">
        <f>+'A) Base RI'!F301</f>
        <v>0</v>
      </c>
      <c r="J301" s="10">
        <f>+'A) Base RI'!G301+'A) Base RI'!H301+'A) Base RI'!I301</f>
        <v>4819.3953821968953</v>
      </c>
      <c r="K301" s="10">
        <f>+'A) Base RI'!J301</f>
        <v>0</v>
      </c>
      <c r="L301" s="10">
        <f>+'A) Base RI'!K301</f>
        <v>25452.47</v>
      </c>
      <c r="M301" s="10">
        <f>+'A) Base RI'!L301</f>
        <v>0</v>
      </c>
      <c r="N301" s="10">
        <f>+'A) Base RI'!R301</f>
        <v>0</v>
      </c>
      <c r="O301" s="10">
        <f t="shared" si="29"/>
        <v>23806.400000000001</v>
      </c>
      <c r="P301" s="10">
        <f>+'A) Base RI'!M301</f>
        <v>23806.400000000001</v>
      </c>
      <c r="Q301" s="35">
        <f>'A) Base RI'!Z301</f>
        <v>1</v>
      </c>
      <c r="R301" s="2">
        <f t="shared" si="30"/>
        <v>375118.4253821969</v>
      </c>
      <c r="S301" s="34">
        <f>+'A) Base RI'!U301</f>
        <v>81</v>
      </c>
      <c r="T301" s="2">
        <f t="shared" si="31"/>
        <v>351312.02538219688</v>
      </c>
      <c r="U301" s="2">
        <f t="shared" si="32"/>
        <v>4631.0916713851466</v>
      </c>
      <c r="V301" s="10">
        <f>+'A) Base RI'!P301</f>
        <v>1055.0999999999999</v>
      </c>
      <c r="W301" s="10">
        <f>+'A) Base RI'!Q301</f>
        <v>7810</v>
      </c>
      <c r="X301" s="10">
        <f>+'A) Base RI'!S301</f>
        <v>4693.3999999999996</v>
      </c>
      <c r="Y301" s="2">
        <f t="shared" si="33"/>
        <v>13558.5</v>
      </c>
      <c r="Z301" s="10">
        <f>+'A) Base RI'!O301</f>
        <v>10712</v>
      </c>
      <c r="AA301" s="10">
        <f>'A) Base RI'!V301</f>
        <v>187</v>
      </c>
    </row>
    <row r="302" spans="1:27" x14ac:dyDescent="0.25">
      <c r="A302" s="8">
        <f>'A) Base RI'!A302</f>
        <v>5924</v>
      </c>
      <c r="B302" s="33" t="str">
        <f>'A) Base RI'!B302</f>
        <v>Orges</v>
      </c>
      <c r="C302" s="10">
        <f>'A) Base RI'!C302+'A) Base RI'!D302</f>
        <v>703846.18</v>
      </c>
      <c r="D302" s="10">
        <f>'A) Base RI'!W302</f>
        <v>-4226.53</v>
      </c>
      <c r="E302" s="32">
        <f>'A) Base RI'!X302</f>
        <v>0</v>
      </c>
      <c r="F302" s="32">
        <f>'A) Base RI'!Y302</f>
        <v>0</v>
      </c>
      <c r="G302" s="2">
        <f t="shared" si="28"/>
        <v>699619.65</v>
      </c>
      <c r="H302" s="10">
        <f>+'A) Base RI'!E302</f>
        <v>0</v>
      </c>
      <c r="I302" s="10">
        <f>+'A) Base RI'!F302</f>
        <v>0</v>
      </c>
      <c r="J302" s="10">
        <f>+'A) Base RI'!G302+'A) Base RI'!H302+'A) Base RI'!I302</f>
        <v>24217.108372591007</v>
      </c>
      <c r="K302" s="10">
        <f>+'A) Base RI'!J302</f>
        <v>0</v>
      </c>
      <c r="L302" s="10">
        <f>+'A) Base RI'!K302</f>
        <v>5902.97</v>
      </c>
      <c r="M302" s="10">
        <f>+'A) Base RI'!L302</f>
        <v>0</v>
      </c>
      <c r="N302" s="10">
        <f>+'A) Base RI'!R302</f>
        <v>0</v>
      </c>
      <c r="O302" s="10">
        <f t="shared" si="29"/>
        <v>39610.050000000003</v>
      </c>
      <c r="P302" s="10">
        <f>+'A) Base RI'!M302</f>
        <v>39610.050000000003</v>
      </c>
      <c r="Q302" s="35">
        <f>'A) Base RI'!Z302</f>
        <v>1</v>
      </c>
      <c r="R302" s="2">
        <f t="shared" si="30"/>
        <v>769349.77837259101</v>
      </c>
      <c r="S302" s="34">
        <f>+'A) Base RI'!U302</f>
        <v>74</v>
      </c>
      <c r="T302" s="2">
        <f t="shared" si="31"/>
        <v>729739.72837259097</v>
      </c>
      <c r="U302" s="2">
        <f t="shared" si="32"/>
        <v>10396.618626656635</v>
      </c>
      <c r="V302" s="10">
        <f>+'A) Base RI'!P302</f>
        <v>0</v>
      </c>
      <c r="W302" s="10">
        <f>+'A) Base RI'!Q302</f>
        <v>10670</v>
      </c>
      <c r="X302" s="10">
        <f>+'A) Base RI'!S302</f>
        <v>10441.700000000001</v>
      </c>
      <c r="Y302" s="2">
        <f t="shared" si="33"/>
        <v>21111.7</v>
      </c>
      <c r="Z302" s="10">
        <f>+'A) Base RI'!O302</f>
        <v>29.65</v>
      </c>
      <c r="AA302" s="10">
        <f>'A) Base RI'!V302</f>
        <v>336</v>
      </c>
    </row>
    <row r="303" spans="1:27" x14ac:dyDescent="0.25">
      <c r="A303" s="8">
        <f>'A) Base RI'!A303</f>
        <v>5925</v>
      </c>
      <c r="B303" s="33" t="str">
        <f>'A) Base RI'!B303</f>
        <v>Orzens</v>
      </c>
      <c r="C303" s="10">
        <f>'A) Base RI'!C303+'A) Base RI'!D303</f>
        <v>355279.41000000003</v>
      </c>
      <c r="D303" s="10">
        <f>'A) Base RI'!W303</f>
        <v>-19908.71</v>
      </c>
      <c r="E303" s="32">
        <f>'A) Base RI'!X303</f>
        <v>0</v>
      </c>
      <c r="F303" s="32">
        <f>'A) Base RI'!Y303</f>
        <v>0</v>
      </c>
      <c r="G303" s="2">
        <f t="shared" si="28"/>
        <v>335370.7</v>
      </c>
      <c r="H303" s="10">
        <f>+'A) Base RI'!E303</f>
        <v>0</v>
      </c>
      <c r="I303" s="10">
        <f>+'A) Base RI'!F303</f>
        <v>1230</v>
      </c>
      <c r="J303" s="10">
        <f>+'A) Base RI'!G303+'A) Base RI'!H303+'A) Base RI'!I303</f>
        <v>3296.4256490239486</v>
      </c>
      <c r="K303" s="10">
        <f>+'A) Base RI'!J303</f>
        <v>0</v>
      </c>
      <c r="L303" s="10">
        <f>+'A) Base RI'!K303</f>
        <v>3689.14</v>
      </c>
      <c r="M303" s="10">
        <f>+'A) Base RI'!L303</f>
        <v>0</v>
      </c>
      <c r="N303" s="10">
        <f>+'A) Base RI'!R303</f>
        <v>2370.56</v>
      </c>
      <c r="O303" s="10">
        <f t="shared" si="29"/>
        <v>29690.2</v>
      </c>
      <c r="P303" s="10">
        <f>+'A) Base RI'!M303</f>
        <v>29690.2</v>
      </c>
      <c r="Q303" s="35">
        <f>'A) Base RI'!Z303</f>
        <v>1</v>
      </c>
      <c r="R303" s="2">
        <f t="shared" si="30"/>
        <v>375647.025649024</v>
      </c>
      <c r="S303" s="34">
        <f>+'A) Base RI'!U303</f>
        <v>79</v>
      </c>
      <c r="T303" s="2">
        <f t="shared" si="31"/>
        <v>344726.82564902399</v>
      </c>
      <c r="U303" s="2">
        <f t="shared" si="32"/>
        <v>4755.0256411268865</v>
      </c>
      <c r="V303" s="10">
        <f>+'A) Base RI'!P303</f>
        <v>0</v>
      </c>
      <c r="W303" s="10">
        <f>+'A) Base RI'!Q303</f>
        <v>8140</v>
      </c>
      <c r="X303" s="10">
        <f>+'A) Base RI'!S303</f>
        <v>0</v>
      </c>
      <c r="Y303" s="2">
        <f t="shared" si="33"/>
        <v>8140</v>
      </c>
      <c r="Z303" s="10">
        <f>+'A) Base RI'!O303</f>
        <v>0</v>
      </c>
      <c r="AA303" s="10">
        <f>'A) Base RI'!V303</f>
        <v>195</v>
      </c>
    </row>
    <row r="304" spans="1:27" x14ac:dyDescent="0.25">
      <c r="A304" s="8">
        <f>'A) Base RI'!A304</f>
        <v>5926</v>
      </c>
      <c r="B304" s="33" t="str">
        <f>'A) Base RI'!B304</f>
        <v>Pomy</v>
      </c>
      <c r="C304" s="10">
        <f>'A) Base RI'!C304+'A) Base RI'!D304</f>
        <v>1513735.41</v>
      </c>
      <c r="D304" s="10">
        <f>'A) Base RI'!W304</f>
        <v>-8421.1299999999992</v>
      </c>
      <c r="E304" s="32">
        <f>'A) Base RI'!X304</f>
        <v>0</v>
      </c>
      <c r="F304" s="32">
        <f>'A) Base RI'!Y304</f>
        <v>-45.77</v>
      </c>
      <c r="G304" s="2">
        <f t="shared" si="28"/>
        <v>1505268.51</v>
      </c>
      <c r="H304" s="10">
        <f>+'A) Base RI'!E304</f>
        <v>0</v>
      </c>
      <c r="I304" s="10">
        <f>+'A) Base RI'!F304</f>
        <v>0</v>
      </c>
      <c r="J304" s="10">
        <f>+'A) Base RI'!G304+'A) Base RI'!H304+'A) Base RI'!I304</f>
        <v>24297.324793940745</v>
      </c>
      <c r="K304" s="10">
        <f>+'A) Base RI'!J304</f>
        <v>0</v>
      </c>
      <c r="L304" s="10">
        <f>+'A) Base RI'!K304</f>
        <v>5382.81</v>
      </c>
      <c r="M304" s="10">
        <f>+'A) Base RI'!L304</f>
        <v>0</v>
      </c>
      <c r="N304" s="10">
        <f>+'A) Base RI'!R304</f>
        <v>0</v>
      </c>
      <c r="O304" s="10">
        <f t="shared" si="29"/>
        <v>116501.5</v>
      </c>
      <c r="P304" s="10">
        <f>+'A) Base RI'!M304</f>
        <v>116501.5</v>
      </c>
      <c r="Q304" s="35">
        <f>'A) Base RI'!Z304</f>
        <v>1</v>
      </c>
      <c r="R304" s="2">
        <f t="shared" si="30"/>
        <v>1651450.1447939407</v>
      </c>
      <c r="S304" s="34">
        <f>+'A) Base RI'!U304</f>
        <v>71</v>
      </c>
      <c r="T304" s="2">
        <f t="shared" si="31"/>
        <v>1534948.6447939407</v>
      </c>
      <c r="U304" s="2">
        <f t="shared" si="32"/>
        <v>23259.861194280857</v>
      </c>
      <c r="V304" s="10">
        <f>+'A) Base RI'!P304</f>
        <v>21950</v>
      </c>
      <c r="W304" s="10">
        <f>+'A) Base RI'!Q304</f>
        <v>63269.65</v>
      </c>
      <c r="X304" s="10">
        <f>+'A) Base RI'!S304</f>
        <v>3937.5</v>
      </c>
      <c r="Y304" s="2">
        <f t="shared" si="33"/>
        <v>89157.15</v>
      </c>
      <c r="Z304" s="10">
        <f>+'A) Base RI'!O304</f>
        <v>1698.35</v>
      </c>
      <c r="AA304" s="10">
        <f>'A) Base RI'!V304</f>
        <v>785</v>
      </c>
    </row>
    <row r="305" spans="1:27" x14ac:dyDescent="0.25">
      <c r="A305" s="8">
        <f>'A) Base RI'!A305</f>
        <v>5928</v>
      </c>
      <c r="B305" s="33" t="str">
        <f>'A) Base RI'!B305</f>
        <v>Rovray</v>
      </c>
      <c r="C305" s="10">
        <f>'A) Base RI'!C305+'A) Base RI'!D305</f>
        <v>294923.98</v>
      </c>
      <c r="D305" s="10">
        <f>'A) Base RI'!W305</f>
        <v>-888.5</v>
      </c>
      <c r="E305" s="32">
        <f>'A) Base RI'!X305</f>
        <v>0</v>
      </c>
      <c r="F305" s="32">
        <f>'A) Base RI'!Y305</f>
        <v>-0.9</v>
      </c>
      <c r="G305" s="2">
        <f t="shared" si="28"/>
        <v>294034.57999999996</v>
      </c>
      <c r="H305" s="10">
        <f>+'A) Base RI'!E305</f>
        <v>0</v>
      </c>
      <c r="I305" s="10">
        <f>+'A) Base RI'!F305</f>
        <v>0</v>
      </c>
      <c r="J305" s="10">
        <f>+'A) Base RI'!G305+'A) Base RI'!H305+'A) Base RI'!I305</f>
        <v>1207.5369277500542</v>
      </c>
      <c r="K305" s="10">
        <f>+'A) Base RI'!J305</f>
        <v>0</v>
      </c>
      <c r="L305" s="10">
        <f>+'A) Base RI'!K305</f>
        <v>11889.26</v>
      </c>
      <c r="M305" s="10">
        <f>+'A) Base RI'!L305</f>
        <v>0</v>
      </c>
      <c r="N305" s="10">
        <f>+'A) Base RI'!R305</f>
        <v>0</v>
      </c>
      <c r="O305" s="10">
        <f t="shared" si="29"/>
        <v>20372.8</v>
      </c>
      <c r="P305" s="10">
        <f>+'A) Base RI'!M305</f>
        <v>20372.8</v>
      </c>
      <c r="Q305" s="35">
        <f>'A) Base RI'!Z305</f>
        <v>1</v>
      </c>
      <c r="R305" s="2">
        <f t="shared" si="30"/>
        <v>327504.17692775</v>
      </c>
      <c r="S305" s="34">
        <f>+'A) Base RI'!U305</f>
        <v>73</v>
      </c>
      <c r="T305" s="2">
        <f t="shared" si="31"/>
        <v>307131.37692775001</v>
      </c>
      <c r="U305" s="2">
        <f t="shared" si="32"/>
        <v>4486.3585880513701</v>
      </c>
      <c r="V305" s="10">
        <f>+'A) Base RI'!P305</f>
        <v>0</v>
      </c>
      <c r="W305" s="10">
        <f>+'A) Base RI'!Q305</f>
        <v>8307.75</v>
      </c>
      <c r="X305" s="10">
        <f>+'A) Base RI'!S305</f>
        <v>0</v>
      </c>
      <c r="Y305" s="2">
        <f t="shared" si="33"/>
        <v>8307.75</v>
      </c>
      <c r="Z305" s="10">
        <f>+'A) Base RI'!O305</f>
        <v>3441.6</v>
      </c>
      <c r="AA305" s="10">
        <f>'A) Base RI'!V305</f>
        <v>187</v>
      </c>
    </row>
    <row r="306" spans="1:27" x14ac:dyDescent="0.25">
      <c r="A306" s="8">
        <f>'A) Base RI'!A306</f>
        <v>5929</v>
      </c>
      <c r="B306" s="33" t="str">
        <f>'A) Base RI'!B306</f>
        <v>Suchy</v>
      </c>
      <c r="C306" s="10">
        <f>'A) Base RI'!C306+'A) Base RI'!D306</f>
        <v>1047877.1699999999</v>
      </c>
      <c r="D306" s="10">
        <f>'A) Base RI'!W306</f>
        <v>-6843.44</v>
      </c>
      <c r="E306" s="32">
        <f>'A) Base RI'!X306</f>
        <v>0</v>
      </c>
      <c r="F306" s="32">
        <f>'A) Base RI'!Y306</f>
        <v>0</v>
      </c>
      <c r="G306" s="2">
        <f t="shared" si="28"/>
        <v>1041033.73</v>
      </c>
      <c r="H306" s="10">
        <f>+'A) Base RI'!E306</f>
        <v>0</v>
      </c>
      <c r="I306" s="10">
        <f>+'A) Base RI'!F306</f>
        <v>0</v>
      </c>
      <c r="J306" s="10">
        <f>+'A) Base RI'!G306+'A) Base RI'!H306+'A) Base RI'!I306</f>
        <v>14560.644308943087</v>
      </c>
      <c r="K306" s="10">
        <f>+'A) Base RI'!J306</f>
        <v>41100.15</v>
      </c>
      <c r="L306" s="10">
        <f>+'A) Base RI'!K306</f>
        <v>-4821.1899999999996</v>
      </c>
      <c r="M306" s="10">
        <f>+'A) Base RI'!L306</f>
        <v>0</v>
      </c>
      <c r="N306" s="10">
        <f>+'A) Base RI'!R306</f>
        <v>0</v>
      </c>
      <c r="O306" s="10">
        <f t="shared" si="29"/>
        <v>99611.812499999985</v>
      </c>
      <c r="P306" s="10">
        <f>+'A) Base RI'!M306</f>
        <v>79689.45</v>
      </c>
      <c r="Q306" s="35">
        <f>'A) Base RI'!Z306</f>
        <v>0.8</v>
      </c>
      <c r="R306" s="2">
        <f t="shared" si="30"/>
        <v>1191485.146808943</v>
      </c>
      <c r="S306" s="34">
        <f>+'A) Base RI'!U306</f>
        <v>70</v>
      </c>
      <c r="T306" s="2">
        <f t="shared" si="31"/>
        <v>1091873.334308943</v>
      </c>
      <c r="U306" s="2">
        <f t="shared" si="32"/>
        <v>17021.216382984901</v>
      </c>
      <c r="V306" s="10">
        <f>+'A) Base RI'!P306</f>
        <v>0</v>
      </c>
      <c r="W306" s="10">
        <f>+'A) Base RI'!Q306</f>
        <v>38314.400000000001</v>
      </c>
      <c r="X306" s="10">
        <f>+'A) Base RI'!S306</f>
        <v>46879.45</v>
      </c>
      <c r="Y306" s="2">
        <f t="shared" si="33"/>
        <v>85193.85</v>
      </c>
      <c r="Z306" s="10">
        <f>+'A) Base RI'!O306</f>
        <v>5924.95</v>
      </c>
      <c r="AA306" s="10">
        <f>'A) Base RI'!V306</f>
        <v>605</v>
      </c>
    </row>
    <row r="307" spans="1:27" x14ac:dyDescent="0.25">
      <c r="A307" s="8">
        <f>'A) Base RI'!A307</f>
        <v>5930</v>
      </c>
      <c r="B307" s="33" t="str">
        <f>'A) Base RI'!B307</f>
        <v>Suscévaz</v>
      </c>
      <c r="C307" s="10">
        <f>'A) Base RI'!C307+'A) Base RI'!D307</f>
        <v>352648.88</v>
      </c>
      <c r="D307" s="10">
        <f>'A) Base RI'!W307</f>
        <v>-38.82</v>
      </c>
      <c r="E307" s="32">
        <f>'A) Base RI'!X307</f>
        <v>0</v>
      </c>
      <c r="F307" s="32">
        <f>'A) Base RI'!Y307</f>
        <v>0</v>
      </c>
      <c r="G307" s="2">
        <f t="shared" si="28"/>
        <v>352610.06</v>
      </c>
      <c r="H307" s="10">
        <f>+'A) Base RI'!E307</f>
        <v>0</v>
      </c>
      <c r="I307" s="10">
        <f>+'A) Base RI'!F307</f>
        <v>0</v>
      </c>
      <c r="J307" s="10">
        <f>+'A) Base RI'!G307+'A) Base RI'!H307+'A) Base RI'!I307</f>
        <v>210.55351170568562</v>
      </c>
      <c r="K307" s="10">
        <f>+'A) Base RI'!J307</f>
        <v>0</v>
      </c>
      <c r="L307" s="10">
        <f>+'A) Base RI'!K307</f>
        <v>6175.96</v>
      </c>
      <c r="M307" s="10">
        <f>+'A) Base RI'!L307</f>
        <v>228.6</v>
      </c>
      <c r="N307" s="10">
        <f>+'A) Base RI'!R307</f>
        <v>0</v>
      </c>
      <c r="O307" s="10">
        <f t="shared" si="29"/>
        <v>26957.8</v>
      </c>
      <c r="P307" s="10">
        <f>+'A) Base RI'!M307</f>
        <v>26957.8</v>
      </c>
      <c r="Q307" s="35">
        <f>'A) Base RI'!Z307</f>
        <v>1</v>
      </c>
      <c r="R307" s="2">
        <f t="shared" si="30"/>
        <v>386182.97351170564</v>
      </c>
      <c r="S307" s="34">
        <f>+'A) Base RI'!U307</f>
        <v>72</v>
      </c>
      <c r="T307" s="2">
        <f t="shared" si="31"/>
        <v>358996.57351170568</v>
      </c>
      <c r="U307" s="2">
        <f t="shared" si="32"/>
        <v>5363.6524098848004</v>
      </c>
      <c r="V307" s="10">
        <f>+'A) Base RI'!P307</f>
        <v>2348.6</v>
      </c>
      <c r="W307" s="10">
        <f>+'A) Base RI'!Q307</f>
        <v>28111.45</v>
      </c>
      <c r="X307" s="10">
        <f>+'A) Base RI'!S307</f>
        <v>11061.6</v>
      </c>
      <c r="Y307" s="2">
        <f t="shared" si="33"/>
        <v>41521.65</v>
      </c>
      <c r="Z307" s="10">
        <f>+'A) Base RI'!O307</f>
        <v>0</v>
      </c>
      <c r="AA307" s="10">
        <f>'A) Base RI'!V307</f>
        <v>200</v>
      </c>
    </row>
    <row r="308" spans="1:27" x14ac:dyDescent="0.25">
      <c r="A308" s="8">
        <f>'A) Base RI'!A308</f>
        <v>5931</v>
      </c>
      <c r="B308" s="33" t="str">
        <f>'A) Base RI'!B308</f>
        <v>Treycovagnes</v>
      </c>
      <c r="C308" s="10">
        <f>'A) Base RI'!C308+'A) Base RI'!D308</f>
        <v>940005.42999999993</v>
      </c>
      <c r="D308" s="10">
        <f>'A) Base RI'!W308</f>
        <v>-8822.74</v>
      </c>
      <c r="E308" s="32">
        <f>'A) Base RI'!X308</f>
        <v>0</v>
      </c>
      <c r="F308" s="32">
        <f>'A) Base RI'!Y308</f>
        <v>-0.28000000000000003</v>
      </c>
      <c r="G308" s="2">
        <f t="shared" si="28"/>
        <v>931182.40999999992</v>
      </c>
      <c r="H308" s="10">
        <f>+'A) Base RI'!E308</f>
        <v>0</v>
      </c>
      <c r="I308" s="10">
        <f>+'A) Base RI'!F308</f>
        <v>0</v>
      </c>
      <c r="J308" s="10">
        <f>+'A) Base RI'!G308+'A) Base RI'!H308+'A) Base RI'!I308</f>
        <v>-3939.3378350515463</v>
      </c>
      <c r="K308" s="10">
        <f>+'A) Base RI'!J308</f>
        <v>0</v>
      </c>
      <c r="L308" s="10">
        <f>+'A) Base RI'!K308</f>
        <v>3430.86</v>
      </c>
      <c r="M308" s="10">
        <f>+'A) Base RI'!L308</f>
        <v>1039.8</v>
      </c>
      <c r="N308" s="10">
        <f>+'A) Base RI'!R308</f>
        <v>4322.1099999999997</v>
      </c>
      <c r="O308" s="10">
        <f t="shared" si="29"/>
        <v>72198.399999999994</v>
      </c>
      <c r="P308" s="10">
        <f>+'A) Base RI'!M308</f>
        <v>72198.399999999994</v>
      </c>
      <c r="Q308" s="35">
        <f>'A) Base RI'!Z308</f>
        <v>1</v>
      </c>
      <c r="R308" s="2">
        <f t="shared" si="30"/>
        <v>1008234.2421649484</v>
      </c>
      <c r="S308" s="34">
        <f>+'A) Base RI'!U308</f>
        <v>75</v>
      </c>
      <c r="T308" s="2">
        <f t="shared" si="31"/>
        <v>934996.0421649483</v>
      </c>
      <c r="U308" s="2">
        <f t="shared" si="32"/>
        <v>13443.123228865978</v>
      </c>
      <c r="V308" s="10">
        <f>+'A) Base RI'!P308</f>
        <v>0</v>
      </c>
      <c r="W308" s="10">
        <f>+'A) Base RI'!Q308</f>
        <v>60753</v>
      </c>
      <c r="X308" s="10">
        <f>+'A) Base RI'!S308</f>
        <v>48827.25</v>
      </c>
      <c r="Y308" s="2">
        <f t="shared" si="33"/>
        <v>109580.25</v>
      </c>
      <c r="Z308" s="10">
        <f>+'A) Base RI'!O308</f>
        <v>4225.45</v>
      </c>
      <c r="AA308" s="10">
        <f>'A) Base RI'!V308</f>
        <v>456</v>
      </c>
    </row>
    <row r="309" spans="1:27" x14ac:dyDescent="0.25">
      <c r="A309" s="8">
        <f>'A) Base RI'!A309</f>
        <v>5932</v>
      </c>
      <c r="B309" s="33" t="str">
        <f>'A) Base RI'!B309</f>
        <v>Ursins</v>
      </c>
      <c r="C309" s="10">
        <f>'A) Base RI'!C309+'A) Base RI'!D309</f>
        <v>474380.05</v>
      </c>
      <c r="D309" s="10">
        <f>'A) Base RI'!W309</f>
        <v>-5065.78</v>
      </c>
      <c r="E309" s="32">
        <f>'A) Base RI'!X309</f>
        <v>0</v>
      </c>
      <c r="F309" s="32">
        <f>'A) Base RI'!Y309</f>
        <v>-9.44</v>
      </c>
      <c r="G309" s="2">
        <f t="shared" si="28"/>
        <v>469304.82999999996</v>
      </c>
      <c r="H309" s="10">
        <f>+'A) Base RI'!E309</f>
        <v>0</v>
      </c>
      <c r="I309" s="10">
        <f>+'A) Base RI'!F309</f>
        <v>1260</v>
      </c>
      <c r="J309" s="10">
        <f>+'A) Base RI'!G309+'A) Base RI'!H309+'A) Base RI'!I309</f>
        <v>741.52549898167013</v>
      </c>
      <c r="K309" s="10">
        <f>+'A) Base RI'!J309</f>
        <v>27678.7</v>
      </c>
      <c r="L309" s="10">
        <f>+'A) Base RI'!K309</f>
        <v>6457.67</v>
      </c>
      <c r="M309" s="10">
        <f>+'A) Base RI'!L309</f>
        <v>-20</v>
      </c>
      <c r="N309" s="10">
        <f>+'A) Base RI'!R309</f>
        <v>0</v>
      </c>
      <c r="O309" s="10">
        <f t="shared" si="29"/>
        <v>29290.7</v>
      </c>
      <c r="P309" s="10">
        <f>+'A) Base RI'!M309</f>
        <v>29290.7</v>
      </c>
      <c r="Q309" s="35">
        <f>'A) Base RI'!Z309</f>
        <v>1</v>
      </c>
      <c r="R309" s="2">
        <f t="shared" si="30"/>
        <v>534713.42549898161</v>
      </c>
      <c r="S309" s="34">
        <f>+'A) Base RI'!U309</f>
        <v>78</v>
      </c>
      <c r="T309" s="2">
        <f t="shared" si="31"/>
        <v>504182.7254989816</v>
      </c>
      <c r="U309" s="2">
        <f t="shared" si="32"/>
        <v>6855.3003269100209</v>
      </c>
      <c r="V309" s="10">
        <f>+'A) Base RI'!P309</f>
        <v>0</v>
      </c>
      <c r="W309" s="10">
        <f>+'A) Base RI'!Q309</f>
        <v>26400</v>
      </c>
      <c r="X309" s="10">
        <f>+'A) Base RI'!S309</f>
        <v>0</v>
      </c>
      <c r="Y309" s="2">
        <f t="shared" si="33"/>
        <v>26400</v>
      </c>
      <c r="Z309" s="10">
        <f>+'A) Base RI'!O309</f>
        <v>0</v>
      </c>
      <c r="AA309" s="10">
        <f>'A) Base RI'!V309</f>
        <v>218</v>
      </c>
    </row>
    <row r="310" spans="1:27" x14ac:dyDescent="0.25">
      <c r="A310" s="8">
        <f>'A) Base RI'!A310</f>
        <v>5933</v>
      </c>
      <c r="B310" s="33" t="str">
        <f>'A) Base RI'!B310</f>
        <v>Valeyres-sous-Montagny</v>
      </c>
      <c r="C310" s="10">
        <f>'A) Base RI'!C310+'A) Base RI'!D310</f>
        <v>1386909.3</v>
      </c>
      <c r="D310" s="10">
        <f>'A) Base RI'!W310</f>
        <v>-28680.9</v>
      </c>
      <c r="E310" s="32">
        <f>'A) Base RI'!X310</f>
        <v>-16652.5</v>
      </c>
      <c r="F310" s="32">
        <f>'A) Base RI'!Y310</f>
        <v>-0.03</v>
      </c>
      <c r="G310" s="2">
        <f t="shared" si="28"/>
        <v>1341575.8700000001</v>
      </c>
      <c r="H310" s="10">
        <f>+'A) Base RI'!E310</f>
        <v>0</v>
      </c>
      <c r="I310" s="10">
        <f>+'A) Base RI'!F310</f>
        <v>0</v>
      </c>
      <c r="J310" s="10">
        <f>+'A) Base RI'!G310+'A) Base RI'!H310+'A) Base RI'!I310</f>
        <v>18590.160870520987</v>
      </c>
      <c r="K310" s="10">
        <f>+'A) Base RI'!J310</f>
        <v>0</v>
      </c>
      <c r="L310" s="10">
        <f>+'A) Base RI'!K310</f>
        <v>18722.27</v>
      </c>
      <c r="M310" s="10">
        <f>+'A) Base RI'!L310</f>
        <v>2228.0500000000002</v>
      </c>
      <c r="N310" s="10">
        <f>+'A) Base RI'!R310</f>
        <v>3897.83</v>
      </c>
      <c r="O310" s="10">
        <f t="shared" si="29"/>
        <v>103184.15</v>
      </c>
      <c r="P310" s="10">
        <f>+'A) Base RI'!M310</f>
        <v>103184.15</v>
      </c>
      <c r="Q310" s="35">
        <f>'A) Base RI'!Z310</f>
        <v>1</v>
      </c>
      <c r="R310" s="2">
        <f t="shared" si="30"/>
        <v>1488198.3308705213</v>
      </c>
      <c r="S310" s="34">
        <f>+'A) Base RI'!U310</f>
        <v>72</v>
      </c>
      <c r="T310" s="2">
        <f t="shared" si="31"/>
        <v>1382786.1308705213</v>
      </c>
      <c r="U310" s="2">
        <f t="shared" si="32"/>
        <v>20669.421262090575</v>
      </c>
      <c r="V310" s="10">
        <f>+'A) Base RI'!P310</f>
        <v>27970</v>
      </c>
      <c r="W310" s="10">
        <f>+'A) Base RI'!Q310</f>
        <v>67289.649999999994</v>
      </c>
      <c r="X310" s="10">
        <f>+'A) Base RI'!S310</f>
        <v>32187.7</v>
      </c>
      <c r="Y310" s="2">
        <f t="shared" si="33"/>
        <v>127447.34999999999</v>
      </c>
      <c r="Z310" s="10">
        <f>+'A) Base RI'!O310</f>
        <v>9457.15</v>
      </c>
      <c r="AA310" s="10">
        <f>'A) Base RI'!V310</f>
        <v>705</v>
      </c>
    </row>
    <row r="311" spans="1:27" x14ac:dyDescent="0.25">
      <c r="A311" s="8">
        <f>'A) Base RI'!A311</f>
        <v>5934</v>
      </c>
      <c r="B311" s="33" t="str">
        <f>'A) Base RI'!B311</f>
        <v>Valeyres-sous-Ursins</v>
      </c>
      <c r="C311" s="10">
        <f>'A) Base RI'!C311+'A) Base RI'!D311</f>
        <v>515681.25</v>
      </c>
      <c r="D311" s="10">
        <f>'A) Base RI'!W311</f>
        <v>-14077.18</v>
      </c>
      <c r="E311" s="32">
        <f>'A) Base RI'!X311</f>
        <v>-1500.95</v>
      </c>
      <c r="F311" s="32">
        <f>'A) Base RI'!Y311</f>
        <v>0</v>
      </c>
      <c r="G311" s="2">
        <f t="shared" si="28"/>
        <v>500103.12</v>
      </c>
      <c r="H311" s="10">
        <f>+'A) Base RI'!E311</f>
        <v>0</v>
      </c>
      <c r="I311" s="10">
        <f>+'A) Base RI'!F311</f>
        <v>1350</v>
      </c>
      <c r="J311" s="10">
        <f>+'A) Base RI'!G311+'A) Base RI'!H311+'A) Base RI'!I311</f>
        <v>9153.9929563292408</v>
      </c>
      <c r="K311" s="10">
        <f>+'A) Base RI'!J311</f>
        <v>0</v>
      </c>
      <c r="L311" s="10">
        <f>+'A) Base RI'!K311</f>
        <v>-1577</v>
      </c>
      <c r="M311" s="10">
        <f>+'A) Base RI'!L311</f>
        <v>0</v>
      </c>
      <c r="N311" s="10">
        <f>+'A) Base RI'!R311</f>
        <v>0</v>
      </c>
      <c r="O311" s="10">
        <f t="shared" si="29"/>
        <v>27512.3</v>
      </c>
      <c r="P311" s="10">
        <f>+'A) Base RI'!M311</f>
        <v>27512.3</v>
      </c>
      <c r="Q311" s="35">
        <f>'A) Base RI'!Z311</f>
        <v>1</v>
      </c>
      <c r="R311" s="2">
        <f t="shared" si="30"/>
        <v>536542.4129563293</v>
      </c>
      <c r="S311" s="34">
        <f>+'A) Base RI'!U311</f>
        <v>79</v>
      </c>
      <c r="T311" s="2">
        <f t="shared" si="31"/>
        <v>507680.11295632925</v>
      </c>
      <c r="U311" s="2">
        <f t="shared" si="32"/>
        <v>6791.6761133712571</v>
      </c>
      <c r="V311" s="10">
        <f>+'A) Base RI'!P311</f>
        <v>0</v>
      </c>
      <c r="W311" s="10">
        <f>+'A) Base RI'!Q311</f>
        <v>0</v>
      </c>
      <c r="X311" s="10">
        <f>+'A) Base RI'!S311</f>
        <v>0</v>
      </c>
      <c r="Y311" s="2">
        <f t="shared" si="33"/>
        <v>0</v>
      </c>
      <c r="Z311" s="10">
        <f>+'A) Base RI'!O311</f>
        <v>0</v>
      </c>
      <c r="AA311" s="10">
        <f>'A) Base RI'!V311</f>
        <v>238</v>
      </c>
    </row>
    <row r="312" spans="1:27" x14ac:dyDescent="0.25">
      <c r="A312" s="8">
        <f>'A) Base RI'!A312</f>
        <v>5935</v>
      </c>
      <c r="B312" s="33" t="str">
        <f>'A) Base RI'!B312</f>
        <v>Villars-Epeney</v>
      </c>
      <c r="C312" s="10">
        <f>'A) Base RI'!C312+'A) Base RI'!D312</f>
        <v>314373.45</v>
      </c>
      <c r="D312" s="10">
        <f>'A) Base RI'!W312</f>
        <v>-25.31</v>
      </c>
      <c r="E312" s="32">
        <f>'A) Base RI'!X312</f>
        <v>0</v>
      </c>
      <c r="F312" s="32">
        <f>'A) Base RI'!Y312</f>
        <v>-113.2</v>
      </c>
      <c r="G312" s="2">
        <f t="shared" si="28"/>
        <v>314234.94</v>
      </c>
      <c r="H312" s="10">
        <f>+'A) Base RI'!E312</f>
        <v>0</v>
      </c>
      <c r="I312" s="10">
        <f>+'A) Base RI'!F312</f>
        <v>0</v>
      </c>
      <c r="J312" s="10">
        <f>+'A) Base RI'!G312+'A) Base RI'!H312+'A) Base RI'!I312</f>
        <v>-345.63685863874355</v>
      </c>
      <c r="K312" s="10">
        <f>+'A) Base RI'!J312</f>
        <v>0</v>
      </c>
      <c r="L312" s="10">
        <f>+'A) Base RI'!K312</f>
        <v>342.79</v>
      </c>
      <c r="M312" s="10">
        <f>+'A) Base RI'!L312</f>
        <v>0</v>
      </c>
      <c r="N312" s="10">
        <f>+'A) Base RI'!R312</f>
        <v>0</v>
      </c>
      <c r="O312" s="10">
        <f t="shared" si="29"/>
        <v>17548.95</v>
      </c>
      <c r="P312" s="10">
        <f>+'A) Base RI'!M312</f>
        <v>17548.95</v>
      </c>
      <c r="Q312" s="35">
        <f>'A) Base RI'!Z312</f>
        <v>1</v>
      </c>
      <c r="R312" s="2">
        <f t="shared" si="30"/>
        <v>331781.04314136127</v>
      </c>
      <c r="S312" s="34">
        <f>+'A) Base RI'!U312</f>
        <v>60</v>
      </c>
      <c r="T312" s="2">
        <f t="shared" si="31"/>
        <v>314232.09314136126</v>
      </c>
      <c r="U312" s="2">
        <f t="shared" si="32"/>
        <v>5529.6840523560213</v>
      </c>
      <c r="V312" s="10">
        <f>+'A) Base RI'!P312</f>
        <v>0</v>
      </c>
      <c r="W312" s="10">
        <f>+'A) Base RI'!Q312</f>
        <v>9460</v>
      </c>
      <c r="X312" s="10">
        <f>+'A) Base RI'!S312</f>
        <v>0</v>
      </c>
      <c r="Y312" s="2">
        <f t="shared" si="33"/>
        <v>9460</v>
      </c>
      <c r="Z312" s="10">
        <f>+'A) Base RI'!O312</f>
        <v>0</v>
      </c>
      <c r="AA312" s="10">
        <f>'A) Base RI'!V312</f>
        <v>106</v>
      </c>
    </row>
    <row r="313" spans="1:27" x14ac:dyDescent="0.25">
      <c r="A313" s="8">
        <f>'A) Base RI'!A313</f>
        <v>5937</v>
      </c>
      <c r="B313" s="33" t="str">
        <f>'A) Base RI'!B313</f>
        <v>Vugelles-La Mothe</v>
      </c>
      <c r="C313" s="10">
        <f>'A) Base RI'!C313+'A) Base RI'!D313</f>
        <v>190558.22</v>
      </c>
      <c r="D313" s="10">
        <f>'A) Base RI'!W313</f>
        <v>-21573.83</v>
      </c>
      <c r="E313" s="32">
        <f>'A) Base RI'!X313</f>
        <v>0</v>
      </c>
      <c r="F313" s="32">
        <f>'A) Base RI'!Y313</f>
        <v>-6.5</v>
      </c>
      <c r="G313" s="2">
        <f t="shared" si="28"/>
        <v>168977.89</v>
      </c>
      <c r="H313" s="10">
        <f>+'A) Base RI'!E313</f>
        <v>0</v>
      </c>
      <c r="I313" s="10">
        <f>+'A) Base RI'!F313</f>
        <v>0</v>
      </c>
      <c r="J313" s="10">
        <f>+'A) Base RI'!G313+'A) Base RI'!H313+'A) Base RI'!I313</f>
        <v>2158.7081978319784</v>
      </c>
      <c r="K313" s="10">
        <f>+'A) Base RI'!J313</f>
        <v>0</v>
      </c>
      <c r="L313" s="10">
        <f>+'A) Base RI'!K313</f>
        <v>7962.12</v>
      </c>
      <c r="M313" s="10">
        <f>+'A) Base RI'!L313</f>
        <v>0</v>
      </c>
      <c r="N313" s="10">
        <f>+'A) Base RI'!R313</f>
        <v>6370.53</v>
      </c>
      <c r="O313" s="10">
        <f t="shared" si="29"/>
        <v>15139.428571428572</v>
      </c>
      <c r="P313" s="10">
        <f>+'A) Base RI'!M313</f>
        <v>10597.6</v>
      </c>
      <c r="Q313" s="35">
        <f>'A) Base RI'!Z313</f>
        <v>0.7</v>
      </c>
      <c r="R313" s="2">
        <f t="shared" si="30"/>
        <v>200608.67676926058</v>
      </c>
      <c r="S313" s="34">
        <f>+'A) Base RI'!U313</f>
        <v>70</v>
      </c>
      <c r="T313" s="2">
        <f t="shared" si="31"/>
        <v>185469.248197832</v>
      </c>
      <c r="U313" s="2">
        <f t="shared" si="32"/>
        <v>2865.8382395608655</v>
      </c>
      <c r="V313" s="10">
        <f>+'A) Base RI'!P313</f>
        <v>0</v>
      </c>
      <c r="W313" s="10">
        <f>+'A) Base RI'!Q313</f>
        <v>8800</v>
      </c>
      <c r="X313" s="10">
        <f>+'A) Base RI'!S313</f>
        <v>3179.15</v>
      </c>
      <c r="Y313" s="2">
        <f t="shared" si="33"/>
        <v>11979.15</v>
      </c>
      <c r="Z313" s="10">
        <f>+'A) Base RI'!O313</f>
        <v>0</v>
      </c>
      <c r="AA313" s="10">
        <f>'A) Base RI'!V313</f>
        <v>122</v>
      </c>
    </row>
    <row r="314" spans="1:27" x14ac:dyDescent="0.25">
      <c r="A314" s="8">
        <f>'A) Base RI'!A314</f>
        <v>5938</v>
      </c>
      <c r="B314" s="33" t="str">
        <f>'A) Base RI'!B314</f>
        <v>Yverdon-les-Bains</v>
      </c>
      <c r="C314" s="10">
        <f>'A) Base RI'!C314+'A) Base RI'!D314</f>
        <v>49252404.660000004</v>
      </c>
      <c r="D314" s="10">
        <f>'A) Base RI'!W314</f>
        <v>-1775449.4</v>
      </c>
      <c r="E314" s="32">
        <f>'A) Base RI'!X314</f>
        <v>0</v>
      </c>
      <c r="F314" s="32">
        <f>'A) Base RI'!Y314</f>
        <v>-1785.47</v>
      </c>
      <c r="G314" s="2">
        <f t="shared" si="28"/>
        <v>47475169.790000007</v>
      </c>
      <c r="H314" s="10">
        <f>+'A) Base RI'!E314</f>
        <v>0</v>
      </c>
      <c r="I314" s="10">
        <f>+'A) Base RI'!F314</f>
        <v>0</v>
      </c>
      <c r="J314" s="10">
        <f>+'A) Base RI'!G314+'A) Base RI'!H314+'A) Base RI'!I314</f>
        <v>4907218.3205809128</v>
      </c>
      <c r="K314" s="10">
        <f>+'A) Base RI'!J314</f>
        <v>54518.1</v>
      </c>
      <c r="L314" s="10">
        <f>+'A) Base RI'!K314</f>
        <v>1806437.57</v>
      </c>
      <c r="M314" s="10">
        <f>+'A) Base RI'!L314</f>
        <v>425568.5</v>
      </c>
      <c r="N314" s="10">
        <f>+'A) Base RI'!R314</f>
        <v>550038.11</v>
      </c>
      <c r="O314" s="10">
        <f t="shared" si="29"/>
        <v>4012014.05</v>
      </c>
      <c r="P314" s="10">
        <f>+'A) Base RI'!M314</f>
        <v>4012014.05</v>
      </c>
      <c r="Q314" s="35">
        <f>'A) Base RI'!Z314</f>
        <v>1</v>
      </c>
      <c r="R314" s="2">
        <f t="shared" si="30"/>
        <v>59230964.440580919</v>
      </c>
      <c r="S314" s="34">
        <f>+'A) Base RI'!U314</f>
        <v>76.5</v>
      </c>
      <c r="T314" s="2">
        <f t="shared" si="31"/>
        <v>54793381.890580922</v>
      </c>
      <c r="U314" s="2">
        <f t="shared" si="32"/>
        <v>774260.97307948919</v>
      </c>
      <c r="V314" s="10">
        <f>+'A) Base RI'!P314</f>
        <v>576234.1</v>
      </c>
      <c r="W314" s="10">
        <f>+'A) Base RI'!Q314</f>
        <v>1588795.5</v>
      </c>
      <c r="X314" s="10">
        <f>+'A) Base RI'!S314</f>
        <v>1224891.45</v>
      </c>
      <c r="Y314" s="2">
        <f t="shared" si="33"/>
        <v>3389921.05</v>
      </c>
      <c r="Z314" s="10">
        <f>+'A) Base RI'!O314</f>
        <v>3841277.35</v>
      </c>
      <c r="AA314" s="10">
        <f>'A) Base RI'!V314</f>
        <v>30208</v>
      </c>
    </row>
    <row r="315" spans="1:27" x14ac:dyDescent="0.25">
      <c r="A315" s="8">
        <f>'A) Base RI'!A315</f>
        <v>5939</v>
      </c>
      <c r="B315" s="33" t="str">
        <f>'A) Base RI'!B315</f>
        <v>Yvonand</v>
      </c>
      <c r="C315" s="10">
        <f>'A) Base RI'!C315+'A) Base RI'!D315</f>
        <v>6015408.1199999992</v>
      </c>
      <c r="D315" s="10">
        <f>'A) Base RI'!W315</f>
        <v>-98748.44</v>
      </c>
      <c r="E315" s="32">
        <f>'A) Base RI'!X315</f>
        <v>0</v>
      </c>
      <c r="F315" s="32">
        <f>'A) Base RI'!Y315</f>
        <v>-48.69</v>
      </c>
      <c r="G315" s="2">
        <f t="shared" si="28"/>
        <v>5916610.9899999984</v>
      </c>
      <c r="H315" s="10">
        <f>+'A) Base RI'!E315</f>
        <v>0</v>
      </c>
      <c r="I315" s="10">
        <f>+'A) Base RI'!F315</f>
        <v>0</v>
      </c>
      <c r="J315" s="10">
        <f>+'A) Base RI'!G315+'A) Base RI'!H315+'A) Base RI'!I315</f>
        <v>179884.31399435885</v>
      </c>
      <c r="K315" s="10">
        <f>+'A) Base RI'!J315</f>
        <v>0</v>
      </c>
      <c r="L315" s="10">
        <f>+'A) Base RI'!K315</f>
        <v>144476.23000000001</v>
      </c>
      <c r="M315" s="10">
        <f>+'A) Base RI'!L315</f>
        <v>25823.5</v>
      </c>
      <c r="N315" s="10">
        <f>+'A) Base RI'!R315</f>
        <v>11318.65</v>
      </c>
      <c r="O315" s="10">
        <f t="shared" si="29"/>
        <v>493472.7</v>
      </c>
      <c r="P315" s="10">
        <f>+'A) Base RI'!M315</f>
        <v>493472.7</v>
      </c>
      <c r="Q315" s="35">
        <f>'A) Base RI'!Z315</f>
        <v>1</v>
      </c>
      <c r="R315" s="2">
        <f t="shared" si="30"/>
        <v>6771586.3839943586</v>
      </c>
      <c r="S315" s="34">
        <f>+'A) Base RI'!U315</f>
        <v>73</v>
      </c>
      <c r="T315" s="2">
        <f t="shared" si="31"/>
        <v>6252290.1839943584</v>
      </c>
      <c r="U315" s="2">
        <f t="shared" si="32"/>
        <v>92761.457314991218</v>
      </c>
      <c r="V315" s="10">
        <f>+'A) Base RI'!P315</f>
        <v>596048.19999999995</v>
      </c>
      <c r="W315" s="10">
        <f>+'A) Base RI'!Q315</f>
        <v>368409.59999999998</v>
      </c>
      <c r="X315" s="10">
        <f>+'A) Base RI'!S315</f>
        <v>229532.4</v>
      </c>
      <c r="Y315" s="2">
        <f t="shared" si="33"/>
        <v>1193990.2</v>
      </c>
      <c r="Z315" s="10">
        <f>+'A) Base RI'!O315</f>
        <v>112071.65</v>
      </c>
      <c r="AA315" s="10">
        <f>'A) Base RI'!V315</f>
        <v>3351</v>
      </c>
    </row>
    <row r="316" spans="1:27" x14ac:dyDescent="0.25">
      <c r="A316" s="7"/>
      <c r="B316" s="25">
        <f>COUNTA(B7:B315)</f>
        <v>309</v>
      </c>
      <c r="C316" s="11">
        <f t="shared" ref="C316:P316" si="34">SUM(C7:C315)</f>
        <v>1897079561.4200006</v>
      </c>
      <c r="D316" s="11">
        <f t="shared" si="34"/>
        <v>-33716949.789999992</v>
      </c>
      <c r="E316" s="11">
        <f t="shared" si="34"/>
        <v>-97674.45</v>
      </c>
      <c r="F316" s="11">
        <f t="shared" si="34"/>
        <v>-1672780.3299999998</v>
      </c>
      <c r="G316" s="39">
        <f t="shared" si="34"/>
        <v>1861592156.8500013</v>
      </c>
      <c r="H316" s="11">
        <f t="shared" si="34"/>
        <v>0</v>
      </c>
      <c r="I316" s="11">
        <f t="shared" si="34"/>
        <v>111468.42</v>
      </c>
      <c r="J316" s="11">
        <f t="shared" si="34"/>
        <v>252622703.75333077</v>
      </c>
      <c r="K316" s="11">
        <f t="shared" si="34"/>
        <v>45854050.86999999</v>
      </c>
      <c r="L316" s="11">
        <f t="shared" si="34"/>
        <v>91136058.530000001</v>
      </c>
      <c r="M316" s="11">
        <f t="shared" si="34"/>
        <v>14479177.050000006</v>
      </c>
      <c r="N316" s="11">
        <f t="shared" si="34"/>
        <v>11164329.270000005</v>
      </c>
      <c r="O316" s="11">
        <f t="shared" si="34"/>
        <v>159760135.16200712</v>
      </c>
      <c r="P316" s="11">
        <f t="shared" si="34"/>
        <v>187023441.82000002</v>
      </c>
      <c r="Q316" s="36"/>
      <c r="R316" s="39">
        <f>SUM(R7:R315)</f>
        <v>2436720079.9053397</v>
      </c>
      <c r="S316" s="20">
        <f>R316/U316</f>
        <v>67.832230871836884</v>
      </c>
      <c r="T316" s="39">
        <f t="shared" ref="T316:Z316" si="35">SUM(T7:T315)</f>
        <v>2262369299.2733302</v>
      </c>
      <c r="U316" s="39">
        <f t="shared" si="35"/>
        <v>35922747.174706832</v>
      </c>
      <c r="V316" s="11">
        <f t="shared" si="35"/>
        <v>79528631.349999979</v>
      </c>
      <c r="W316" s="11">
        <f t="shared" si="35"/>
        <v>86125485.75</v>
      </c>
      <c r="X316" s="11">
        <f t="shared" si="35"/>
        <v>60234204.540000014</v>
      </c>
      <c r="Y316" s="39">
        <f t="shared" si="35"/>
        <v>225888321.64000005</v>
      </c>
      <c r="Z316" s="11">
        <f t="shared" si="35"/>
        <v>66677797.950000003</v>
      </c>
      <c r="AA316" s="11">
        <f>SUM(AA7:AA315)</f>
        <v>794384</v>
      </c>
    </row>
    <row r="317" spans="1:27" x14ac:dyDescent="0.25">
      <c r="C317" s="6">
        <v>1897529561.4200006</v>
      </c>
      <c r="D317" s="6">
        <v>-33716949.789999992</v>
      </c>
      <c r="E317" s="6">
        <v>-97674.45</v>
      </c>
      <c r="F317" s="6">
        <v>-1672780.3299999998</v>
      </c>
      <c r="G317" s="6">
        <v>1862042156.8500013</v>
      </c>
      <c r="H317" s="6">
        <v>0</v>
      </c>
      <c r="I317" s="6">
        <v>111468.42</v>
      </c>
      <c r="J317" s="6">
        <v>315289516.24999994</v>
      </c>
      <c r="K317" s="6">
        <v>46189901.789999984</v>
      </c>
      <c r="L317" s="6">
        <v>91136058.530000001</v>
      </c>
      <c r="M317" s="6">
        <v>14479177.050000006</v>
      </c>
      <c r="N317" s="6">
        <v>11164329.270000005</v>
      </c>
      <c r="O317" s="6">
        <v>159760135.16200712</v>
      </c>
      <c r="P317" s="6">
        <v>187023441.82000002</v>
      </c>
      <c r="Q317" s="6"/>
      <c r="R317" s="6">
        <v>2500172743.3220067</v>
      </c>
      <c r="S317" s="414">
        <v>68.000134763828029</v>
      </c>
      <c r="T317" s="6">
        <v>2325821962.690002</v>
      </c>
      <c r="U317" s="6">
        <v>36767173.359367341</v>
      </c>
      <c r="V317" s="6">
        <v>79528631.349999979</v>
      </c>
      <c r="W317" s="6">
        <v>86125485.75</v>
      </c>
      <c r="X317" s="6">
        <v>60234204.540000014</v>
      </c>
      <c r="Y317" s="6">
        <v>225888321.64000005</v>
      </c>
      <c r="Z317" s="6">
        <v>66677797.950000003</v>
      </c>
    </row>
    <row r="318" spans="1:27" x14ac:dyDescent="0.25">
      <c r="C318" s="6"/>
      <c r="I318" s="6"/>
      <c r="J318" s="6"/>
      <c r="K318" s="6"/>
      <c r="L318" s="6"/>
      <c r="M318" s="6"/>
      <c r="N318" s="6"/>
      <c r="Q318" s="13" t="s">
        <v>546</v>
      </c>
      <c r="R318" s="6">
        <f>+R317-R316</f>
        <v>63452663.416666985</v>
      </c>
      <c r="T318" s="6">
        <f>+T316-T317</f>
        <v>-63452663.416671753</v>
      </c>
      <c r="U318" s="6"/>
      <c r="V318" s="6"/>
      <c r="W318" s="6"/>
      <c r="X318" s="6"/>
      <c r="Y318" s="6"/>
      <c r="Z318" s="406"/>
    </row>
    <row r="319" spans="1:27" x14ac:dyDescent="0.25">
      <c r="C319" s="6"/>
      <c r="J319" s="6"/>
      <c r="R319" s="6"/>
      <c r="T319" s="6"/>
    </row>
    <row r="320" spans="1:27" x14ac:dyDescent="0.25">
      <c r="C320" s="6"/>
      <c r="G320" s="6"/>
      <c r="J320" s="37"/>
      <c r="R320" s="6">
        <f>+R316-'A) Base RI'!N321</f>
        <v>2436720079.9053397</v>
      </c>
      <c r="T320" s="6"/>
    </row>
    <row r="321" spans="1:18" x14ac:dyDescent="0.25">
      <c r="G321" s="6"/>
      <c r="R321" s="6"/>
    </row>
    <row r="322" spans="1:18" x14ac:dyDescent="0.25">
      <c r="G322" s="6"/>
      <c r="R322" s="37"/>
    </row>
    <row r="323" spans="1:18" x14ac:dyDescent="0.25">
      <c r="G323" s="6"/>
      <c r="R323" s="37"/>
    </row>
    <row r="324" spans="1:18" x14ac:dyDescent="0.25">
      <c r="G324" s="37"/>
    </row>
    <row r="325" spans="1:18" s="6" customFormat="1" x14ac:dyDescent="0.25">
      <c r="A325" s="5"/>
    </row>
  </sheetData>
  <mergeCells count="27">
    <mergeCell ref="Q4:Q6"/>
    <mergeCell ref="O4:O6"/>
    <mergeCell ref="V4:V5"/>
    <mergeCell ref="U4:U5"/>
    <mergeCell ref="Z4:Z5"/>
    <mergeCell ref="X4:X5"/>
    <mergeCell ref="P4:P5"/>
    <mergeCell ref="R4:R6"/>
    <mergeCell ref="AA4:AA5"/>
    <mergeCell ref="S4:S5"/>
    <mergeCell ref="W4:W5"/>
    <mergeCell ref="Y4:Y6"/>
    <mergeCell ref="T4:T6"/>
    <mergeCell ref="A4:A6"/>
    <mergeCell ref="B4:B6"/>
    <mergeCell ref="N4:N6"/>
    <mergeCell ref="C4:C5"/>
    <mergeCell ref="H4:H5"/>
    <mergeCell ref="I4:I5"/>
    <mergeCell ref="J4:J5"/>
    <mergeCell ref="G4:G5"/>
    <mergeCell ref="K4:K5"/>
    <mergeCell ref="L4:L5"/>
    <mergeCell ref="M4:M5"/>
    <mergeCell ref="D4:D6"/>
    <mergeCell ref="E4:E6"/>
    <mergeCell ref="F4:F6"/>
  </mergeCells>
  <phoneticPr fontId="0" type="noConversion"/>
  <pageMargins left="0" right="0" top="0" bottom="0" header="0.51181102362204722" footer="0.51181102362204722"/>
  <pageSetup paperSize="8" scale="70" orientation="landscape" horizontalDpi="4294967292" vertic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00B050"/>
  </sheetPr>
  <dimension ref="A1:H332"/>
  <sheetViews>
    <sheetView workbookViewId="0"/>
  </sheetViews>
  <sheetFormatPr baseColWidth="10" defaultColWidth="11" defaultRowHeight="15" x14ac:dyDescent="0.25"/>
  <cols>
    <col min="1" max="1" width="7.25" style="13" customWidth="1"/>
    <col min="2" max="2" width="17.375" style="13" bestFit="1" customWidth="1"/>
    <col min="3" max="3" width="18" style="6" customWidth="1"/>
    <col min="4" max="4" width="9.875" style="6" bestFit="1" customWidth="1"/>
    <col min="5" max="5" width="10.75" style="6" bestFit="1" customWidth="1"/>
    <col min="6" max="6" width="11.25" style="6" bestFit="1" customWidth="1"/>
    <col min="7" max="7" width="13" style="29" bestFit="1" customWidth="1"/>
    <col min="8" max="8" width="12.25" style="6" bestFit="1" customWidth="1"/>
    <col min="9" max="16384" width="11" style="13"/>
  </cols>
  <sheetData>
    <row r="1" spans="1:8" ht="21" x14ac:dyDescent="0.25">
      <c r="A1" s="52" t="s">
        <v>436</v>
      </c>
      <c r="B1" s="43"/>
      <c r="C1" s="45"/>
      <c r="D1" s="45"/>
      <c r="E1" s="45"/>
      <c r="F1" s="45"/>
      <c r="G1" s="53"/>
      <c r="H1" s="45"/>
    </row>
    <row r="3" spans="1:8" ht="60" x14ac:dyDescent="0.25">
      <c r="A3" s="485" t="s">
        <v>46</v>
      </c>
      <c r="B3" s="485" t="s">
        <v>96</v>
      </c>
      <c r="C3" s="310" t="s">
        <v>425</v>
      </c>
      <c r="D3" s="310" t="s">
        <v>194</v>
      </c>
      <c r="E3" s="482" t="s">
        <v>138</v>
      </c>
      <c r="F3" s="482" t="s">
        <v>371</v>
      </c>
      <c r="G3" s="489" t="s">
        <v>289</v>
      </c>
      <c r="H3" s="482" t="s">
        <v>422</v>
      </c>
    </row>
    <row r="4" spans="1:8" x14ac:dyDescent="0.25">
      <c r="A4" s="487"/>
      <c r="B4" s="487"/>
      <c r="C4" s="309">
        <f>Paramètres!B11</f>
        <v>0.5</v>
      </c>
      <c r="D4" s="210">
        <f>Paramètres!B12</f>
        <v>0.3</v>
      </c>
      <c r="E4" s="483"/>
      <c r="F4" s="483"/>
      <c r="G4" s="490"/>
      <c r="H4" s="483"/>
    </row>
    <row r="5" spans="1:8" x14ac:dyDescent="0.25">
      <c r="A5" s="47">
        <f>'A) Base RI'!A7</f>
        <v>5401</v>
      </c>
      <c r="B5" s="56" t="str">
        <f>'A) Base RI'!B7</f>
        <v>Aigle</v>
      </c>
      <c r="C5" s="32">
        <f>'B) D RI'!Y7</f>
        <v>2017365.1</v>
      </c>
      <c r="D5" s="14">
        <f>'B) D RI'!Z7</f>
        <v>906929.85</v>
      </c>
      <c r="E5" s="10">
        <f>C5+D5</f>
        <v>2924294.95</v>
      </c>
      <c r="F5" s="14">
        <f>'B) D RI'!U7</f>
        <v>263862.68069135805</v>
      </c>
      <c r="G5" s="278">
        <f>E5/F5</f>
        <v>11.082639433276158</v>
      </c>
      <c r="H5" s="58">
        <f>(C5*$C$4)+(D5*$D$4)</f>
        <v>1280761.5049999999</v>
      </c>
    </row>
    <row r="6" spans="1:8" x14ac:dyDescent="0.25">
      <c r="A6" s="50">
        <f>'A) Base RI'!A8</f>
        <v>5402</v>
      </c>
      <c r="B6" s="57" t="str">
        <f>'A) Base RI'!B8</f>
        <v>Bex</v>
      </c>
      <c r="C6" s="32">
        <f>'B) D RI'!Y8</f>
        <v>1673467.8</v>
      </c>
      <c r="D6" s="14">
        <f>'B) D RI'!Z8</f>
        <v>170020.55</v>
      </c>
      <c r="E6" s="10">
        <f t="shared" ref="E6:E69" si="0">C6+D6</f>
        <v>1843488.35</v>
      </c>
      <c r="F6" s="14">
        <f>'B) D RI'!U8</f>
        <v>173630.8553521127</v>
      </c>
      <c r="G6" s="278">
        <f t="shared" ref="G6:G69" si="1">E6/F6</f>
        <v>10.617285425804758</v>
      </c>
      <c r="H6" s="58">
        <f t="shared" ref="H6:H69" si="2">(C6*$C$4)+(D6*$D$4)</f>
        <v>887740.06500000006</v>
      </c>
    </row>
    <row r="7" spans="1:8" x14ac:dyDescent="0.25">
      <c r="A7" s="50">
        <f>'A) Base RI'!A9</f>
        <v>5403</v>
      </c>
      <c r="B7" s="57" t="str">
        <f>'A) Base RI'!B9</f>
        <v>Chessel</v>
      </c>
      <c r="C7" s="32">
        <f>'B) D RI'!Y9</f>
        <v>67640.7</v>
      </c>
      <c r="D7" s="14">
        <f>'B) D RI'!Z9</f>
        <v>6003.45</v>
      </c>
      <c r="E7" s="10">
        <f t="shared" si="0"/>
        <v>73644.149999999994</v>
      </c>
      <c r="F7" s="14">
        <f>'B) D RI'!U9</f>
        <v>9734.1508108108119</v>
      </c>
      <c r="G7" s="278">
        <f t="shared" si="1"/>
        <v>7.5655443840268344</v>
      </c>
      <c r="H7" s="58">
        <f t="shared" si="2"/>
        <v>35621.384999999995</v>
      </c>
    </row>
    <row r="8" spans="1:8" x14ac:dyDescent="0.25">
      <c r="A8" s="50">
        <f>'A) Base RI'!A10</f>
        <v>5404</v>
      </c>
      <c r="B8" s="57" t="str">
        <f>'A) Base RI'!B10</f>
        <v>Corbeyrier</v>
      </c>
      <c r="C8" s="32">
        <f>'B) D RI'!Y10</f>
        <v>390829.5</v>
      </c>
      <c r="D8" s="14">
        <f>'B) D RI'!Z10</f>
        <v>6541.75</v>
      </c>
      <c r="E8" s="10">
        <f t="shared" si="0"/>
        <v>397371.25</v>
      </c>
      <c r="F8" s="14">
        <f>'B) D RI'!U10</f>
        <v>10864.664095238095</v>
      </c>
      <c r="G8" s="278">
        <f t="shared" si="1"/>
        <v>36.57464662659612</v>
      </c>
      <c r="H8" s="58">
        <f t="shared" si="2"/>
        <v>197377.27499999999</v>
      </c>
    </row>
    <row r="9" spans="1:8" x14ac:dyDescent="0.25">
      <c r="A9" s="50">
        <f>'A) Base RI'!A11</f>
        <v>5405</v>
      </c>
      <c r="B9" s="57" t="str">
        <f>'A) Base RI'!B11</f>
        <v>Gryon</v>
      </c>
      <c r="C9" s="32">
        <f>'B) D RI'!Y11</f>
        <v>648198.75</v>
      </c>
      <c r="D9" s="14">
        <f>'B) D RI'!Z11</f>
        <v>0</v>
      </c>
      <c r="E9" s="10">
        <f t="shared" si="0"/>
        <v>648198.75</v>
      </c>
      <c r="F9" s="14">
        <f>'B) D RI'!U11</f>
        <v>69822.459644444432</v>
      </c>
      <c r="G9" s="278">
        <f t="shared" si="1"/>
        <v>9.2835278691242049</v>
      </c>
      <c r="H9" s="58">
        <f t="shared" si="2"/>
        <v>324099.375</v>
      </c>
    </row>
    <row r="10" spans="1:8" x14ac:dyDescent="0.25">
      <c r="A10" s="50">
        <f>'A) Base RI'!A12</f>
        <v>5406</v>
      </c>
      <c r="B10" s="57" t="str">
        <f>'A) Base RI'!B12</f>
        <v>Lavey-Morcles</v>
      </c>
      <c r="C10" s="32">
        <f>'B) D RI'!Y12</f>
        <v>153041.5</v>
      </c>
      <c r="D10" s="14">
        <f>'B) D RI'!Z12</f>
        <v>4100.5</v>
      </c>
      <c r="E10" s="10">
        <f t="shared" si="0"/>
        <v>157142</v>
      </c>
      <c r="F10" s="14">
        <f>'B) D RI'!U12</f>
        <v>21528.925666305528</v>
      </c>
      <c r="G10" s="278">
        <f t="shared" si="1"/>
        <v>7.2991101569893786</v>
      </c>
      <c r="H10" s="58">
        <f t="shared" si="2"/>
        <v>77750.899999999994</v>
      </c>
    </row>
    <row r="11" spans="1:8" x14ac:dyDescent="0.25">
      <c r="A11" s="50">
        <f>'A) Base RI'!A13</f>
        <v>5407</v>
      </c>
      <c r="B11" s="57" t="str">
        <f>'A) Base RI'!B13</f>
        <v>Leysin</v>
      </c>
      <c r="C11" s="32">
        <f>'B) D RI'!Y13</f>
        <v>689761.65</v>
      </c>
      <c r="D11" s="14">
        <f>'B) D RI'!Z13</f>
        <v>20208.75</v>
      </c>
      <c r="E11" s="10">
        <f t="shared" si="0"/>
        <v>709970.4</v>
      </c>
      <c r="F11" s="14">
        <f>'B) D RI'!U13</f>
        <v>90534.062564102569</v>
      </c>
      <c r="G11" s="278">
        <f t="shared" si="1"/>
        <v>7.8420251990493197</v>
      </c>
      <c r="H11" s="58">
        <f t="shared" si="2"/>
        <v>350943.45</v>
      </c>
    </row>
    <row r="12" spans="1:8" x14ac:dyDescent="0.25">
      <c r="A12" s="50">
        <f>'A) Base RI'!A14</f>
        <v>5408</v>
      </c>
      <c r="B12" s="57" t="str">
        <f>'A) Base RI'!B14</f>
        <v>Noville</v>
      </c>
      <c r="C12" s="32">
        <f>'B) D RI'!Y14</f>
        <v>249277.6</v>
      </c>
      <c r="D12" s="14">
        <f>'B) D RI'!Z14</f>
        <v>58557.25</v>
      </c>
      <c r="E12" s="10">
        <f t="shared" si="0"/>
        <v>307834.84999999998</v>
      </c>
      <c r="F12" s="14">
        <f>'B) D RI'!U14</f>
        <v>31735.72989384289</v>
      </c>
      <c r="G12" s="278">
        <f t="shared" si="1"/>
        <v>9.6999454882467848</v>
      </c>
      <c r="H12" s="58">
        <f t="shared" si="2"/>
        <v>142205.97500000001</v>
      </c>
    </row>
    <row r="13" spans="1:8" x14ac:dyDescent="0.25">
      <c r="A13" s="50">
        <f>'A) Base RI'!A15</f>
        <v>5409</v>
      </c>
      <c r="B13" s="57" t="str">
        <f>'A) Base RI'!B15</f>
        <v>Ollon</v>
      </c>
      <c r="C13" s="32">
        <f>'B) D RI'!Y15</f>
        <v>2901739.0999999996</v>
      </c>
      <c r="D13" s="14">
        <f>'B) D RI'!Z15</f>
        <v>55680.2</v>
      </c>
      <c r="E13" s="10">
        <f t="shared" si="0"/>
        <v>2957419.3</v>
      </c>
      <c r="F13" s="14">
        <f>'B) D RI'!U15</f>
        <v>367365.91906108597</v>
      </c>
      <c r="G13" s="278">
        <f t="shared" si="1"/>
        <v>8.0503365896286017</v>
      </c>
      <c r="H13" s="58">
        <f t="shared" si="2"/>
        <v>1467573.6099999999</v>
      </c>
    </row>
    <row r="14" spans="1:8" x14ac:dyDescent="0.25">
      <c r="A14" s="50">
        <f>'A) Base RI'!A16</f>
        <v>5410</v>
      </c>
      <c r="B14" s="57" t="str">
        <f>'A) Base RI'!B16</f>
        <v>Ormont-Dessous</v>
      </c>
      <c r="C14" s="32">
        <f>'B) D RI'!Y16</f>
        <v>404046.25</v>
      </c>
      <c r="D14" s="14">
        <f>'B) D RI'!Z16</f>
        <v>0</v>
      </c>
      <c r="E14" s="10">
        <f t="shared" si="0"/>
        <v>404046.25</v>
      </c>
      <c r="F14" s="14">
        <f>'B) D RI'!U16</f>
        <v>37585.850743099792</v>
      </c>
      <c r="G14" s="278">
        <f t="shared" si="1"/>
        <v>10.749956220538042</v>
      </c>
      <c r="H14" s="58">
        <f t="shared" si="2"/>
        <v>202023.125</v>
      </c>
    </row>
    <row r="15" spans="1:8" x14ac:dyDescent="0.25">
      <c r="A15" s="50">
        <f>'A) Base RI'!A17</f>
        <v>5411</v>
      </c>
      <c r="B15" s="57" t="str">
        <f>'A) Base RI'!B17</f>
        <v>Ormont-Dessus</v>
      </c>
      <c r="C15" s="32">
        <f>'B) D RI'!Y17</f>
        <v>525528.80000000005</v>
      </c>
      <c r="D15" s="14">
        <f>'B) D RI'!Z17</f>
        <v>0</v>
      </c>
      <c r="E15" s="10">
        <f t="shared" si="0"/>
        <v>525528.80000000005</v>
      </c>
      <c r="F15" s="14">
        <f>'B) D RI'!U17</f>
        <v>78533.565482456135</v>
      </c>
      <c r="G15" s="278">
        <f t="shared" si="1"/>
        <v>6.6917730879976363</v>
      </c>
      <c r="H15" s="58">
        <f t="shared" si="2"/>
        <v>262764.40000000002</v>
      </c>
    </row>
    <row r="16" spans="1:8" x14ac:dyDescent="0.25">
      <c r="A16" s="50">
        <f>'A) Base RI'!A18</f>
        <v>5412</v>
      </c>
      <c r="B16" s="57" t="str">
        <f>'A) Base RI'!B18</f>
        <v>Rennaz</v>
      </c>
      <c r="C16" s="32">
        <f>'B) D RI'!Y18</f>
        <v>100593.9</v>
      </c>
      <c r="D16" s="14">
        <f>'B) D RI'!Z18</f>
        <v>86972.800000000003</v>
      </c>
      <c r="E16" s="10">
        <f t="shared" si="0"/>
        <v>187566.7</v>
      </c>
      <c r="F16" s="14">
        <f>'B) D RI'!U18</f>
        <v>30683.439407407404</v>
      </c>
      <c r="G16" s="278">
        <f t="shared" si="1"/>
        <v>6.1129620284588704</v>
      </c>
      <c r="H16" s="58">
        <f t="shared" si="2"/>
        <v>76388.789999999994</v>
      </c>
    </row>
    <row r="17" spans="1:8" x14ac:dyDescent="0.25">
      <c r="A17" s="50">
        <f>'A) Base RI'!A19</f>
        <v>5413</v>
      </c>
      <c r="B17" s="57" t="str">
        <f>'A) Base RI'!B19</f>
        <v>Roche</v>
      </c>
      <c r="C17" s="32">
        <f>'B) D RI'!Y19</f>
        <v>215129.90000000002</v>
      </c>
      <c r="D17" s="14">
        <f>'B) D RI'!Z19</f>
        <v>185237.95</v>
      </c>
      <c r="E17" s="10">
        <f t="shared" si="0"/>
        <v>400367.85000000003</v>
      </c>
      <c r="F17" s="14">
        <f>'B) D RI'!U19</f>
        <v>36754.028088235296</v>
      </c>
      <c r="G17" s="278">
        <f t="shared" si="1"/>
        <v>10.89316928851548</v>
      </c>
      <c r="H17" s="58">
        <f t="shared" si="2"/>
        <v>163136.33500000002</v>
      </c>
    </row>
    <row r="18" spans="1:8" x14ac:dyDescent="0.25">
      <c r="A18" s="50">
        <f>'A) Base RI'!A20</f>
        <v>5414</v>
      </c>
      <c r="B18" s="57" t="str">
        <f>'A) Base RI'!B20</f>
        <v>Villeneuve</v>
      </c>
      <c r="C18" s="32">
        <f>'B) D RI'!Y20</f>
        <v>1330774.8</v>
      </c>
      <c r="D18" s="14">
        <f>'B) D RI'!Z20</f>
        <v>992574.25</v>
      </c>
      <c r="E18" s="10">
        <f t="shared" si="0"/>
        <v>2323349.0499999998</v>
      </c>
      <c r="F18" s="14">
        <f>'B) D RI'!U20</f>
        <v>161374.0856521739</v>
      </c>
      <c r="G18" s="278">
        <f t="shared" si="1"/>
        <v>14.397287151840178</v>
      </c>
      <c r="H18" s="58">
        <f t="shared" si="2"/>
        <v>963159.67500000005</v>
      </c>
    </row>
    <row r="19" spans="1:8" x14ac:dyDescent="0.25">
      <c r="A19" s="50">
        <f>'A) Base RI'!A21</f>
        <v>5415</v>
      </c>
      <c r="B19" s="57" t="str">
        <f>'A) Base RI'!B21</f>
        <v>Yvorne</v>
      </c>
      <c r="C19" s="32">
        <f>'B) D RI'!Y21</f>
        <v>235112.25</v>
      </c>
      <c r="D19" s="14">
        <f>'B) D RI'!Z21</f>
        <v>27533.95</v>
      </c>
      <c r="E19" s="10">
        <f t="shared" si="0"/>
        <v>262646.2</v>
      </c>
      <c r="F19" s="14">
        <f>'B) D RI'!U21</f>
        <v>34416.914731934739</v>
      </c>
      <c r="G19" s="278">
        <f t="shared" si="1"/>
        <v>7.6313115816943364</v>
      </c>
      <c r="H19" s="58">
        <f t="shared" si="2"/>
        <v>125816.31</v>
      </c>
    </row>
    <row r="20" spans="1:8" x14ac:dyDescent="0.25">
      <c r="A20" s="50">
        <f>'A) Base RI'!A22</f>
        <v>5421</v>
      </c>
      <c r="B20" s="57" t="str">
        <f>'A) Base RI'!B22</f>
        <v>Apples</v>
      </c>
      <c r="C20" s="32">
        <f>'B) D RI'!Y22</f>
        <v>245737.65000000002</v>
      </c>
      <c r="D20" s="14">
        <f>'B) D RI'!Z22</f>
        <v>23304.400000000001</v>
      </c>
      <c r="E20" s="10">
        <f t="shared" si="0"/>
        <v>269042.05000000005</v>
      </c>
      <c r="F20" s="14">
        <f>'B) D RI'!U22</f>
        <v>58623.163421052632</v>
      </c>
      <c r="G20" s="278">
        <f t="shared" si="1"/>
        <v>4.5893471846212623</v>
      </c>
      <c r="H20" s="58">
        <f t="shared" si="2"/>
        <v>129860.14500000002</v>
      </c>
    </row>
    <row r="21" spans="1:8" x14ac:dyDescent="0.25">
      <c r="A21" s="50">
        <f>'A) Base RI'!A23</f>
        <v>5422</v>
      </c>
      <c r="B21" s="57" t="str">
        <f>'A) Base RI'!B23</f>
        <v>Aubonne</v>
      </c>
      <c r="C21" s="32">
        <f>'B) D RI'!Y23</f>
        <v>938521.2</v>
      </c>
      <c r="D21" s="14">
        <f>'B) D RI'!Z23</f>
        <v>773580.6</v>
      </c>
      <c r="E21" s="10">
        <f t="shared" si="0"/>
        <v>1712101.7999999998</v>
      </c>
      <c r="F21" s="14">
        <f>'B) D RI'!U23</f>
        <v>244308.18220588236</v>
      </c>
      <c r="G21" s="278">
        <f t="shared" si="1"/>
        <v>7.0079593100045443</v>
      </c>
      <c r="H21" s="58">
        <f t="shared" si="2"/>
        <v>701334.78</v>
      </c>
    </row>
    <row r="22" spans="1:8" x14ac:dyDescent="0.25">
      <c r="A22" s="50">
        <f>'A) Base RI'!A24</f>
        <v>5423</v>
      </c>
      <c r="B22" s="57" t="str">
        <f>'A) Base RI'!B24</f>
        <v>Ballens</v>
      </c>
      <c r="C22" s="32">
        <f>'B) D RI'!Y24</f>
        <v>128824.79999999999</v>
      </c>
      <c r="D22" s="14">
        <f>'B) D RI'!Z24</f>
        <v>19697.25</v>
      </c>
      <c r="E22" s="10">
        <f t="shared" si="0"/>
        <v>148522.04999999999</v>
      </c>
      <c r="F22" s="14">
        <f>'B) D RI'!U24</f>
        <v>16828.247681159421</v>
      </c>
      <c r="G22" s="278">
        <f t="shared" si="1"/>
        <v>8.8257584992810862</v>
      </c>
      <c r="H22" s="58">
        <f t="shared" si="2"/>
        <v>70321.574999999997</v>
      </c>
    </row>
    <row r="23" spans="1:8" x14ac:dyDescent="0.25">
      <c r="A23" s="50">
        <f>'A) Base RI'!A25</f>
        <v>5424</v>
      </c>
      <c r="B23" s="57" t="str">
        <f>'A) Base RI'!B25</f>
        <v>Berolle</v>
      </c>
      <c r="C23" s="32">
        <f>'B) D RI'!Y25</f>
        <v>40419.649999999994</v>
      </c>
      <c r="D23" s="14">
        <f>'B) D RI'!Z25</f>
        <v>0</v>
      </c>
      <c r="E23" s="10">
        <f t="shared" si="0"/>
        <v>40419.649999999994</v>
      </c>
      <c r="F23" s="14">
        <f>'B) D RI'!U25</f>
        <v>11334.098571428574</v>
      </c>
      <c r="G23" s="278">
        <f t="shared" si="1"/>
        <v>3.5661989125356102</v>
      </c>
      <c r="H23" s="58">
        <f t="shared" si="2"/>
        <v>20209.824999999997</v>
      </c>
    </row>
    <row r="24" spans="1:8" x14ac:dyDescent="0.25">
      <c r="A24" s="50">
        <f>'A) Base RI'!A26</f>
        <v>5425</v>
      </c>
      <c r="B24" s="57" t="str">
        <f>'A) Base RI'!B26</f>
        <v>Bière</v>
      </c>
      <c r="C24" s="32">
        <f>'B) D RI'!Y26</f>
        <v>142059.9</v>
      </c>
      <c r="D24" s="14">
        <f>'B) D RI'!Z26</f>
        <v>22240.45</v>
      </c>
      <c r="E24" s="10">
        <f t="shared" si="0"/>
        <v>164300.35</v>
      </c>
      <c r="F24" s="14">
        <f>'B) D RI'!U26</f>
        <v>40579.487849898578</v>
      </c>
      <c r="G24" s="278">
        <f t="shared" si="1"/>
        <v>4.0488522331217798</v>
      </c>
      <c r="H24" s="58">
        <f t="shared" si="2"/>
        <v>77702.084999999992</v>
      </c>
    </row>
    <row r="25" spans="1:8" x14ac:dyDescent="0.25">
      <c r="A25" s="50">
        <f>'A) Base RI'!A27</f>
        <v>5426</v>
      </c>
      <c r="B25" s="57" t="str">
        <f>'A) Base RI'!B27</f>
        <v>Bougy-Villars</v>
      </c>
      <c r="C25" s="32">
        <f>'B) D RI'!Y27</f>
        <v>827494.3</v>
      </c>
      <c r="D25" s="14">
        <f>'B) D RI'!Z27</f>
        <v>15905.95</v>
      </c>
      <c r="E25" s="10">
        <f t="shared" si="0"/>
        <v>843400.25</v>
      </c>
      <c r="F25" s="14">
        <f>'B) D RI'!U27</f>
        <v>47833.150252525251</v>
      </c>
      <c r="G25" s="278">
        <f t="shared" si="1"/>
        <v>17.632128462111368</v>
      </c>
      <c r="H25" s="58">
        <f t="shared" si="2"/>
        <v>418518.935</v>
      </c>
    </row>
    <row r="26" spans="1:8" x14ac:dyDescent="0.25">
      <c r="A26" s="50">
        <f>'A) Base RI'!A28</f>
        <v>5427</v>
      </c>
      <c r="B26" s="57" t="str">
        <f>'A) Base RI'!B28</f>
        <v>Féchy</v>
      </c>
      <c r="C26" s="32">
        <f>'B) D RI'!Y28</f>
        <v>482565.05</v>
      </c>
      <c r="D26" s="14">
        <f>'B) D RI'!Z28</f>
        <v>11699.5</v>
      </c>
      <c r="E26" s="10">
        <f t="shared" si="0"/>
        <v>494264.55</v>
      </c>
      <c r="F26" s="14">
        <f>'B) D RI'!U28</f>
        <v>79308.783786057698</v>
      </c>
      <c r="G26" s="278">
        <f t="shared" si="1"/>
        <v>6.2321539482098398</v>
      </c>
      <c r="H26" s="58">
        <f t="shared" si="2"/>
        <v>244792.375</v>
      </c>
    </row>
    <row r="27" spans="1:8" x14ac:dyDescent="0.25">
      <c r="A27" s="50">
        <f>'A) Base RI'!A29</f>
        <v>5428</v>
      </c>
      <c r="B27" s="57" t="str">
        <f>'A) Base RI'!B29</f>
        <v>Gimel</v>
      </c>
      <c r="C27" s="32">
        <f>'B) D RI'!Y29</f>
        <v>731636.89999999991</v>
      </c>
      <c r="D27" s="14">
        <f>'B) D RI'!Z29</f>
        <v>186981.25</v>
      </c>
      <c r="E27" s="10">
        <f t="shared" si="0"/>
        <v>918618.14999999991</v>
      </c>
      <c r="F27" s="14">
        <f>'B) D RI'!U29</f>
        <v>61728.526853146868</v>
      </c>
      <c r="G27" s="278">
        <f t="shared" si="1"/>
        <v>14.881582257509674</v>
      </c>
      <c r="H27" s="58">
        <f t="shared" si="2"/>
        <v>421912.82499999995</v>
      </c>
    </row>
    <row r="28" spans="1:8" x14ac:dyDescent="0.25">
      <c r="A28" s="50">
        <f>'A) Base RI'!A30</f>
        <v>5429</v>
      </c>
      <c r="B28" s="57" t="str">
        <f>'A) Base RI'!B30</f>
        <v>Longirod</v>
      </c>
      <c r="C28" s="32">
        <f>'B) D RI'!Y30</f>
        <v>83077.299999999988</v>
      </c>
      <c r="D28" s="14">
        <f>'B) D RI'!Z30</f>
        <v>0</v>
      </c>
      <c r="E28" s="10">
        <f t="shared" si="0"/>
        <v>83077.299999999988</v>
      </c>
      <c r="F28" s="14">
        <f>'B) D RI'!U30</f>
        <v>14939.782716049382</v>
      </c>
      <c r="G28" s="278">
        <f t="shared" si="1"/>
        <v>5.5608104601650208</v>
      </c>
      <c r="H28" s="58">
        <f t="shared" si="2"/>
        <v>41538.649999999994</v>
      </c>
    </row>
    <row r="29" spans="1:8" x14ac:dyDescent="0.25">
      <c r="A29" s="50">
        <f>'A) Base RI'!A31</f>
        <v>5430</v>
      </c>
      <c r="B29" s="57" t="str">
        <f>'A) Base RI'!B31</f>
        <v>Marchissy</v>
      </c>
      <c r="C29" s="32">
        <f>'B) D RI'!Y31</f>
        <v>98846.65</v>
      </c>
      <c r="D29" s="14">
        <f>'B) D RI'!Z31</f>
        <v>8851.6</v>
      </c>
      <c r="E29" s="10">
        <f t="shared" si="0"/>
        <v>107698.25</v>
      </c>
      <c r="F29" s="14">
        <f>'B) D RI'!U31</f>
        <v>13613.731392405061</v>
      </c>
      <c r="G29" s="278">
        <f t="shared" si="1"/>
        <v>7.9110015392314539</v>
      </c>
      <c r="H29" s="58">
        <f t="shared" si="2"/>
        <v>52078.805</v>
      </c>
    </row>
    <row r="30" spans="1:8" x14ac:dyDescent="0.25">
      <c r="A30" s="50">
        <f>'A) Base RI'!A32</f>
        <v>5431</v>
      </c>
      <c r="B30" s="57" t="str">
        <f>'A) Base RI'!B32</f>
        <v>Mollens</v>
      </c>
      <c r="C30" s="32">
        <f>'B) D RI'!Y32</f>
        <v>28987.600000000002</v>
      </c>
      <c r="D30" s="14">
        <f>'B) D RI'!Z32</f>
        <v>0</v>
      </c>
      <c r="E30" s="10">
        <f t="shared" si="0"/>
        <v>28987.600000000002</v>
      </c>
      <c r="F30" s="14">
        <f>'B) D RI'!U32</f>
        <v>8973.9812162162179</v>
      </c>
      <c r="G30" s="278">
        <f t="shared" si="1"/>
        <v>3.2301828253906586</v>
      </c>
      <c r="H30" s="58">
        <f t="shared" si="2"/>
        <v>14493.800000000001</v>
      </c>
    </row>
    <row r="31" spans="1:8" x14ac:dyDescent="0.25">
      <c r="A31" s="50">
        <f>'A) Base RI'!A33</f>
        <v>5432</v>
      </c>
      <c r="B31" s="57" t="str">
        <f>'A) Base RI'!B33</f>
        <v>Montherod</v>
      </c>
      <c r="C31" s="32">
        <f>'B) D RI'!Y33</f>
        <v>111180.9</v>
      </c>
      <c r="D31" s="14">
        <f>'B) D RI'!Z33</f>
        <v>15156.3</v>
      </c>
      <c r="E31" s="10">
        <f t="shared" si="0"/>
        <v>126337.2</v>
      </c>
      <c r="F31" s="14">
        <f>'B) D RI'!U33</f>
        <v>17887.262179487177</v>
      </c>
      <c r="G31" s="278">
        <f t="shared" si="1"/>
        <v>7.0629702149097726</v>
      </c>
      <c r="H31" s="58">
        <f t="shared" si="2"/>
        <v>60137.34</v>
      </c>
    </row>
    <row r="32" spans="1:8" x14ac:dyDescent="0.25">
      <c r="A32" s="50">
        <f>'A) Base RI'!A34</f>
        <v>5434</v>
      </c>
      <c r="B32" s="57" t="str">
        <f>'A) Base RI'!B34</f>
        <v>Saint-George</v>
      </c>
      <c r="C32" s="32">
        <f>'B) D RI'!Y34</f>
        <v>428900.15</v>
      </c>
      <c r="D32" s="14">
        <f>'B) D RI'!Z34</f>
        <v>34774.9</v>
      </c>
      <c r="E32" s="10">
        <f t="shared" si="0"/>
        <v>463675.05000000005</v>
      </c>
      <c r="F32" s="14">
        <f>'B) D RI'!U34</f>
        <v>37133.404507042258</v>
      </c>
      <c r="G32" s="278">
        <f t="shared" si="1"/>
        <v>12.486736838580615</v>
      </c>
      <c r="H32" s="58">
        <f t="shared" si="2"/>
        <v>224882.54500000001</v>
      </c>
    </row>
    <row r="33" spans="1:8" x14ac:dyDescent="0.25">
      <c r="A33" s="50">
        <f>'A) Base RI'!A35</f>
        <v>5435</v>
      </c>
      <c r="B33" s="57" t="str">
        <f>'A) Base RI'!B35</f>
        <v>Saint-Livres</v>
      </c>
      <c r="C33" s="32">
        <f>'B) D RI'!Y35</f>
        <v>6406.25</v>
      </c>
      <c r="D33" s="14">
        <f>'B) D RI'!Z35</f>
        <v>4006.05</v>
      </c>
      <c r="E33" s="10">
        <f t="shared" si="0"/>
        <v>10412.299999999999</v>
      </c>
      <c r="F33" s="14">
        <f>'B) D RI'!U35</f>
        <v>25639.681014492751</v>
      </c>
      <c r="G33" s="278">
        <f t="shared" si="1"/>
        <v>0.40610099611280182</v>
      </c>
      <c r="H33" s="58">
        <f t="shared" si="2"/>
        <v>4404.9400000000005</v>
      </c>
    </row>
    <row r="34" spans="1:8" x14ac:dyDescent="0.25">
      <c r="A34" s="50">
        <f>'A) Base RI'!A36</f>
        <v>5436</v>
      </c>
      <c r="B34" s="57" t="str">
        <f>'A) Base RI'!B36</f>
        <v>Saint-Oyens</v>
      </c>
      <c r="C34" s="32">
        <f>'B) D RI'!Y36</f>
        <v>172568.45</v>
      </c>
      <c r="D34" s="14">
        <f>'B) D RI'!Z36</f>
        <v>0</v>
      </c>
      <c r="E34" s="10">
        <f t="shared" si="0"/>
        <v>172568.45</v>
      </c>
      <c r="F34" s="14">
        <f>'B) D RI'!U36</f>
        <v>11326.600185185187</v>
      </c>
      <c r="G34" s="278">
        <f t="shared" si="1"/>
        <v>15.235679478270431</v>
      </c>
      <c r="H34" s="58">
        <f t="shared" si="2"/>
        <v>86284.225000000006</v>
      </c>
    </row>
    <row r="35" spans="1:8" x14ac:dyDescent="0.25">
      <c r="A35" s="50">
        <f>'A) Base RI'!A37</f>
        <v>5437</v>
      </c>
      <c r="B35" s="57" t="str">
        <f>'A) Base RI'!B37</f>
        <v>Saubraz</v>
      </c>
      <c r="C35" s="32">
        <f>'B) D RI'!Y37</f>
        <v>44601.2</v>
      </c>
      <c r="D35" s="14">
        <f>'B) D RI'!Z37</f>
        <v>0</v>
      </c>
      <c r="E35" s="10">
        <f t="shared" si="0"/>
        <v>44601.2</v>
      </c>
      <c r="F35" s="14">
        <f>'B) D RI'!U37</f>
        <v>9913.9082500000004</v>
      </c>
      <c r="G35" s="278">
        <f t="shared" si="1"/>
        <v>4.4988513989929242</v>
      </c>
      <c r="H35" s="58">
        <f t="shared" si="2"/>
        <v>22300.6</v>
      </c>
    </row>
    <row r="36" spans="1:8" x14ac:dyDescent="0.25">
      <c r="A36" s="50">
        <f>'A) Base RI'!A38</f>
        <v>5451</v>
      </c>
      <c r="B36" s="57" t="str">
        <f>'A) Base RI'!B38</f>
        <v>Avenches</v>
      </c>
      <c r="C36" s="32">
        <f>'B) D RI'!Y38</f>
        <v>586370.45000000007</v>
      </c>
      <c r="D36" s="14">
        <f>'B) D RI'!Z38</f>
        <v>533739.30000000005</v>
      </c>
      <c r="E36" s="10">
        <f t="shared" si="0"/>
        <v>1120109.75</v>
      </c>
      <c r="F36" s="14">
        <f>'B) D RI'!U38</f>
        <v>95537.476225490187</v>
      </c>
      <c r="G36" s="278">
        <f t="shared" si="1"/>
        <v>11.724297042935131</v>
      </c>
      <c r="H36" s="58">
        <f t="shared" si="2"/>
        <v>453307.01500000001</v>
      </c>
    </row>
    <row r="37" spans="1:8" x14ac:dyDescent="0.25">
      <c r="A37" s="50">
        <f>'A) Base RI'!A39</f>
        <v>5456</v>
      </c>
      <c r="B37" s="57" t="str">
        <f>'A) Base RI'!B39</f>
        <v>Cudrefin</v>
      </c>
      <c r="C37" s="32">
        <f>'B) D RI'!Y39</f>
        <v>374581.60000000003</v>
      </c>
      <c r="D37" s="14">
        <f>'B) D RI'!Z39</f>
        <v>4370.3</v>
      </c>
      <c r="E37" s="10">
        <f t="shared" si="0"/>
        <v>378951.9</v>
      </c>
      <c r="F37" s="14">
        <f>'B) D RI'!U39</f>
        <v>54725.941638418088</v>
      </c>
      <c r="G37" s="278">
        <f t="shared" si="1"/>
        <v>6.9245386859451035</v>
      </c>
      <c r="H37" s="58">
        <f t="shared" si="2"/>
        <v>188601.89</v>
      </c>
    </row>
    <row r="38" spans="1:8" x14ac:dyDescent="0.25">
      <c r="A38" s="50">
        <f>'A) Base RI'!A40</f>
        <v>5458</v>
      </c>
      <c r="B38" s="57" t="str">
        <f>'A) Base RI'!B40</f>
        <v>Faoug</v>
      </c>
      <c r="C38" s="32">
        <f>'B) D RI'!Y40</f>
        <v>259383.90000000002</v>
      </c>
      <c r="D38" s="14">
        <f>'B) D RI'!Z40</f>
        <v>0</v>
      </c>
      <c r="E38" s="10">
        <f t="shared" si="0"/>
        <v>259383.90000000002</v>
      </c>
      <c r="F38" s="14">
        <f>'B) D RI'!U40</f>
        <v>34607.593906250004</v>
      </c>
      <c r="G38" s="278">
        <f t="shared" si="1"/>
        <v>7.4949995282149979</v>
      </c>
      <c r="H38" s="58">
        <f t="shared" si="2"/>
        <v>129691.95000000001</v>
      </c>
    </row>
    <row r="39" spans="1:8" x14ac:dyDescent="0.25">
      <c r="A39" s="50">
        <f>'A) Base RI'!A41</f>
        <v>5464</v>
      </c>
      <c r="B39" s="57" t="str">
        <f>'A) Base RI'!B41</f>
        <v>Vully-les-Lacs</v>
      </c>
      <c r="C39" s="32">
        <f>'B) D RI'!Y41</f>
        <v>601769.1</v>
      </c>
      <c r="D39" s="14">
        <f>'B) D RI'!Z41</f>
        <v>0</v>
      </c>
      <c r="E39" s="10">
        <f t="shared" si="0"/>
        <v>601769.1</v>
      </c>
      <c r="F39" s="14">
        <f>'B) D RI'!U41</f>
        <v>98727.295671641783</v>
      </c>
      <c r="G39" s="278">
        <f t="shared" si="1"/>
        <v>6.0952657105227575</v>
      </c>
      <c r="H39" s="58">
        <f t="shared" si="2"/>
        <v>300884.55</v>
      </c>
    </row>
    <row r="40" spans="1:8" x14ac:dyDescent="0.25">
      <c r="A40" s="50">
        <f>'A) Base RI'!A42</f>
        <v>5471</v>
      </c>
      <c r="B40" s="57" t="str">
        <f>'A) Base RI'!B42</f>
        <v>Bettens</v>
      </c>
      <c r="C40" s="32">
        <f>'B) D RI'!Y42</f>
        <v>213796.25</v>
      </c>
      <c r="D40" s="14">
        <f>'B) D RI'!Z42</f>
        <v>1531.2</v>
      </c>
      <c r="E40" s="10">
        <f t="shared" si="0"/>
        <v>215327.45</v>
      </c>
      <c r="F40" s="14">
        <f>'B) D RI'!U42</f>
        <v>19145.941571428568</v>
      </c>
      <c r="G40" s="278">
        <f t="shared" si="1"/>
        <v>11.246636745268905</v>
      </c>
      <c r="H40" s="58">
        <f t="shared" si="2"/>
        <v>107357.485</v>
      </c>
    </row>
    <row r="41" spans="1:8" x14ac:dyDescent="0.25">
      <c r="A41" s="50">
        <f>'A) Base RI'!A43</f>
        <v>5472</v>
      </c>
      <c r="B41" s="57" t="str">
        <f>'A) Base RI'!B43</f>
        <v>Bournens</v>
      </c>
      <c r="C41" s="32">
        <f>'B) D RI'!Y43</f>
        <v>50692.100000000006</v>
      </c>
      <c r="D41" s="14">
        <f>'B) D RI'!Z43</f>
        <v>0</v>
      </c>
      <c r="E41" s="10">
        <f t="shared" si="0"/>
        <v>50692.100000000006</v>
      </c>
      <c r="F41" s="14">
        <f>'B) D RI'!U43</f>
        <v>14770.012375000002</v>
      </c>
      <c r="G41" s="278">
        <f t="shared" si="1"/>
        <v>3.4320959734470091</v>
      </c>
      <c r="H41" s="58">
        <f t="shared" si="2"/>
        <v>25346.050000000003</v>
      </c>
    </row>
    <row r="42" spans="1:8" x14ac:dyDescent="0.25">
      <c r="A42" s="50">
        <f>'A) Base RI'!A44</f>
        <v>5473</v>
      </c>
      <c r="B42" s="57" t="str">
        <f>'A) Base RI'!B44</f>
        <v>Boussens</v>
      </c>
      <c r="C42" s="32">
        <f>'B) D RI'!Y44</f>
        <v>93742.5</v>
      </c>
      <c r="D42" s="14">
        <f>'B) D RI'!Z44</f>
        <v>0</v>
      </c>
      <c r="E42" s="10">
        <f t="shared" si="0"/>
        <v>93742.5</v>
      </c>
      <c r="F42" s="14">
        <f>'B) D RI'!U44</f>
        <v>33002.569420289859</v>
      </c>
      <c r="G42" s="278">
        <f t="shared" si="1"/>
        <v>2.840460656447175</v>
      </c>
      <c r="H42" s="58">
        <f t="shared" si="2"/>
        <v>46871.25</v>
      </c>
    </row>
    <row r="43" spans="1:8" x14ac:dyDescent="0.25">
      <c r="A43" s="50">
        <f>'A) Base RI'!A45</f>
        <v>5474</v>
      </c>
      <c r="B43" s="57" t="str">
        <f>'A) Base RI'!B45</f>
        <v>La Chaux (Cossonay)</v>
      </c>
      <c r="C43" s="32">
        <f>'B) D RI'!Y45</f>
        <v>212227.25</v>
      </c>
      <c r="D43" s="14">
        <f>'B) D RI'!Z45</f>
        <v>5919.6</v>
      </c>
      <c r="E43" s="10">
        <f t="shared" si="0"/>
        <v>218146.85</v>
      </c>
      <c r="F43" s="14">
        <f>'B) D RI'!U45</f>
        <v>13388.045367965367</v>
      </c>
      <c r="G43" s="278">
        <f t="shared" si="1"/>
        <v>16.294152283198649</v>
      </c>
      <c r="H43" s="58">
        <f t="shared" si="2"/>
        <v>107889.505</v>
      </c>
    </row>
    <row r="44" spans="1:8" x14ac:dyDescent="0.25">
      <c r="A44" s="50">
        <f>'A) Base RI'!A46</f>
        <v>5475</v>
      </c>
      <c r="B44" s="57" t="str">
        <f>'A) Base RI'!B46</f>
        <v>Chavannes-le-Veyron</v>
      </c>
      <c r="C44" s="32">
        <f>'B) D RI'!Y46</f>
        <v>5500</v>
      </c>
      <c r="D44" s="14">
        <f>'B) D RI'!Z46</f>
        <v>0</v>
      </c>
      <c r="E44" s="10">
        <f t="shared" si="0"/>
        <v>5500</v>
      </c>
      <c r="F44" s="14">
        <f>'B) D RI'!U46</f>
        <v>3775.6794805194804</v>
      </c>
      <c r="G44" s="278">
        <f t="shared" si="1"/>
        <v>1.4566914454410409</v>
      </c>
      <c r="H44" s="58">
        <f t="shared" si="2"/>
        <v>2750</v>
      </c>
    </row>
    <row r="45" spans="1:8" x14ac:dyDescent="0.25">
      <c r="A45" s="50">
        <f>'A) Base RI'!A47</f>
        <v>5476</v>
      </c>
      <c r="B45" s="57" t="str">
        <f>'A) Base RI'!B47</f>
        <v>Chevilly</v>
      </c>
      <c r="C45" s="32">
        <f>'B) D RI'!Y47</f>
        <v>4409.2</v>
      </c>
      <c r="D45" s="14">
        <f>'B) D RI'!Z47</f>
        <v>0</v>
      </c>
      <c r="E45" s="10">
        <f t="shared" si="0"/>
        <v>4409.2</v>
      </c>
      <c r="F45" s="14">
        <f>'B) D RI'!U47</f>
        <v>10077.570765765768</v>
      </c>
      <c r="G45" s="278">
        <f t="shared" si="1"/>
        <v>0.43752607671864424</v>
      </c>
      <c r="H45" s="58">
        <f t="shared" si="2"/>
        <v>2204.6</v>
      </c>
    </row>
    <row r="46" spans="1:8" x14ac:dyDescent="0.25">
      <c r="A46" s="50">
        <f>'A) Base RI'!A48</f>
        <v>5477</v>
      </c>
      <c r="B46" s="57" t="str">
        <f>'A) Base RI'!B48</f>
        <v>Cossonay</v>
      </c>
      <c r="C46" s="32">
        <f>'B) D RI'!Y48</f>
        <v>1129832.75</v>
      </c>
      <c r="D46" s="14">
        <f>'B) D RI'!Z48</f>
        <v>77640.55</v>
      </c>
      <c r="E46" s="10">
        <f t="shared" si="0"/>
        <v>1207473.3</v>
      </c>
      <c r="F46" s="14">
        <f>'B) D RI'!U48</f>
        <v>123540.83633802818</v>
      </c>
      <c r="G46" s="278">
        <f t="shared" si="1"/>
        <v>9.7738799233652038</v>
      </c>
      <c r="H46" s="58">
        <f t="shared" si="2"/>
        <v>588208.54</v>
      </c>
    </row>
    <row r="47" spans="1:8" x14ac:dyDescent="0.25">
      <c r="A47" s="50">
        <f>'A) Base RI'!A49</f>
        <v>5478</v>
      </c>
      <c r="B47" s="57" t="str">
        <f>'A) Base RI'!B49</f>
        <v>Cottens</v>
      </c>
      <c r="C47" s="32">
        <f>'B) D RI'!Y49</f>
        <v>80708.899999999994</v>
      </c>
      <c r="D47" s="14">
        <f>'B) D RI'!Z49</f>
        <v>0</v>
      </c>
      <c r="E47" s="10">
        <f t="shared" si="0"/>
        <v>80708.899999999994</v>
      </c>
      <c r="F47" s="14">
        <f>'B) D RI'!U49</f>
        <v>16872.928378378379</v>
      </c>
      <c r="G47" s="278">
        <f t="shared" si="1"/>
        <v>4.7833368452759801</v>
      </c>
      <c r="H47" s="58">
        <f t="shared" si="2"/>
        <v>40354.449999999997</v>
      </c>
    </row>
    <row r="48" spans="1:8" x14ac:dyDescent="0.25">
      <c r="A48" s="50">
        <f>'A) Base RI'!A50</f>
        <v>5479</v>
      </c>
      <c r="B48" s="57" t="str">
        <f>'A) Base RI'!B50</f>
        <v>Cuarnens</v>
      </c>
      <c r="C48" s="32">
        <f>'B) D RI'!Y50</f>
        <v>119482.95000000001</v>
      </c>
      <c r="D48" s="14">
        <f>'B) D RI'!Z50</f>
        <v>9702.0499999999993</v>
      </c>
      <c r="E48" s="10">
        <f t="shared" si="0"/>
        <v>129185.00000000001</v>
      </c>
      <c r="F48" s="14">
        <f>'B) D RI'!U50</f>
        <v>15098.323116883119</v>
      </c>
      <c r="G48" s="278">
        <f t="shared" si="1"/>
        <v>8.5562482005398248</v>
      </c>
      <c r="H48" s="58">
        <f t="shared" si="2"/>
        <v>62652.090000000004</v>
      </c>
    </row>
    <row r="49" spans="1:8" x14ac:dyDescent="0.25">
      <c r="A49" s="50">
        <f>'A) Base RI'!A51</f>
        <v>5480</v>
      </c>
      <c r="B49" s="57" t="str">
        <f>'A) Base RI'!B51</f>
        <v>Daillens</v>
      </c>
      <c r="C49" s="32">
        <f>'B) D RI'!Y51</f>
        <v>75527.100000000006</v>
      </c>
      <c r="D49" s="14">
        <f>'B) D RI'!Z51</f>
        <v>129347.4</v>
      </c>
      <c r="E49" s="10">
        <f t="shared" si="0"/>
        <v>204874.5</v>
      </c>
      <c r="F49" s="14">
        <f>'B) D RI'!U51</f>
        <v>41105.758873239436</v>
      </c>
      <c r="G49" s="278">
        <f t="shared" si="1"/>
        <v>4.9840826593613103</v>
      </c>
      <c r="H49" s="58">
        <f t="shared" si="2"/>
        <v>76567.76999999999</v>
      </c>
    </row>
    <row r="50" spans="1:8" x14ac:dyDescent="0.25">
      <c r="A50" s="50">
        <f>'A) Base RI'!A52</f>
        <v>5481</v>
      </c>
      <c r="B50" s="57" t="str">
        <f>'A) Base RI'!B52</f>
        <v>Dizy</v>
      </c>
      <c r="C50" s="32">
        <f>'B) D RI'!Y52</f>
        <v>17623.45</v>
      </c>
      <c r="D50" s="14">
        <f>'B) D RI'!Z52</f>
        <v>0</v>
      </c>
      <c r="E50" s="10">
        <f t="shared" si="0"/>
        <v>17623.45</v>
      </c>
      <c r="F50" s="14">
        <f>'B) D RI'!U52</f>
        <v>8417.6035443037963</v>
      </c>
      <c r="G50" s="278">
        <f t="shared" si="1"/>
        <v>2.0936421996169936</v>
      </c>
      <c r="H50" s="58">
        <f t="shared" si="2"/>
        <v>8811.7250000000004</v>
      </c>
    </row>
    <row r="51" spans="1:8" x14ac:dyDescent="0.25">
      <c r="A51" s="50">
        <f>'A) Base RI'!A53</f>
        <v>5482</v>
      </c>
      <c r="B51" s="57" t="str">
        <f>'A) Base RI'!B53</f>
        <v>Eclépens</v>
      </c>
      <c r="C51" s="32">
        <f>'B) D RI'!Y53</f>
        <v>257061.09999999998</v>
      </c>
      <c r="D51" s="14">
        <f>'B) D RI'!Z53</f>
        <v>456709</v>
      </c>
      <c r="E51" s="10">
        <f t="shared" si="0"/>
        <v>713770.1</v>
      </c>
      <c r="F51" s="14">
        <f>'B) D RI'!U53</f>
        <v>48921.463913043473</v>
      </c>
      <c r="G51" s="278">
        <f t="shared" si="1"/>
        <v>14.590121449936705</v>
      </c>
      <c r="H51" s="58">
        <f t="shared" si="2"/>
        <v>265543.25</v>
      </c>
    </row>
    <row r="52" spans="1:8" x14ac:dyDescent="0.25">
      <c r="A52" s="50">
        <f>'A) Base RI'!A54</f>
        <v>5483</v>
      </c>
      <c r="B52" s="57" t="str">
        <f>'A) Base RI'!B54</f>
        <v>Ferreyres</v>
      </c>
      <c r="C52" s="32">
        <f>'B) D RI'!Y54</f>
        <v>26102.6</v>
      </c>
      <c r="D52" s="14">
        <f>'B) D RI'!Z54</f>
        <v>163.95</v>
      </c>
      <c r="E52" s="10">
        <f t="shared" si="0"/>
        <v>26266.55</v>
      </c>
      <c r="F52" s="14">
        <f>'B) D RI'!U54</f>
        <v>12338.918289473684</v>
      </c>
      <c r="G52" s="278">
        <f t="shared" si="1"/>
        <v>2.1287562964419631</v>
      </c>
      <c r="H52" s="58">
        <f t="shared" si="2"/>
        <v>13100.484999999999</v>
      </c>
    </row>
    <row r="53" spans="1:8" x14ac:dyDescent="0.25">
      <c r="A53" s="50">
        <f>'A) Base RI'!A55</f>
        <v>5484</v>
      </c>
      <c r="B53" s="57" t="str">
        <f>'A) Base RI'!B55</f>
        <v>Gollion</v>
      </c>
      <c r="C53" s="32">
        <f>'B) D RI'!Y55</f>
        <v>334825.40000000002</v>
      </c>
      <c r="D53" s="14">
        <f>'B) D RI'!Z55</f>
        <v>26602.55</v>
      </c>
      <c r="E53" s="10">
        <f t="shared" si="0"/>
        <v>361427.95</v>
      </c>
      <c r="F53" s="14">
        <f>'B) D RI'!U55</f>
        <v>33965.841756756759</v>
      </c>
      <c r="G53" s="278">
        <f t="shared" si="1"/>
        <v>10.640924272930814</v>
      </c>
      <c r="H53" s="58">
        <f t="shared" si="2"/>
        <v>175393.46500000003</v>
      </c>
    </row>
    <row r="54" spans="1:8" x14ac:dyDescent="0.25">
      <c r="A54" s="50">
        <f>'A) Base RI'!A56</f>
        <v>5485</v>
      </c>
      <c r="B54" s="57" t="str">
        <f>'A) Base RI'!B56</f>
        <v>Grancy</v>
      </c>
      <c r="C54" s="32">
        <f>'B) D RI'!Y56</f>
        <v>82850.149999999994</v>
      </c>
      <c r="D54" s="14">
        <f>'B) D RI'!Z56</f>
        <v>9944.15</v>
      </c>
      <c r="E54" s="10">
        <f t="shared" si="0"/>
        <v>92794.299999999988</v>
      </c>
      <c r="F54" s="14">
        <f>'B) D RI'!U56</f>
        <v>17740.37528571429</v>
      </c>
      <c r="G54" s="278">
        <f t="shared" si="1"/>
        <v>5.2306841600314975</v>
      </c>
      <c r="H54" s="58">
        <f t="shared" si="2"/>
        <v>44408.32</v>
      </c>
    </row>
    <row r="55" spans="1:8" x14ac:dyDescent="0.25">
      <c r="A55" s="50">
        <f>'A) Base RI'!A57</f>
        <v>5486</v>
      </c>
      <c r="B55" s="57" t="str">
        <f>'A) Base RI'!B57</f>
        <v>L'Isle</v>
      </c>
      <c r="C55" s="32">
        <f>'B) D RI'!Y57</f>
        <v>187426.6</v>
      </c>
      <c r="D55" s="14">
        <f>'B) D RI'!Z57</f>
        <v>45799.5</v>
      </c>
      <c r="E55" s="10">
        <f t="shared" si="0"/>
        <v>233226.1</v>
      </c>
      <c r="F55" s="14">
        <f>'B) D RI'!U57</f>
        <v>25696.695921052633</v>
      </c>
      <c r="G55" s="278">
        <f t="shared" si="1"/>
        <v>9.076112381005526</v>
      </c>
      <c r="H55" s="58">
        <f t="shared" si="2"/>
        <v>107453.15000000001</v>
      </c>
    </row>
    <row r="56" spans="1:8" x14ac:dyDescent="0.25">
      <c r="A56" s="50">
        <f>'A) Base RI'!A58</f>
        <v>5487</v>
      </c>
      <c r="B56" s="57" t="str">
        <f>'A) Base RI'!B58</f>
        <v>Lussery-Villars</v>
      </c>
      <c r="C56" s="32">
        <f>'B) D RI'!Y58</f>
        <v>88628.1</v>
      </c>
      <c r="D56" s="14">
        <f>'B) D RI'!Z58</f>
        <v>2834.85</v>
      </c>
      <c r="E56" s="10">
        <f t="shared" si="0"/>
        <v>91462.950000000012</v>
      </c>
      <c r="F56" s="14">
        <f>'B) D RI'!U58</f>
        <v>14347.116805555555</v>
      </c>
      <c r="G56" s="278">
        <f t="shared" si="1"/>
        <v>6.375005601444836</v>
      </c>
      <c r="H56" s="58">
        <f t="shared" si="2"/>
        <v>45164.505000000005</v>
      </c>
    </row>
    <row r="57" spans="1:8" x14ac:dyDescent="0.25">
      <c r="A57" s="50">
        <f>'A) Base RI'!A59</f>
        <v>5488</v>
      </c>
      <c r="B57" s="57" t="str">
        <f>'A) Base RI'!B59</f>
        <v>Mauraz</v>
      </c>
      <c r="C57" s="32">
        <f>'B) D RI'!Y59</f>
        <v>0</v>
      </c>
      <c r="D57" s="14">
        <f>'B) D RI'!Z59</f>
        <v>0</v>
      </c>
      <c r="E57" s="10">
        <f t="shared" si="0"/>
        <v>0</v>
      </c>
      <c r="F57" s="14">
        <f>'B) D RI'!U59</f>
        <v>1636.236081081081</v>
      </c>
      <c r="G57" s="278">
        <f t="shared" si="1"/>
        <v>0</v>
      </c>
      <c r="H57" s="58">
        <f t="shared" si="2"/>
        <v>0</v>
      </c>
    </row>
    <row r="58" spans="1:8" x14ac:dyDescent="0.25">
      <c r="A58" s="50">
        <f>'A) Base RI'!A60</f>
        <v>5489</v>
      </c>
      <c r="B58" s="57" t="str">
        <f>'A) Base RI'!B60</f>
        <v>Mex</v>
      </c>
      <c r="C58" s="32">
        <f>'B) D RI'!Y60</f>
        <v>197540.3</v>
      </c>
      <c r="D58" s="14">
        <f>'B) D RI'!Z60</f>
        <v>193594.5</v>
      </c>
      <c r="E58" s="10">
        <f t="shared" si="0"/>
        <v>391134.8</v>
      </c>
      <c r="F58" s="14">
        <f>'B) D RI'!U60</f>
        <v>52928.292459016397</v>
      </c>
      <c r="G58" s="278">
        <f t="shared" si="1"/>
        <v>7.3899002183541951</v>
      </c>
      <c r="H58" s="58">
        <f t="shared" si="2"/>
        <v>156848.5</v>
      </c>
    </row>
    <row r="59" spans="1:8" x14ac:dyDescent="0.25">
      <c r="A59" s="50">
        <f>'A) Base RI'!A61</f>
        <v>5490</v>
      </c>
      <c r="B59" s="57" t="str">
        <f>'A) Base RI'!B61</f>
        <v>Moiry</v>
      </c>
      <c r="C59" s="32">
        <f>'B) D RI'!Y61</f>
        <v>13202.75</v>
      </c>
      <c r="D59" s="14">
        <f>'B) D RI'!Z61</f>
        <v>0</v>
      </c>
      <c r="E59" s="10">
        <f t="shared" si="0"/>
        <v>13202.75</v>
      </c>
      <c r="F59" s="14">
        <f>'B) D RI'!U61</f>
        <v>8175.9358024691346</v>
      </c>
      <c r="G59" s="278">
        <f t="shared" si="1"/>
        <v>1.6148304388609271</v>
      </c>
      <c r="H59" s="58">
        <f t="shared" si="2"/>
        <v>6601.375</v>
      </c>
    </row>
    <row r="60" spans="1:8" x14ac:dyDescent="0.25">
      <c r="A60" s="50">
        <f>'A) Base RI'!A62</f>
        <v>5491</v>
      </c>
      <c r="B60" s="57" t="str">
        <f>'A) Base RI'!B62</f>
        <v>Mont-la-Ville</v>
      </c>
      <c r="C60" s="32">
        <f>'B) D RI'!Y62</f>
        <v>45849.549999999996</v>
      </c>
      <c r="D60" s="14">
        <f>'B) D RI'!Z62</f>
        <v>2655.6</v>
      </c>
      <c r="E60" s="10">
        <f t="shared" si="0"/>
        <v>48505.149999999994</v>
      </c>
      <c r="F60" s="14">
        <f>'B) D RI'!U62</f>
        <v>10544.805394736843</v>
      </c>
      <c r="G60" s="278">
        <f t="shared" si="1"/>
        <v>4.5999094515494843</v>
      </c>
      <c r="H60" s="58">
        <f t="shared" si="2"/>
        <v>23721.454999999998</v>
      </c>
    </row>
    <row r="61" spans="1:8" x14ac:dyDescent="0.25">
      <c r="A61" s="50">
        <f>'A) Base RI'!A63</f>
        <v>5492</v>
      </c>
      <c r="B61" s="57" t="str">
        <f>'A) Base RI'!B63</f>
        <v>Montricher</v>
      </c>
      <c r="C61" s="32">
        <f>'B) D RI'!Y63</f>
        <v>161392.15</v>
      </c>
      <c r="D61" s="14">
        <f>'B) D RI'!Z63</f>
        <v>3107.05</v>
      </c>
      <c r="E61" s="10">
        <f t="shared" si="0"/>
        <v>164499.19999999998</v>
      </c>
      <c r="F61" s="14">
        <f>'B) D RI'!U63</f>
        <v>222873.70244791667</v>
      </c>
      <c r="G61" s="278">
        <f t="shared" si="1"/>
        <v>0.73808259203860882</v>
      </c>
      <c r="H61" s="58">
        <f t="shared" si="2"/>
        <v>81628.19</v>
      </c>
    </row>
    <row r="62" spans="1:8" x14ac:dyDescent="0.25">
      <c r="A62" s="50">
        <f>'A) Base RI'!A64</f>
        <v>5493</v>
      </c>
      <c r="B62" s="57" t="str">
        <f>'A) Base RI'!B64</f>
        <v>Orny</v>
      </c>
      <c r="C62" s="32">
        <f>'B) D RI'!Y64</f>
        <v>71654.25</v>
      </c>
      <c r="D62" s="14">
        <f>'B) D RI'!Z64</f>
        <v>65376.6</v>
      </c>
      <c r="E62" s="10">
        <f t="shared" si="0"/>
        <v>137030.85</v>
      </c>
      <c r="F62" s="14">
        <f>'B) D RI'!U64</f>
        <v>9896.3592518440455</v>
      </c>
      <c r="G62" s="278">
        <f t="shared" si="1"/>
        <v>13.84659211663787</v>
      </c>
      <c r="H62" s="58">
        <f t="shared" si="2"/>
        <v>55440.104999999996</v>
      </c>
    </row>
    <row r="63" spans="1:8" x14ac:dyDescent="0.25">
      <c r="A63" s="50">
        <f>'A) Base RI'!A65</f>
        <v>5494</v>
      </c>
      <c r="B63" s="57" t="str">
        <f>'A) Base RI'!B65</f>
        <v>Pampigny</v>
      </c>
      <c r="C63" s="32">
        <f>'B) D RI'!Y65</f>
        <v>36739.65</v>
      </c>
      <c r="D63" s="14">
        <f>'B) D RI'!Z65</f>
        <v>37615.550000000003</v>
      </c>
      <c r="E63" s="10">
        <f t="shared" si="0"/>
        <v>74355.200000000012</v>
      </c>
      <c r="F63" s="14">
        <f>'B) D RI'!U65</f>
        <v>36998.378139682543</v>
      </c>
      <c r="G63" s="278">
        <f t="shared" si="1"/>
        <v>2.0096880927937346</v>
      </c>
      <c r="H63" s="58">
        <f t="shared" si="2"/>
        <v>29654.49</v>
      </c>
    </row>
    <row r="64" spans="1:8" x14ac:dyDescent="0.25">
      <c r="A64" s="50">
        <f>'A) Base RI'!A66</f>
        <v>5495</v>
      </c>
      <c r="B64" s="57" t="str">
        <f>'A) Base RI'!B66</f>
        <v>Penthalaz</v>
      </c>
      <c r="C64" s="32">
        <f>'B) D RI'!Y66</f>
        <v>653821.75</v>
      </c>
      <c r="D64" s="14">
        <f>'B) D RI'!Z66</f>
        <v>175056.8</v>
      </c>
      <c r="E64" s="10">
        <f t="shared" si="0"/>
        <v>828878.55</v>
      </c>
      <c r="F64" s="14">
        <f>'B) D RI'!U66</f>
        <v>92865.132567567576</v>
      </c>
      <c r="G64" s="278">
        <f t="shared" si="1"/>
        <v>8.9256163974882377</v>
      </c>
      <c r="H64" s="58">
        <f t="shared" si="2"/>
        <v>379427.91499999998</v>
      </c>
    </row>
    <row r="65" spans="1:8" x14ac:dyDescent="0.25">
      <c r="A65" s="50">
        <f>'A) Base RI'!A67</f>
        <v>5496</v>
      </c>
      <c r="B65" s="57" t="str">
        <f>'A) Base RI'!B67</f>
        <v>Penthaz</v>
      </c>
      <c r="C65" s="32">
        <f>'B) D RI'!Y67</f>
        <v>232143.84999999998</v>
      </c>
      <c r="D65" s="14">
        <f>'B) D RI'!Z67</f>
        <v>97292.1</v>
      </c>
      <c r="E65" s="10">
        <f t="shared" si="0"/>
        <v>329435.94999999995</v>
      </c>
      <c r="F65" s="14">
        <f>'B) D RI'!U67</f>
        <v>54824.850845070439</v>
      </c>
      <c r="G65" s="278">
        <f t="shared" si="1"/>
        <v>6.0088800046342685</v>
      </c>
      <c r="H65" s="58">
        <f t="shared" si="2"/>
        <v>145259.55499999999</v>
      </c>
    </row>
    <row r="66" spans="1:8" x14ac:dyDescent="0.25">
      <c r="A66" s="50">
        <f>'A) Base RI'!A68</f>
        <v>5497</v>
      </c>
      <c r="B66" s="57" t="str">
        <f>'A) Base RI'!B68</f>
        <v>Pompaples</v>
      </c>
      <c r="C66" s="32">
        <f>'B) D RI'!Y68</f>
        <v>358248.4</v>
      </c>
      <c r="D66" s="14">
        <f>'B) D RI'!Z68</f>
        <v>241839.6</v>
      </c>
      <c r="E66" s="10">
        <f t="shared" si="0"/>
        <v>600088</v>
      </c>
      <c r="F66" s="14">
        <f>'B) D RI'!U68</f>
        <v>21718.90772727273</v>
      </c>
      <c r="G66" s="278">
        <f t="shared" si="1"/>
        <v>27.629750424624774</v>
      </c>
      <c r="H66" s="58">
        <f t="shared" si="2"/>
        <v>251676.08000000002</v>
      </c>
    </row>
    <row r="67" spans="1:8" x14ac:dyDescent="0.25">
      <c r="A67" s="50">
        <f>'A) Base RI'!A69</f>
        <v>5498</v>
      </c>
      <c r="B67" s="57" t="str">
        <f>'A) Base RI'!B69</f>
        <v>La Sarraz</v>
      </c>
      <c r="C67" s="32">
        <f>'B) D RI'!Y69</f>
        <v>823011.8</v>
      </c>
      <c r="D67" s="14">
        <f>'B) D RI'!Z69</f>
        <v>66652.55</v>
      </c>
      <c r="E67" s="10">
        <f t="shared" si="0"/>
        <v>889664.35000000009</v>
      </c>
      <c r="F67" s="14">
        <f>'B) D RI'!U69</f>
        <v>70914.560303030303</v>
      </c>
      <c r="G67" s="278">
        <f t="shared" si="1"/>
        <v>12.545580853893883</v>
      </c>
      <c r="H67" s="58">
        <f t="shared" si="2"/>
        <v>431501.66500000004</v>
      </c>
    </row>
    <row r="68" spans="1:8" x14ac:dyDescent="0.25">
      <c r="A68" s="50">
        <f>'A) Base RI'!A70</f>
        <v>5499</v>
      </c>
      <c r="B68" s="57" t="str">
        <f>'A) Base RI'!B70</f>
        <v>Senarclens</v>
      </c>
      <c r="C68" s="32">
        <f>'B) D RI'!Y70</f>
        <v>344620.6</v>
      </c>
      <c r="D68" s="14">
        <f>'B) D RI'!Z70</f>
        <v>17109.55</v>
      </c>
      <c r="E68" s="10">
        <f t="shared" si="0"/>
        <v>361730.14999999997</v>
      </c>
      <c r="F68" s="14">
        <f>'B) D RI'!U70</f>
        <v>20155.097956204383</v>
      </c>
      <c r="G68" s="278">
        <f t="shared" si="1"/>
        <v>17.947327806891053</v>
      </c>
      <c r="H68" s="58">
        <f t="shared" si="2"/>
        <v>177443.16499999998</v>
      </c>
    </row>
    <row r="69" spans="1:8" x14ac:dyDescent="0.25">
      <c r="A69" s="50">
        <f>'A) Base RI'!A71</f>
        <v>5500</v>
      </c>
      <c r="B69" s="57" t="str">
        <f>'A) Base RI'!B71</f>
        <v>Sévery</v>
      </c>
      <c r="C69" s="32">
        <f>'B) D RI'!Y71</f>
        <v>30856.25</v>
      </c>
      <c r="D69" s="14">
        <f>'B) D RI'!Z71</f>
        <v>3276.4</v>
      </c>
      <c r="E69" s="10">
        <f t="shared" si="0"/>
        <v>34132.65</v>
      </c>
      <c r="F69" s="14">
        <f>'B) D RI'!U71</f>
        <v>8930.8127555555548</v>
      </c>
      <c r="G69" s="278">
        <f t="shared" si="1"/>
        <v>3.8218973943628187</v>
      </c>
      <c r="H69" s="58">
        <f t="shared" si="2"/>
        <v>16411.044999999998</v>
      </c>
    </row>
    <row r="70" spans="1:8" x14ac:dyDescent="0.25">
      <c r="A70" s="50">
        <f>'A) Base RI'!A72</f>
        <v>5501</v>
      </c>
      <c r="B70" s="57" t="str">
        <f>'A) Base RI'!B72</f>
        <v>Sullens</v>
      </c>
      <c r="C70" s="32">
        <f>'B) D RI'!Y72</f>
        <v>180944.05</v>
      </c>
      <c r="D70" s="14">
        <f>'B) D RI'!Z72</f>
        <v>62.3</v>
      </c>
      <c r="E70" s="10">
        <f t="shared" ref="E70:E133" si="3">C70+D70</f>
        <v>181006.34999999998</v>
      </c>
      <c r="F70" s="14">
        <f>'B) D RI'!U72</f>
        <v>34225.937428571429</v>
      </c>
      <c r="G70" s="278">
        <f t="shared" ref="G70:G133" si="4">E70/F70</f>
        <v>5.288572457007354</v>
      </c>
      <c r="H70" s="58">
        <f t="shared" ref="H70:H133" si="5">(C70*$C$4)+(D70*$D$4)</f>
        <v>90490.714999999997</v>
      </c>
    </row>
    <row r="71" spans="1:8" x14ac:dyDescent="0.25">
      <c r="A71" s="50">
        <f>'A) Base RI'!A73</f>
        <v>5503</v>
      </c>
      <c r="B71" s="57" t="str">
        <f>'A) Base RI'!B73</f>
        <v>Vufflens-la-Ville</v>
      </c>
      <c r="C71" s="32">
        <f>'B) D RI'!Y73</f>
        <v>224494.25</v>
      </c>
      <c r="D71" s="14">
        <f>'B) D RI'!Z73</f>
        <v>101099.1</v>
      </c>
      <c r="E71" s="10">
        <f t="shared" si="3"/>
        <v>325593.34999999998</v>
      </c>
      <c r="F71" s="14">
        <f>'B) D RI'!U73</f>
        <v>64516.192437810947</v>
      </c>
      <c r="G71" s="278">
        <f t="shared" si="4"/>
        <v>5.0466919651814379</v>
      </c>
      <c r="H71" s="58">
        <f t="shared" si="5"/>
        <v>142576.85500000001</v>
      </c>
    </row>
    <row r="72" spans="1:8" x14ac:dyDescent="0.25">
      <c r="A72" s="50">
        <f>'A) Base RI'!A74</f>
        <v>5511</v>
      </c>
      <c r="B72" s="57" t="str">
        <f>'A) Base RI'!B74</f>
        <v>Assens</v>
      </c>
      <c r="C72" s="32">
        <f>'B) D RI'!Y74</f>
        <v>79445.100000000006</v>
      </c>
      <c r="D72" s="14">
        <f>'B) D RI'!Z74</f>
        <v>15581.15</v>
      </c>
      <c r="E72" s="10">
        <f t="shared" si="3"/>
        <v>95026.25</v>
      </c>
      <c r="F72" s="14">
        <f>'B) D RI'!U74</f>
        <v>48081.721857142853</v>
      </c>
      <c r="G72" s="278">
        <f t="shared" si="4"/>
        <v>1.9763487314854393</v>
      </c>
      <c r="H72" s="58">
        <f t="shared" si="5"/>
        <v>44396.895000000004</v>
      </c>
    </row>
    <row r="73" spans="1:8" x14ac:dyDescent="0.25">
      <c r="A73" s="50">
        <f>'A) Base RI'!A75</f>
        <v>5512</v>
      </c>
      <c r="B73" s="57" t="str">
        <f>'A) Base RI'!B75</f>
        <v>Bercher</v>
      </c>
      <c r="C73" s="32">
        <f>'B) D RI'!Y75</f>
        <v>224938.55</v>
      </c>
      <c r="D73" s="14">
        <f>'B) D RI'!Z75</f>
        <v>24678.6</v>
      </c>
      <c r="E73" s="10">
        <f t="shared" si="3"/>
        <v>249617.15</v>
      </c>
      <c r="F73" s="14">
        <f>'B) D RI'!U75</f>
        <v>37529.742911392401</v>
      </c>
      <c r="G73" s="278">
        <f t="shared" si="4"/>
        <v>6.6511819862274377</v>
      </c>
      <c r="H73" s="58">
        <f t="shared" si="5"/>
        <v>119872.855</v>
      </c>
    </row>
    <row r="74" spans="1:8" x14ac:dyDescent="0.25">
      <c r="A74" s="50">
        <f>'A) Base RI'!A76</f>
        <v>5513</v>
      </c>
      <c r="B74" s="57" t="str">
        <f>'A) Base RI'!B76</f>
        <v>Bioley-Orjulaz</v>
      </c>
      <c r="C74" s="32">
        <f>'B) D RI'!Y76</f>
        <v>370792.55</v>
      </c>
      <c r="D74" s="14">
        <f>'B) D RI'!Z76</f>
        <v>94419.55</v>
      </c>
      <c r="E74" s="10">
        <f t="shared" si="3"/>
        <v>465212.1</v>
      </c>
      <c r="F74" s="14">
        <f>'B) D RI'!U76</f>
        <v>21045.596470588232</v>
      </c>
      <c r="G74" s="278">
        <f t="shared" si="4"/>
        <v>22.10496151297712</v>
      </c>
      <c r="H74" s="58">
        <f t="shared" si="5"/>
        <v>213722.13999999998</v>
      </c>
    </row>
    <row r="75" spans="1:8" x14ac:dyDescent="0.25">
      <c r="A75" s="50">
        <f>'A) Base RI'!A77</f>
        <v>5514</v>
      </c>
      <c r="B75" s="57" t="str">
        <f>'A) Base RI'!B77</f>
        <v>Bottens</v>
      </c>
      <c r="C75" s="32">
        <f>'B) D RI'!Y77</f>
        <v>119336.04999999999</v>
      </c>
      <c r="D75" s="14">
        <f>'B) D RI'!Z77</f>
        <v>8743.1</v>
      </c>
      <c r="E75" s="10">
        <f t="shared" si="3"/>
        <v>128079.15</v>
      </c>
      <c r="F75" s="14">
        <f>'B) D RI'!U77</f>
        <v>40912.963623188407</v>
      </c>
      <c r="G75" s="278">
        <f t="shared" si="4"/>
        <v>3.130527311089438</v>
      </c>
      <c r="H75" s="58">
        <f t="shared" si="5"/>
        <v>62290.954999999994</v>
      </c>
    </row>
    <row r="76" spans="1:8" x14ac:dyDescent="0.25">
      <c r="A76" s="50">
        <f>'A) Base RI'!A78</f>
        <v>5515</v>
      </c>
      <c r="B76" s="57" t="str">
        <f>'A) Base RI'!B78</f>
        <v>Bretigny-sur-Morrens</v>
      </c>
      <c r="C76" s="32">
        <f>'B) D RI'!Y78</f>
        <v>105537.15</v>
      </c>
      <c r="D76" s="14">
        <f>'B) D RI'!Z78</f>
        <v>9818.5</v>
      </c>
      <c r="E76" s="10">
        <f t="shared" si="3"/>
        <v>115355.65</v>
      </c>
      <c r="F76" s="14">
        <f>'B) D RI'!U78</f>
        <v>27693.425342465755</v>
      </c>
      <c r="G76" s="278">
        <f t="shared" si="4"/>
        <v>4.1654525784902061</v>
      </c>
      <c r="H76" s="58">
        <f t="shared" si="5"/>
        <v>55714.125</v>
      </c>
    </row>
    <row r="77" spans="1:8" x14ac:dyDescent="0.25">
      <c r="A77" s="50">
        <f>'A) Base RI'!A79</f>
        <v>5516</v>
      </c>
      <c r="B77" s="57" t="str">
        <f>'A) Base RI'!B79</f>
        <v>Cugy</v>
      </c>
      <c r="C77" s="32">
        <f>'B) D RI'!Y79</f>
        <v>552115.60000000009</v>
      </c>
      <c r="D77" s="14">
        <f>'B) D RI'!Z79</f>
        <v>100206.7</v>
      </c>
      <c r="E77" s="10">
        <f t="shared" si="3"/>
        <v>652322.30000000005</v>
      </c>
      <c r="F77" s="14">
        <f>'B) D RI'!U79</f>
        <v>110018.3817142857</v>
      </c>
      <c r="G77" s="278">
        <f t="shared" si="4"/>
        <v>5.9292119174599449</v>
      </c>
      <c r="H77" s="58">
        <f t="shared" si="5"/>
        <v>306119.81000000006</v>
      </c>
    </row>
    <row r="78" spans="1:8" x14ac:dyDescent="0.25">
      <c r="A78" s="50">
        <f>'A) Base RI'!A80</f>
        <v>5518</v>
      </c>
      <c r="B78" s="57" t="str">
        <f>'A) Base RI'!B80</f>
        <v>Echallens</v>
      </c>
      <c r="C78" s="32">
        <f>'B) D RI'!Y80</f>
        <v>547971.80000000005</v>
      </c>
      <c r="D78" s="14">
        <f>'B) D RI'!Z80</f>
        <v>149387.6</v>
      </c>
      <c r="E78" s="10">
        <f t="shared" si="3"/>
        <v>697359.4</v>
      </c>
      <c r="F78" s="14">
        <f>'B) D RI'!U80</f>
        <v>186251.15094594596</v>
      </c>
      <c r="G78" s="278">
        <f t="shared" si="4"/>
        <v>3.7441884061290365</v>
      </c>
      <c r="H78" s="58">
        <f t="shared" si="5"/>
        <v>318802.18000000005</v>
      </c>
    </row>
    <row r="79" spans="1:8" x14ac:dyDescent="0.25">
      <c r="A79" s="50">
        <f>'A) Base RI'!A81</f>
        <v>5520</v>
      </c>
      <c r="B79" s="57" t="str">
        <f>'A) Base RI'!B81</f>
        <v>Essertines-sur-Yverdon</v>
      </c>
      <c r="C79" s="32">
        <f>'B) D RI'!Y81</f>
        <v>196342.15</v>
      </c>
      <c r="D79" s="14">
        <f>'B) D RI'!Z81</f>
        <v>11219.05</v>
      </c>
      <c r="E79" s="10">
        <f t="shared" si="3"/>
        <v>207561.19999999998</v>
      </c>
      <c r="F79" s="14">
        <f>'B) D RI'!U81</f>
        <v>32026.22082191781</v>
      </c>
      <c r="G79" s="278">
        <f t="shared" si="4"/>
        <v>6.4809769830210859</v>
      </c>
      <c r="H79" s="58">
        <f t="shared" si="5"/>
        <v>101536.79</v>
      </c>
    </row>
    <row r="80" spans="1:8" x14ac:dyDescent="0.25">
      <c r="A80" s="50">
        <f>'A) Base RI'!A82</f>
        <v>5521</v>
      </c>
      <c r="B80" s="57" t="str">
        <f>'A) Base RI'!B82</f>
        <v>Etagnières</v>
      </c>
      <c r="C80" s="32">
        <f>'B) D RI'!Y82</f>
        <v>147954.70000000001</v>
      </c>
      <c r="D80" s="14">
        <f>'B) D RI'!Z82</f>
        <v>49840.9</v>
      </c>
      <c r="E80" s="10">
        <f t="shared" si="3"/>
        <v>197795.6</v>
      </c>
      <c r="F80" s="14">
        <f>'B) D RI'!U82</f>
        <v>40939.440821917808</v>
      </c>
      <c r="G80" s="278">
        <f t="shared" si="4"/>
        <v>4.8314191896364616</v>
      </c>
      <c r="H80" s="58">
        <f t="shared" si="5"/>
        <v>88929.62000000001</v>
      </c>
    </row>
    <row r="81" spans="1:8" x14ac:dyDescent="0.25">
      <c r="A81" s="50">
        <f>'A) Base RI'!A83</f>
        <v>5522</v>
      </c>
      <c r="B81" s="57" t="str">
        <f>'A) Base RI'!B83</f>
        <v>Fey</v>
      </c>
      <c r="C81" s="32">
        <f>'B) D RI'!Y83</f>
        <v>134162</v>
      </c>
      <c r="D81" s="14">
        <f>'B) D RI'!Z83</f>
        <v>6207.7</v>
      </c>
      <c r="E81" s="10">
        <f t="shared" si="3"/>
        <v>140369.70000000001</v>
      </c>
      <c r="F81" s="14">
        <f>'B) D RI'!U83</f>
        <v>20215.813200000001</v>
      </c>
      <c r="G81" s="278">
        <f t="shared" si="4"/>
        <v>6.943559411203899</v>
      </c>
      <c r="H81" s="58">
        <f t="shared" si="5"/>
        <v>68943.31</v>
      </c>
    </row>
    <row r="82" spans="1:8" x14ac:dyDescent="0.25">
      <c r="A82" s="50">
        <f>'A) Base RI'!A84</f>
        <v>5523</v>
      </c>
      <c r="B82" s="57" t="str">
        <f>'A) Base RI'!B84</f>
        <v>Froideville</v>
      </c>
      <c r="C82" s="32">
        <f>'B) D RI'!Y84</f>
        <v>287828.40000000002</v>
      </c>
      <c r="D82" s="14">
        <f>'B) D RI'!Z84</f>
        <v>1694.9</v>
      </c>
      <c r="E82" s="10">
        <f t="shared" si="3"/>
        <v>289523.30000000005</v>
      </c>
      <c r="F82" s="14">
        <f>'B) D RI'!U84</f>
        <v>83831.156184210529</v>
      </c>
      <c r="G82" s="278">
        <f t="shared" si="4"/>
        <v>3.453647941629264</v>
      </c>
      <c r="H82" s="58">
        <f t="shared" si="5"/>
        <v>144422.67000000001</v>
      </c>
    </row>
    <row r="83" spans="1:8" x14ac:dyDescent="0.25">
      <c r="A83" s="50">
        <f>'A) Base RI'!A85</f>
        <v>5527</v>
      </c>
      <c r="B83" s="57" t="str">
        <f>'A) Base RI'!B85</f>
        <v>Morrens</v>
      </c>
      <c r="C83" s="32">
        <f>'B) D RI'!Y85</f>
        <v>157148.70000000001</v>
      </c>
      <c r="D83" s="14">
        <f>'B) D RI'!Z85</f>
        <v>10589.6</v>
      </c>
      <c r="E83" s="10">
        <f t="shared" si="3"/>
        <v>167738.30000000002</v>
      </c>
      <c r="F83" s="14">
        <f>'B) D RI'!U85</f>
        <v>39666.797042253522</v>
      </c>
      <c r="G83" s="278">
        <f t="shared" si="4"/>
        <v>4.2286827399077191</v>
      </c>
      <c r="H83" s="58">
        <f t="shared" si="5"/>
        <v>81751.23000000001</v>
      </c>
    </row>
    <row r="84" spans="1:8" x14ac:dyDescent="0.25">
      <c r="A84" s="50">
        <f>'A) Base RI'!A86</f>
        <v>5529</v>
      </c>
      <c r="B84" s="57" t="str">
        <f>'A) Base RI'!B86</f>
        <v>Oulens-sous-Echallens</v>
      </c>
      <c r="C84" s="32">
        <f>'B) D RI'!Y86</f>
        <v>105682.70000000001</v>
      </c>
      <c r="D84" s="14">
        <f>'B) D RI'!Z86</f>
        <v>0</v>
      </c>
      <c r="E84" s="10">
        <f t="shared" si="3"/>
        <v>105682.70000000001</v>
      </c>
      <c r="F84" s="14">
        <f>'B) D RI'!U86</f>
        <v>20224.362535211272</v>
      </c>
      <c r="G84" s="278">
        <f t="shared" si="4"/>
        <v>5.2255145157728951</v>
      </c>
      <c r="H84" s="58">
        <f t="shared" si="5"/>
        <v>52841.350000000006</v>
      </c>
    </row>
    <row r="85" spans="1:8" x14ac:dyDescent="0.25">
      <c r="A85" s="50">
        <f>'A) Base RI'!A87</f>
        <v>5530</v>
      </c>
      <c r="B85" s="57" t="str">
        <f>'A) Base RI'!B87</f>
        <v>Pailly</v>
      </c>
      <c r="C85" s="32">
        <f>'B) D RI'!Y87</f>
        <v>100463.25</v>
      </c>
      <c r="D85" s="14">
        <f>'B) D RI'!Z87</f>
        <v>2846.5</v>
      </c>
      <c r="E85" s="10">
        <f t="shared" si="3"/>
        <v>103309.75</v>
      </c>
      <c r="F85" s="14">
        <f>'B) D RI'!U87</f>
        <v>16275.145870967741</v>
      </c>
      <c r="G85" s="278">
        <f t="shared" si="4"/>
        <v>6.3477004027526469</v>
      </c>
      <c r="H85" s="58">
        <f t="shared" si="5"/>
        <v>51085.574999999997</v>
      </c>
    </row>
    <row r="86" spans="1:8" x14ac:dyDescent="0.25">
      <c r="A86" s="50">
        <f>'A) Base RI'!A88</f>
        <v>5531</v>
      </c>
      <c r="B86" s="57" t="str">
        <f>'A) Base RI'!B88</f>
        <v>Penthéréaz</v>
      </c>
      <c r="C86" s="32">
        <f>'B) D RI'!Y88</f>
        <v>48649.4</v>
      </c>
      <c r="D86" s="14">
        <f>'B) D RI'!Z88</f>
        <v>14930.3</v>
      </c>
      <c r="E86" s="10">
        <f t="shared" si="3"/>
        <v>63579.7</v>
      </c>
      <c r="F86" s="14">
        <f>'B) D RI'!U88</f>
        <v>13115.607307692309</v>
      </c>
      <c r="G86" s="278">
        <f t="shared" si="4"/>
        <v>4.8476367512704099</v>
      </c>
      <c r="H86" s="58">
        <f t="shared" si="5"/>
        <v>28803.79</v>
      </c>
    </row>
    <row r="87" spans="1:8" x14ac:dyDescent="0.25">
      <c r="A87" s="50">
        <f>'A) Base RI'!A89</f>
        <v>5533</v>
      </c>
      <c r="B87" s="57" t="str">
        <f>'A) Base RI'!B89</f>
        <v>Poliez-Pittet</v>
      </c>
      <c r="C87" s="32">
        <f>'B) D RI'!Y89</f>
        <v>35868.800000000003</v>
      </c>
      <c r="D87" s="14">
        <f>'B) D RI'!Z89</f>
        <v>2712.4</v>
      </c>
      <c r="E87" s="10">
        <f t="shared" si="3"/>
        <v>38581.200000000004</v>
      </c>
      <c r="F87" s="14">
        <f>'B) D RI'!U89</f>
        <v>27509.250422535213</v>
      </c>
      <c r="G87" s="278">
        <f t="shared" si="4"/>
        <v>1.4024809621273722</v>
      </c>
      <c r="H87" s="58">
        <f t="shared" si="5"/>
        <v>18748.120000000003</v>
      </c>
    </row>
    <row r="88" spans="1:8" x14ac:dyDescent="0.25">
      <c r="A88" s="50">
        <f>'A) Base RI'!A90</f>
        <v>5534</v>
      </c>
      <c r="B88" s="57" t="str">
        <f>'A) Base RI'!B90</f>
        <v>Rueyres</v>
      </c>
      <c r="C88" s="32">
        <f>'B) D RI'!Y90</f>
        <v>7428.3</v>
      </c>
      <c r="D88" s="14">
        <f>'B) D RI'!Z90</f>
        <v>26152.25</v>
      </c>
      <c r="E88" s="10">
        <f t="shared" si="3"/>
        <v>33580.550000000003</v>
      </c>
      <c r="F88" s="14">
        <f>'B) D RI'!U90</f>
        <v>9282.5224657534254</v>
      </c>
      <c r="G88" s="278">
        <f t="shared" si="4"/>
        <v>3.617610420431598</v>
      </c>
      <c r="H88" s="58">
        <f t="shared" si="5"/>
        <v>11559.824999999999</v>
      </c>
    </row>
    <row r="89" spans="1:8" x14ac:dyDescent="0.25">
      <c r="A89" s="50">
        <f>'A) Base RI'!A91</f>
        <v>5535</v>
      </c>
      <c r="B89" s="57" t="str">
        <f>'A) Base RI'!B91</f>
        <v>Saint-Barthélemy</v>
      </c>
      <c r="C89" s="32">
        <f>'B) D RI'!Y91</f>
        <v>32102.300000000003</v>
      </c>
      <c r="D89" s="14">
        <f>'B) D RI'!Z91</f>
        <v>34037.4</v>
      </c>
      <c r="E89" s="10">
        <f t="shared" si="3"/>
        <v>66139.700000000012</v>
      </c>
      <c r="F89" s="14">
        <f>'B) D RI'!U91</f>
        <v>23206.167922077926</v>
      </c>
      <c r="G89" s="278">
        <f t="shared" si="4"/>
        <v>2.8500914163029867</v>
      </c>
      <c r="H89" s="58">
        <f t="shared" si="5"/>
        <v>26262.370000000003</v>
      </c>
    </row>
    <row r="90" spans="1:8" x14ac:dyDescent="0.25">
      <c r="A90" s="50">
        <f>'A) Base RI'!A92</f>
        <v>5537</v>
      </c>
      <c r="B90" s="57" t="str">
        <f>'A) Base RI'!B92</f>
        <v>Villars-le-Terroir</v>
      </c>
      <c r="C90" s="32">
        <f>'B) D RI'!Y92</f>
        <v>144629.70000000001</v>
      </c>
      <c r="D90" s="14">
        <f>'B) D RI'!Z92</f>
        <v>954.05</v>
      </c>
      <c r="E90" s="10">
        <f t="shared" si="3"/>
        <v>145583.75</v>
      </c>
      <c r="F90" s="14">
        <f>'B) D RI'!U92</f>
        <v>33504.625479452057</v>
      </c>
      <c r="G90" s="278">
        <f t="shared" si="4"/>
        <v>4.345183625147059</v>
      </c>
      <c r="H90" s="58">
        <f t="shared" si="5"/>
        <v>72601.065000000002</v>
      </c>
    </row>
    <row r="91" spans="1:8" x14ac:dyDescent="0.25">
      <c r="A91" s="50">
        <f>'A) Base RI'!A93</f>
        <v>5539</v>
      </c>
      <c r="B91" s="57" t="str">
        <f>'A) Base RI'!B93</f>
        <v>Vuarrens</v>
      </c>
      <c r="C91" s="32">
        <f>'B) D RI'!Y93</f>
        <v>74660</v>
      </c>
      <c r="D91" s="14">
        <f>'B) D RI'!Z93</f>
        <v>34768.85</v>
      </c>
      <c r="E91" s="10">
        <f t="shared" si="3"/>
        <v>109428.85</v>
      </c>
      <c r="F91" s="14">
        <f>'B) D RI'!U93</f>
        <v>26926.432233333333</v>
      </c>
      <c r="G91" s="278">
        <f t="shared" si="4"/>
        <v>4.0639936643568229</v>
      </c>
      <c r="H91" s="58">
        <f t="shared" si="5"/>
        <v>47760.654999999999</v>
      </c>
    </row>
    <row r="92" spans="1:8" x14ac:dyDescent="0.25">
      <c r="A92" s="50">
        <f>'A) Base RI'!A94</f>
        <v>5540</v>
      </c>
      <c r="B92" s="57" t="str">
        <f>'A) Base RI'!B94</f>
        <v>Montilliez</v>
      </c>
      <c r="C92" s="32">
        <f>'B) D RI'!Y94</f>
        <v>209733.65000000002</v>
      </c>
      <c r="D92" s="14">
        <f>'B) D RI'!Z94</f>
        <v>2349.8000000000002</v>
      </c>
      <c r="E92" s="10">
        <f t="shared" si="3"/>
        <v>212083.45</v>
      </c>
      <c r="F92" s="14">
        <f>'B) D RI'!U94</f>
        <v>56983.650067567571</v>
      </c>
      <c r="G92" s="278">
        <f t="shared" si="4"/>
        <v>3.721829853800608</v>
      </c>
      <c r="H92" s="58">
        <f t="shared" si="5"/>
        <v>105571.76500000001</v>
      </c>
    </row>
    <row r="93" spans="1:8" x14ac:dyDescent="0.25">
      <c r="A93" s="50">
        <f>'A) Base RI'!A95</f>
        <v>5541</v>
      </c>
      <c r="B93" s="57" t="str">
        <f>'A) Base RI'!B95</f>
        <v>Goumoëns</v>
      </c>
      <c r="C93" s="32">
        <f>'B) D RI'!Y95</f>
        <v>139880.75</v>
      </c>
      <c r="D93" s="14">
        <f>'B) D RI'!Z95</f>
        <v>7197</v>
      </c>
      <c r="E93" s="10">
        <f t="shared" si="3"/>
        <v>147077.75</v>
      </c>
      <c r="F93" s="14">
        <f>'B) D RI'!U95</f>
        <v>38548.273636363643</v>
      </c>
      <c r="G93" s="278">
        <f t="shared" si="4"/>
        <v>3.8154172969566535</v>
      </c>
      <c r="H93" s="58">
        <f t="shared" si="5"/>
        <v>72099.475000000006</v>
      </c>
    </row>
    <row r="94" spans="1:8" x14ac:dyDescent="0.25">
      <c r="A94" s="50">
        <f>'A) Base RI'!A96</f>
        <v>5551</v>
      </c>
      <c r="B94" s="57" t="str">
        <f>'A) Base RI'!B96</f>
        <v>Bonvillars</v>
      </c>
      <c r="C94" s="32">
        <f>'B) D RI'!Y96</f>
        <v>115829.9</v>
      </c>
      <c r="D94" s="14">
        <f>'B) D RI'!Z96</f>
        <v>10619.35</v>
      </c>
      <c r="E94" s="10">
        <f t="shared" si="3"/>
        <v>126449.25</v>
      </c>
      <c r="F94" s="14">
        <f>'B) D RI'!U96</f>
        <v>18775.330727272729</v>
      </c>
      <c r="G94" s="278">
        <f t="shared" si="4"/>
        <v>6.7348613900218517</v>
      </c>
      <c r="H94" s="58">
        <f t="shared" si="5"/>
        <v>61100.754999999997</v>
      </c>
    </row>
    <row r="95" spans="1:8" x14ac:dyDescent="0.25">
      <c r="A95" s="50">
        <f>'A) Base RI'!A97</f>
        <v>5552</v>
      </c>
      <c r="B95" s="57" t="str">
        <f>'A) Base RI'!B97</f>
        <v>Bullet</v>
      </c>
      <c r="C95" s="32">
        <f>'B) D RI'!Y97</f>
        <v>91560.949999999983</v>
      </c>
      <c r="D95" s="14">
        <f>'B) D RI'!Z97</f>
        <v>44648.35</v>
      </c>
      <c r="E95" s="10">
        <f t="shared" si="3"/>
        <v>136209.29999999999</v>
      </c>
      <c r="F95" s="14">
        <f>'B) D RI'!U97</f>
        <v>17788.918428571429</v>
      </c>
      <c r="G95" s="278">
        <f t="shared" si="4"/>
        <v>7.6569747928704466</v>
      </c>
      <c r="H95" s="58">
        <f t="shared" si="5"/>
        <v>59174.979999999989</v>
      </c>
    </row>
    <row r="96" spans="1:8" x14ac:dyDescent="0.25">
      <c r="A96" s="50">
        <f>'A) Base RI'!A98</f>
        <v>5553</v>
      </c>
      <c r="B96" s="57" t="str">
        <f>'A) Base RI'!B98</f>
        <v>Champagne</v>
      </c>
      <c r="C96" s="32">
        <f>'B) D RI'!Y98</f>
        <v>134620.6</v>
      </c>
      <c r="D96" s="14">
        <f>'B) D RI'!Z98</f>
        <v>128249.75</v>
      </c>
      <c r="E96" s="10">
        <f t="shared" si="3"/>
        <v>262870.34999999998</v>
      </c>
      <c r="F96" s="14">
        <f>'B) D RI'!U98</f>
        <v>34060.380307692314</v>
      </c>
      <c r="G96" s="278">
        <f t="shared" si="4"/>
        <v>7.7177749521672965</v>
      </c>
      <c r="H96" s="58">
        <f t="shared" si="5"/>
        <v>105785.22500000001</v>
      </c>
    </row>
    <row r="97" spans="1:8" x14ac:dyDescent="0.25">
      <c r="A97" s="50">
        <f>'A) Base RI'!A99</f>
        <v>5554</v>
      </c>
      <c r="B97" s="57" t="str">
        <f>'A) Base RI'!B99</f>
        <v>Concise</v>
      </c>
      <c r="C97" s="32">
        <f>'B) D RI'!Y99</f>
        <v>117254.1</v>
      </c>
      <c r="D97" s="14">
        <f>'B) D RI'!Z99</f>
        <v>1585.3</v>
      </c>
      <c r="E97" s="10">
        <f t="shared" si="3"/>
        <v>118839.40000000001</v>
      </c>
      <c r="F97" s="14">
        <f>'B) D RI'!U99</f>
        <v>31701.023466666669</v>
      </c>
      <c r="G97" s="278">
        <f t="shared" si="4"/>
        <v>3.7487559392193925</v>
      </c>
      <c r="H97" s="58">
        <f t="shared" si="5"/>
        <v>59102.64</v>
      </c>
    </row>
    <row r="98" spans="1:8" x14ac:dyDescent="0.25">
      <c r="A98" s="50">
        <f>'A) Base RI'!A100</f>
        <v>5555</v>
      </c>
      <c r="B98" s="57" t="str">
        <f>'A) Base RI'!B100</f>
        <v>Corcelles-près-Concise</v>
      </c>
      <c r="C98" s="32">
        <f>'B) D RI'!Y100</f>
        <v>119210.70000000001</v>
      </c>
      <c r="D98" s="14">
        <f>'B) D RI'!Z100</f>
        <v>7825.5</v>
      </c>
      <c r="E98" s="10">
        <f t="shared" si="3"/>
        <v>127036.20000000001</v>
      </c>
      <c r="F98" s="14">
        <f>'B) D RI'!U100</f>
        <v>13631.876197183097</v>
      </c>
      <c r="G98" s="278">
        <f t="shared" si="4"/>
        <v>9.3190547040216583</v>
      </c>
      <c r="H98" s="58">
        <f t="shared" si="5"/>
        <v>61953.000000000007</v>
      </c>
    </row>
    <row r="99" spans="1:8" x14ac:dyDescent="0.25">
      <c r="A99" s="50">
        <f>'A) Base RI'!A101</f>
        <v>5556</v>
      </c>
      <c r="B99" s="57" t="str">
        <f>'A) Base RI'!B101</f>
        <v>Fiez</v>
      </c>
      <c r="C99" s="32">
        <f>'B) D RI'!Y101</f>
        <v>474546.05</v>
      </c>
      <c r="D99" s="14">
        <f>'B) D RI'!Z101</f>
        <v>0</v>
      </c>
      <c r="E99" s="10">
        <f t="shared" si="3"/>
        <v>474546.05</v>
      </c>
      <c r="F99" s="14">
        <f>'B) D RI'!U101</f>
        <v>12908.608502415458</v>
      </c>
      <c r="G99" s="278">
        <f t="shared" si="4"/>
        <v>36.761983285123485</v>
      </c>
      <c r="H99" s="58">
        <f t="shared" si="5"/>
        <v>237273.02499999999</v>
      </c>
    </row>
    <row r="100" spans="1:8" x14ac:dyDescent="0.25">
      <c r="A100" s="50">
        <f>'A) Base RI'!A102</f>
        <v>5557</v>
      </c>
      <c r="B100" s="57" t="str">
        <f>'A) Base RI'!B102</f>
        <v>Fontaines-sur-Grandson</v>
      </c>
      <c r="C100" s="32">
        <f>'B) D RI'!Y102</f>
        <v>30627.399999999998</v>
      </c>
      <c r="D100" s="14">
        <f>'B) D RI'!Z102</f>
        <v>0</v>
      </c>
      <c r="E100" s="10">
        <f t="shared" si="3"/>
        <v>30627.399999999998</v>
      </c>
      <c r="F100" s="14">
        <f>'B) D RI'!U102</f>
        <v>4431.6020289855087</v>
      </c>
      <c r="G100" s="278">
        <f t="shared" si="4"/>
        <v>6.9111350251392691</v>
      </c>
      <c r="H100" s="58">
        <f t="shared" si="5"/>
        <v>15313.699999999999</v>
      </c>
    </row>
    <row r="101" spans="1:8" x14ac:dyDescent="0.25">
      <c r="A101" s="50">
        <f>'A) Base RI'!A103</f>
        <v>5559</v>
      </c>
      <c r="B101" s="57" t="str">
        <f>'A) Base RI'!B103</f>
        <v>Giez</v>
      </c>
      <c r="C101" s="32">
        <f>'B) D RI'!Y103</f>
        <v>57097.899999999994</v>
      </c>
      <c r="D101" s="14">
        <f>'B) D RI'!Z103</f>
        <v>18858.099999999999</v>
      </c>
      <c r="E101" s="10">
        <f t="shared" si="3"/>
        <v>75956</v>
      </c>
      <c r="F101" s="14">
        <f>'B) D RI'!U103</f>
        <v>15789.686212121214</v>
      </c>
      <c r="G101" s="278">
        <f t="shared" si="4"/>
        <v>4.8104819170941546</v>
      </c>
      <c r="H101" s="58">
        <f t="shared" si="5"/>
        <v>34206.379999999997</v>
      </c>
    </row>
    <row r="102" spans="1:8" x14ac:dyDescent="0.25">
      <c r="A102" s="50">
        <f>'A) Base RI'!A104</f>
        <v>5560</v>
      </c>
      <c r="B102" s="57" t="str">
        <f>'A) Base RI'!B104</f>
        <v>Grandevent</v>
      </c>
      <c r="C102" s="32">
        <f>'B) D RI'!Y104</f>
        <v>27367.05</v>
      </c>
      <c r="D102" s="14">
        <f>'B) D RI'!Z104</f>
        <v>0</v>
      </c>
      <c r="E102" s="10">
        <f t="shared" si="3"/>
        <v>27367.05</v>
      </c>
      <c r="F102" s="14">
        <f>'B) D RI'!U104</f>
        <v>6263.3176470588232</v>
      </c>
      <c r="G102" s="278">
        <f t="shared" si="4"/>
        <v>4.3694175422910622</v>
      </c>
      <c r="H102" s="58">
        <f t="shared" si="5"/>
        <v>13683.525</v>
      </c>
    </row>
    <row r="103" spans="1:8" x14ac:dyDescent="0.25">
      <c r="A103" s="50">
        <f>'A) Base RI'!A105</f>
        <v>5561</v>
      </c>
      <c r="B103" s="57" t="str">
        <f>'A) Base RI'!B105</f>
        <v>Grandson</v>
      </c>
      <c r="C103" s="32">
        <f>'B) D RI'!Y105</f>
        <v>385213.9</v>
      </c>
      <c r="D103" s="14">
        <f>'B) D RI'!Z105</f>
        <v>286091.09999999998</v>
      </c>
      <c r="E103" s="10">
        <f t="shared" si="3"/>
        <v>671305</v>
      </c>
      <c r="F103" s="14">
        <f>'B) D RI'!U105</f>
        <v>115658.41101449275</v>
      </c>
      <c r="G103" s="278">
        <f t="shared" si="4"/>
        <v>5.8042038975953174</v>
      </c>
      <c r="H103" s="58">
        <f t="shared" si="5"/>
        <v>278434.28000000003</v>
      </c>
    </row>
    <row r="104" spans="1:8" x14ac:dyDescent="0.25">
      <c r="A104" s="50">
        <f>'A) Base RI'!A106</f>
        <v>5562</v>
      </c>
      <c r="B104" s="57" t="str">
        <f>'A) Base RI'!B106</f>
        <v>Mauborget</v>
      </c>
      <c r="C104" s="32">
        <f>'B) D RI'!Y106</f>
        <v>13105.45</v>
      </c>
      <c r="D104" s="14">
        <f>'B) D RI'!Z106</f>
        <v>0</v>
      </c>
      <c r="E104" s="10">
        <f t="shared" si="3"/>
        <v>13105.45</v>
      </c>
      <c r="F104" s="14">
        <f>'B) D RI'!U106</f>
        <v>5902.7637857142863</v>
      </c>
      <c r="G104" s="278">
        <f t="shared" si="4"/>
        <v>2.2202226746253113</v>
      </c>
      <c r="H104" s="58">
        <f t="shared" si="5"/>
        <v>6552.7250000000004</v>
      </c>
    </row>
    <row r="105" spans="1:8" x14ac:dyDescent="0.25">
      <c r="A105" s="50">
        <f>'A) Base RI'!A107</f>
        <v>5563</v>
      </c>
      <c r="B105" s="57" t="str">
        <f>'A) Base RI'!B107</f>
        <v>Mutrux</v>
      </c>
      <c r="C105" s="32">
        <f>'B) D RI'!Y107</f>
        <v>12243</v>
      </c>
      <c r="D105" s="14">
        <f>'B) D RI'!Z107</f>
        <v>0</v>
      </c>
      <c r="E105" s="10">
        <f t="shared" si="3"/>
        <v>12243</v>
      </c>
      <c r="F105" s="14">
        <f>'B) D RI'!U107</f>
        <v>3109.2766878980892</v>
      </c>
      <c r="G105" s="278">
        <f t="shared" si="4"/>
        <v>3.9375717341760357</v>
      </c>
      <c r="H105" s="58">
        <f t="shared" si="5"/>
        <v>6121.5</v>
      </c>
    </row>
    <row r="106" spans="1:8" x14ac:dyDescent="0.25">
      <c r="A106" s="50">
        <f>'A) Base RI'!A108</f>
        <v>5564</v>
      </c>
      <c r="B106" s="57" t="str">
        <f>'A) Base RI'!B108</f>
        <v>Novalles</v>
      </c>
      <c r="C106" s="32">
        <f>'B) D RI'!Y108</f>
        <v>16852.2</v>
      </c>
      <c r="D106" s="14">
        <f>'B) D RI'!Z108</f>
        <v>0</v>
      </c>
      <c r="E106" s="10">
        <f t="shared" si="3"/>
        <v>16852.2</v>
      </c>
      <c r="F106" s="14">
        <f>'B) D RI'!U108</f>
        <v>2625.7898355263155</v>
      </c>
      <c r="G106" s="278">
        <f t="shared" si="4"/>
        <v>6.4179546176901594</v>
      </c>
      <c r="H106" s="58">
        <f t="shared" si="5"/>
        <v>8426.1</v>
      </c>
    </row>
    <row r="107" spans="1:8" x14ac:dyDescent="0.25">
      <c r="A107" s="50">
        <f>'A) Base RI'!A109</f>
        <v>5565</v>
      </c>
      <c r="B107" s="57" t="str">
        <f>'A) Base RI'!B109</f>
        <v>Onnens</v>
      </c>
      <c r="C107" s="32">
        <f>'B) D RI'!Y109</f>
        <v>79821.8</v>
      </c>
      <c r="D107" s="14">
        <f>'B) D RI'!Z109</f>
        <v>31110.9</v>
      </c>
      <c r="E107" s="10">
        <f t="shared" si="3"/>
        <v>110932.70000000001</v>
      </c>
      <c r="F107" s="14">
        <f>'B) D RI'!U109</f>
        <v>18487.846307692304</v>
      </c>
      <c r="G107" s="278">
        <f t="shared" si="4"/>
        <v>6.0003040999883179</v>
      </c>
      <c r="H107" s="58">
        <f t="shared" si="5"/>
        <v>49244.17</v>
      </c>
    </row>
    <row r="108" spans="1:8" x14ac:dyDescent="0.25">
      <c r="A108" s="50">
        <f>'A) Base RI'!A110</f>
        <v>5566</v>
      </c>
      <c r="B108" s="57" t="str">
        <f>'A) Base RI'!B110</f>
        <v>Provence</v>
      </c>
      <c r="C108" s="32">
        <f>'B) D RI'!Y110</f>
        <v>9207.7000000000007</v>
      </c>
      <c r="D108" s="14">
        <f>'B) D RI'!Z110</f>
        <v>50657.7</v>
      </c>
      <c r="E108" s="10">
        <f t="shared" si="3"/>
        <v>59865.399999999994</v>
      </c>
      <c r="F108" s="14">
        <f>'B) D RI'!U110</f>
        <v>7938.210164609055</v>
      </c>
      <c r="G108" s="278">
        <f t="shared" si="4"/>
        <v>7.5414229100280155</v>
      </c>
      <c r="H108" s="58">
        <f t="shared" si="5"/>
        <v>19801.159999999996</v>
      </c>
    </row>
    <row r="109" spans="1:8" x14ac:dyDescent="0.25">
      <c r="A109" s="50">
        <f>'A) Base RI'!A111</f>
        <v>5568</v>
      </c>
      <c r="B109" s="57" t="str">
        <f>'A) Base RI'!B111</f>
        <v>Sainte-Croix</v>
      </c>
      <c r="C109" s="32">
        <f>'B) D RI'!Y111</f>
        <v>816797.55</v>
      </c>
      <c r="D109" s="14">
        <f>'B) D RI'!Z111</f>
        <v>1743574.2</v>
      </c>
      <c r="E109" s="10">
        <f t="shared" si="3"/>
        <v>2560371.75</v>
      </c>
      <c r="F109" s="14">
        <f>'B) D RI'!U111</f>
        <v>99640.524428571414</v>
      </c>
      <c r="G109" s="278">
        <f t="shared" si="4"/>
        <v>25.696088661550906</v>
      </c>
      <c r="H109" s="58">
        <f t="shared" si="5"/>
        <v>931471.03499999992</v>
      </c>
    </row>
    <row r="110" spans="1:8" x14ac:dyDescent="0.25">
      <c r="A110" s="50">
        <f>'A) Base RI'!A112</f>
        <v>5571</v>
      </c>
      <c r="B110" s="57" t="str">
        <f>'A) Base RI'!B112</f>
        <v>Tévenon</v>
      </c>
      <c r="C110" s="32">
        <f>'B) D RI'!Y112</f>
        <v>82385.600000000006</v>
      </c>
      <c r="D110" s="14">
        <f>'B) D RI'!Z112</f>
        <v>63422.35</v>
      </c>
      <c r="E110" s="10">
        <f t="shared" si="3"/>
        <v>145807.95000000001</v>
      </c>
      <c r="F110" s="14">
        <f>'B) D RI'!U112</f>
        <v>21324.629931506846</v>
      </c>
      <c r="G110" s="278">
        <f t="shared" si="4"/>
        <v>6.837537179698991</v>
      </c>
      <c r="H110" s="58">
        <f t="shared" si="5"/>
        <v>60219.505000000005</v>
      </c>
    </row>
    <row r="111" spans="1:8" x14ac:dyDescent="0.25">
      <c r="A111" s="50">
        <f>'A) Base RI'!A113</f>
        <v>5581</v>
      </c>
      <c r="B111" s="57" t="str">
        <f>'A) Base RI'!B113</f>
        <v>Belmont-sur-Lausanne</v>
      </c>
      <c r="C111" s="32">
        <f>'B) D RI'!Y113</f>
        <v>1008665.4500000001</v>
      </c>
      <c r="D111" s="14">
        <f>'B) D RI'!Z113</f>
        <v>1995.25</v>
      </c>
      <c r="E111" s="10">
        <f t="shared" si="3"/>
        <v>1010660.7000000001</v>
      </c>
      <c r="F111" s="14">
        <f>'B) D RI'!U113</f>
        <v>192051.94455635498</v>
      </c>
      <c r="G111" s="278">
        <f t="shared" si="4"/>
        <v>5.2624340895618253</v>
      </c>
      <c r="H111" s="58">
        <f t="shared" si="5"/>
        <v>504931.30000000005</v>
      </c>
    </row>
    <row r="112" spans="1:8" x14ac:dyDescent="0.25">
      <c r="A112" s="50">
        <f>'A) Base RI'!A114</f>
        <v>5582</v>
      </c>
      <c r="B112" s="57" t="str">
        <f>'A) Base RI'!B114</f>
        <v>Cheseaux-sur-Lausanne</v>
      </c>
      <c r="C112" s="32">
        <f>'B) D RI'!Y114</f>
        <v>183367.9</v>
      </c>
      <c r="D112" s="14">
        <f>'B) D RI'!Z114</f>
        <v>427863.35</v>
      </c>
      <c r="E112" s="10">
        <f t="shared" si="3"/>
        <v>611231.25</v>
      </c>
      <c r="F112" s="14">
        <f>'B) D RI'!U114</f>
        <v>179002.65087248324</v>
      </c>
      <c r="G112" s="278">
        <f t="shared" si="4"/>
        <v>3.4146491519582298</v>
      </c>
      <c r="H112" s="58">
        <f t="shared" si="5"/>
        <v>220042.95499999999</v>
      </c>
    </row>
    <row r="113" spans="1:8" x14ac:dyDescent="0.25">
      <c r="A113" s="50">
        <f>'A) Base RI'!A115</f>
        <v>5583</v>
      </c>
      <c r="B113" s="57" t="str">
        <f>'A) Base RI'!B115</f>
        <v>Crissier</v>
      </c>
      <c r="C113" s="32">
        <f>'B) D RI'!Y115</f>
        <v>1086683.55</v>
      </c>
      <c r="D113" s="14">
        <f>'B) D RI'!Z115</f>
        <v>1504095.45</v>
      </c>
      <c r="E113" s="10">
        <f t="shared" si="3"/>
        <v>2590779</v>
      </c>
      <c r="F113" s="14">
        <f>'B) D RI'!U115</f>
        <v>294545.40292307688</v>
      </c>
      <c r="G113" s="278">
        <f t="shared" si="4"/>
        <v>8.7958561712015744</v>
      </c>
      <c r="H113" s="58">
        <f t="shared" si="5"/>
        <v>994570.40999999992</v>
      </c>
    </row>
    <row r="114" spans="1:8" x14ac:dyDescent="0.25">
      <c r="A114" s="50">
        <f>'A) Base RI'!A116</f>
        <v>5584</v>
      </c>
      <c r="B114" s="57" t="str">
        <f>'A) Base RI'!B116</f>
        <v>Epalinges</v>
      </c>
      <c r="C114" s="32">
        <f>'B) D RI'!Y116</f>
        <v>2783697.0999999996</v>
      </c>
      <c r="D114" s="14">
        <f>'B) D RI'!Z116</f>
        <v>219156.75</v>
      </c>
      <c r="E114" s="10">
        <f t="shared" si="3"/>
        <v>3002853.8499999996</v>
      </c>
      <c r="F114" s="14">
        <f>'B) D RI'!U116</f>
        <v>414398.09409090912</v>
      </c>
      <c r="G114" s="278">
        <f t="shared" si="4"/>
        <v>7.2463022702542759</v>
      </c>
      <c r="H114" s="58">
        <f t="shared" si="5"/>
        <v>1457595.5749999997</v>
      </c>
    </row>
    <row r="115" spans="1:8" x14ac:dyDescent="0.25">
      <c r="A115" s="50">
        <f>'A) Base RI'!A117</f>
        <v>5585</v>
      </c>
      <c r="B115" s="57" t="str">
        <f>'A) Base RI'!B117</f>
        <v>Jouxtens-Mézery</v>
      </c>
      <c r="C115" s="32">
        <f>'B) D RI'!Y117</f>
        <v>359477.1</v>
      </c>
      <c r="D115" s="14">
        <f>'B) D RI'!Z117</f>
        <v>2700.5</v>
      </c>
      <c r="E115" s="10">
        <f t="shared" si="3"/>
        <v>362177.6</v>
      </c>
      <c r="F115" s="14">
        <f>'B) D RI'!U117</f>
        <v>171586.66471698115</v>
      </c>
      <c r="G115" s="278">
        <f t="shared" si="4"/>
        <v>2.1107561044873955</v>
      </c>
      <c r="H115" s="58">
        <f t="shared" si="5"/>
        <v>180548.69999999998</v>
      </c>
    </row>
    <row r="116" spans="1:8" x14ac:dyDescent="0.25">
      <c r="A116" s="50">
        <f>'A) Base RI'!A118</f>
        <v>5586</v>
      </c>
      <c r="B116" s="57" t="str">
        <f>'A) Base RI'!B118</f>
        <v>Lausanne</v>
      </c>
      <c r="C116" s="32">
        <f>'B) D RI'!Y118</f>
        <v>33529428.100000001</v>
      </c>
      <c r="D116" s="14">
        <f>'B) D RI'!Z118</f>
        <v>11465768.75</v>
      </c>
      <c r="E116" s="10">
        <f t="shared" si="3"/>
        <v>44995196.850000001</v>
      </c>
      <c r="F116" s="14">
        <f>'B) D RI'!U118</f>
        <v>5871810.1056962032</v>
      </c>
      <c r="G116" s="278">
        <f t="shared" si="4"/>
        <v>7.662917573977821</v>
      </c>
      <c r="H116" s="58">
        <f t="shared" si="5"/>
        <v>20204444.675000001</v>
      </c>
    </row>
    <row r="117" spans="1:8" x14ac:dyDescent="0.25">
      <c r="A117" s="50">
        <f>'A) Base RI'!A119</f>
        <v>5587</v>
      </c>
      <c r="B117" s="57" t="str">
        <f>'A) Base RI'!B119</f>
        <v>Le Mont-sur-Lausanne</v>
      </c>
      <c r="C117" s="32">
        <f>'B) D RI'!Y119</f>
        <v>1920004.75</v>
      </c>
      <c r="D117" s="14">
        <f>'B) D RI'!Z119</f>
        <v>355226.65</v>
      </c>
      <c r="E117" s="10">
        <f t="shared" si="3"/>
        <v>2275231.4</v>
      </c>
      <c r="F117" s="14">
        <f>'B) D RI'!U119</f>
        <v>415945.64633333334</v>
      </c>
      <c r="G117" s="278">
        <f t="shared" si="4"/>
        <v>5.4700209511909632</v>
      </c>
      <c r="H117" s="58">
        <f t="shared" si="5"/>
        <v>1066570.3700000001</v>
      </c>
    </row>
    <row r="118" spans="1:8" x14ac:dyDescent="0.25">
      <c r="A118" s="50">
        <f>'A) Base RI'!A120</f>
        <v>5588</v>
      </c>
      <c r="B118" s="57" t="str">
        <f>'A) Base RI'!B120</f>
        <v>Paudex</v>
      </c>
      <c r="C118" s="32">
        <f>'B) D RI'!Y120</f>
        <v>13906.800000000001</v>
      </c>
      <c r="D118" s="14">
        <f>'B) D RI'!Z120</f>
        <v>20053.349999999999</v>
      </c>
      <c r="E118" s="10">
        <f t="shared" si="3"/>
        <v>33960.15</v>
      </c>
      <c r="F118" s="14">
        <f>'B) D RI'!U120</f>
        <v>147210.22826945415</v>
      </c>
      <c r="G118" s="278">
        <f t="shared" si="4"/>
        <v>0.23069151103983901</v>
      </c>
      <c r="H118" s="58">
        <f t="shared" si="5"/>
        <v>12969.404999999999</v>
      </c>
    </row>
    <row r="119" spans="1:8" x14ac:dyDescent="0.25">
      <c r="A119" s="50">
        <f>'A) Base RI'!A121</f>
        <v>5589</v>
      </c>
      <c r="B119" s="57" t="str">
        <f>'A) Base RI'!B121</f>
        <v>Prilly</v>
      </c>
      <c r="C119" s="32">
        <f>'B) D RI'!Y121</f>
        <v>1669742.9500000002</v>
      </c>
      <c r="D119" s="14">
        <f>'B) D RI'!Z121</f>
        <v>1032878.5</v>
      </c>
      <c r="E119" s="10">
        <f t="shared" si="3"/>
        <v>2702621.45</v>
      </c>
      <c r="F119" s="14">
        <f>'B) D RI'!U121</f>
        <v>397261.42585034011</v>
      </c>
      <c r="G119" s="278">
        <f t="shared" si="4"/>
        <v>6.8031308205044709</v>
      </c>
      <c r="H119" s="58">
        <f t="shared" si="5"/>
        <v>1144735.0250000001</v>
      </c>
    </row>
    <row r="120" spans="1:8" x14ac:dyDescent="0.25">
      <c r="A120" s="50">
        <f>'A) Base RI'!A122</f>
        <v>5590</v>
      </c>
      <c r="B120" s="57" t="str">
        <f>'A) Base RI'!B122</f>
        <v>Pully</v>
      </c>
      <c r="C120" s="32">
        <f>'B) D RI'!Y122</f>
        <v>10333521</v>
      </c>
      <c r="D120" s="14">
        <f>'B) D RI'!Z122</f>
        <v>168670.35</v>
      </c>
      <c r="E120" s="10">
        <f t="shared" si="3"/>
        <v>10502191.35</v>
      </c>
      <c r="F120" s="14">
        <f>'B) D RI'!U122</f>
        <v>1436103.5918735364</v>
      </c>
      <c r="G120" s="278">
        <f t="shared" si="4"/>
        <v>7.3129761734659215</v>
      </c>
      <c r="H120" s="58">
        <f t="shared" si="5"/>
        <v>5217361.6050000004</v>
      </c>
    </row>
    <row r="121" spans="1:8" x14ac:dyDescent="0.25">
      <c r="A121" s="50">
        <f>'A) Base RI'!A123</f>
        <v>5591</v>
      </c>
      <c r="B121" s="57" t="str">
        <f>'A) Base RI'!B123</f>
        <v>Renens</v>
      </c>
      <c r="C121" s="32">
        <f>'B) D RI'!Y123</f>
        <v>2212481.6999999997</v>
      </c>
      <c r="D121" s="14">
        <f>'B) D RI'!Z123</f>
        <v>2159436.0499999998</v>
      </c>
      <c r="E121" s="10">
        <f t="shared" si="3"/>
        <v>4371917.75</v>
      </c>
      <c r="F121" s="14">
        <f>'B) D RI'!U123</f>
        <v>526209.31525022746</v>
      </c>
      <c r="G121" s="278">
        <f t="shared" si="4"/>
        <v>8.3083245075603216</v>
      </c>
      <c r="H121" s="58">
        <f t="shared" si="5"/>
        <v>1754071.6649999998</v>
      </c>
    </row>
    <row r="122" spans="1:8" x14ac:dyDescent="0.25">
      <c r="A122" s="50">
        <f>'A) Base RI'!A124</f>
        <v>5592</v>
      </c>
      <c r="B122" s="57" t="str">
        <f>'A) Base RI'!B124</f>
        <v>Romanel-sur-Lausanne</v>
      </c>
      <c r="C122" s="32">
        <f>'B) D RI'!Y124</f>
        <v>339526.3</v>
      </c>
      <c r="D122" s="14">
        <f>'B) D RI'!Z124</f>
        <v>179138.3</v>
      </c>
      <c r="E122" s="10">
        <f t="shared" si="3"/>
        <v>518664.6</v>
      </c>
      <c r="F122" s="14">
        <f>'B) D RI'!U124</f>
        <v>111498.54042857142</v>
      </c>
      <c r="G122" s="278">
        <f t="shared" si="4"/>
        <v>4.6517613415062478</v>
      </c>
      <c r="H122" s="58">
        <f t="shared" si="5"/>
        <v>223504.63999999998</v>
      </c>
    </row>
    <row r="123" spans="1:8" x14ac:dyDescent="0.25">
      <c r="A123" s="50">
        <f>'A) Base RI'!A125</f>
        <v>5601</v>
      </c>
      <c r="B123" s="57" t="str">
        <f>'A) Base RI'!B125</f>
        <v>Chexbres</v>
      </c>
      <c r="C123" s="32">
        <f>'B) D RI'!Y125</f>
        <v>1156142.9500000002</v>
      </c>
      <c r="D123" s="14">
        <f>'B) D RI'!Z125</f>
        <v>58889.4</v>
      </c>
      <c r="E123" s="10">
        <f t="shared" si="3"/>
        <v>1215032.3500000001</v>
      </c>
      <c r="F123" s="14">
        <f>'B) D RI'!U125</f>
        <v>116832.8703125</v>
      </c>
      <c r="G123" s="278">
        <f t="shared" si="4"/>
        <v>10.399747491866622</v>
      </c>
      <c r="H123" s="58">
        <f t="shared" si="5"/>
        <v>595738.29500000004</v>
      </c>
    </row>
    <row r="124" spans="1:8" x14ac:dyDescent="0.25">
      <c r="A124" s="50">
        <f>'A) Base RI'!A126</f>
        <v>5604</v>
      </c>
      <c r="B124" s="57" t="str">
        <f>'A) Base RI'!B126</f>
        <v>Forel (Lavaux)</v>
      </c>
      <c r="C124" s="32">
        <f>'B) D RI'!Y126</f>
        <v>310682.05</v>
      </c>
      <c r="D124" s="14">
        <f>'B) D RI'!Z126</f>
        <v>62723.199999999997</v>
      </c>
      <c r="E124" s="10">
        <f t="shared" si="3"/>
        <v>373405.25</v>
      </c>
      <c r="F124" s="14">
        <f>'B) D RI'!U126</f>
        <v>69144.285441176457</v>
      </c>
      <c r="G124" s="278">
        <f t="shared" si="4"/>
        <v>5.4003775961741534</v>
      </c>
      <c r="H124" s="58">
        <f t="shared" si="5"/>
        <v>174157.98499999999</v>
      </c>
    </row>
    <row r="125" spans="1:8" x14ac:dyDescent="0.25">
      <c r="A125" s="50">
        <f>'A) Base RI'!A127</f>
        <v>5606</v>
      </c>
      <c r="B125" s="57" t="str">
        <f>'A) Base RI'!B127</f>
        <v>Lutry</v>
      </c>
      <c r="C125" s="32">
        <f>'B) D RI'!Y127</f>
        <v>6274232.8999999994</v>
      </c>
      <c r="D125" s="14">
        <f>'B) D RI'!Z127</f>
        <v>101865.55</v>
      </c>
      <c r="E125" s="10">
        <f t="shared" si="3"/>
        <v>6376098.4499999993</v>
      </c>
      <c r="F125" s="14">
        <f>'B) D RI'!U127</f>
        <v>819312.37389961397</v>
      </c>
      <c r="G125" s="278">
        <f t="shared" si="4"/>
        <v>7.7822557709609654</v>
      </c>
      <c r="H125" s="58">
        <f t="shared" si="5"/>
        <v>3167676.1149999998</v>
      </c>
    </row>
    <row r="126" spans="1:8" x14ac:dyDescent="0.25">
      <c r="A126" s="50">
        <f>'A) Base RI'!A128</f>
        <v>5607</v>
      </c>
      <c r="B126" s="57" t="str">
        <f>'A) Base RI'!B128</f>
        <v>Puidoux</v>
      </c>
      <c r="C126" s="32">
        <f>'B) D RI'!Y128</f>
        <v>673075.9</v>
      </c>
      <c r="D126" s="14">
        <f>'B) D RI'!Z128</f>
        <v>145055.75</v>
      </c>
      <c r="E126" s="10">
        <f t="shared" si="3"/>
        <v>818131.65</v>
      </c>
      <c r="F126" s="14">
        <f>'B) D RI'!U128</f>
        <v>104767.98296273292</v>
      </c>
      <c r="G126" s="278">
        <f t="shared" si="4"/>
        <v>7.8089854062668946</v>
      </c>
      <c r="H126" s="58">
        <f t="shared" si="5"/>
        <v>380054.67499999999</v>
      </c>
    </row>
    <row r="127" spans="1:8" x14ac:dyDescent="0.25">
      <c r="A127" s="50">
        <f>'A) Base RI'!A129</f>
        <v>5609</v>
      </c>
      <c r="B127" s="57" t="str">
        <f>'A) Base RI'!B129</f>
        <v>Rivaz</v>
      </c>
      <c r="C127" s="32">
        <f>'B) D RI'!Y129</f>
        <v>73817.25</v>
      </c>
      <c r="D127" s="14">
        <f>'B) D RI'!Z129</f>
        <v>0</v>
      </c>
      <c r="E127" s="10">
        <f t="shared" si="3"/>
        <v>73817.25</v>
      </c>
      <c r="F127" s="14">
        <f>'B) D RI'!U129</f>
        <v>15550.240157480319</v>
      </c>
      <c r="G127" s="278">
        <f t="shared" si="4"/>
        <v>4.7470167182267469</v>
      </c>
      <c r="H127" s="58">
        <f t="shared" si="5"/>
        <v>36908.625</v>
      </c>
    </row>
    <row r="128" spans="1:8" x14ac:dyDescent="0.25">
      <c r="A128" s="50">
        <f>'A) Base RI'!A130</f>
        <v>5610</v>
      </c>
      <c r="B128" s="57" t="str">
        <f>'A) Base RI'!B130</f>
        <v>St-Saphorin (Lavaux)</v>
      </c>
      <c r="C128" s="32">
        <f>'B) D RI'!Y130</f>
        <v>234826.4</v>
      </c>
      <c r="D128" s="14">
        <f>'B) D RI'!Z130</f>
        <v>0</v>
      </c>
      <c r="E128" s="10">
        <f t="shared" si="3"/>
        <v>234826.4</v>
      </c>
      <c r="F128" s="14">
        <f>'B) D RI'!U130</f>
        <v>15345.496567164178</v>
      </c>
      <c r="G128" s="278">
        <f t="shared" si="4"/>
        <v>15.302626342015827</v>
      </c>
      <c r="H128" s="58">
        <f t="shared" si="5"/>
        <v>117413.2</v>
      </c>
    </row>
    <row r="129" spans="1:8" x14ac:dyDescent="0.25">
      <c r="A129" s="50">
        <f>'A) Base RI'!A131</f>
        <v>5611</v>
      </c>
      <c r="B129" s="57" t="str">
        <f>'A) Base RI'!B131</f>
        <v>Savigny</v>
      </c>
      <c r="C129" s="32">
        <f>'B) D RI'!Y131</f>
        <v>1147172.05</v>
      </c>
      <c r="D129" s="14">
        <f>'B) D RI'!Z131</f>
        <v>134342.79999999999</v>
      </c>
      <c r="E129" s="10">
        <f t="shared" si="3"/>
        <v>1281514.8500000001</v>
      </c>
      <c r="F129" s="14">
        <f>'B) D RI'!U131</f>
        <v>131982.7743236715</v>
      </c>
      <c r="G129" s="278">
        <f t="shared" si="4"/>
        <v>9.7097129270615472</v>
      </c>
      <c r="H129" s="58">
        <f t="shared" si="5"/>
        <v>613888.86499999999</v>
      </c>
    </row>
    <row r="130" spans="1:8" x14ac:dyDescent="0.25">
      <c r="A130" s="50">
        <f>'A) Base RI'!A132</f>
        <v>5613</v>
      </c>
      <c r="B130" s="57" t="str">
        <f>'A) Base RI'!B132</f>
        <v>Bourg-en-Lavaux</v>
      </c>
      <c r="C130" s="32">
        <f>'B) D RI'!Y132</f>
        <v>1600855.45</v>
      </c>
      <c r="D130" s="14">
        <f>'B) D RI'!Z132</f>
        <v>18736</v>
      </c>
      <c r="E130" s="10">
        <f t="shared" si="3"/>
        <v>1619591.45</v>
      </c>
      <c r="F130" s="14">
        <f>'B) D RI'!U132</f>
        <v>329819.74420765025</v>
      </c>
      <c r="G130" s="278">
        <f t="shared" si="4"/>
        <v>4.9105351588057937</v>
      </c>
      <c r="H130" s="58">
        <f t="shared" si="5"/>
        <v>806048.52500000002</v>
      </c>
    </row>
    <row r="131" spans="1:8" x14ac:dyDescent="0.25">
      <c r="A131" s="50">
        <f>'A) Base RI'!A133</f>
        <v>5621</v>
      </c>
      <c r="B131" s="57" t="str">
        <f>'A) Base RI'!B133</f>
        <v>Aclens</v>
      </c>
      <c r="C131" s="32">
        <f>'B) D RI'!Y133</f>
        <v>583694.69999999995</v>
      </c>
      <c r="D131" s="14">
        <f>'B) D RI'!Z133</f>
        <v>167208.75</v>
      </c>
      <c r="E131" s="10">
        <f t="shared" si="3"/>
        <v>750903.45</v>
      </c>
      <c r="F131" s="14">
        <f>'B) D RI'!U133</f>
        <v>29752.054618768325</v>
      </c>
      <c r="G131" s="278">
        <f t="shared" si="4"/>
        <v>25.238709044528026</v>
      </c>
      <c r="H131" s="58">
        <f t="shared" si="5"/>
        <v>342009.97499999998</v>
      </c>
    </row>
    <row r="132" spans="1:8" x14ac:dyDescent="0.25">
      <c r="A132" s="50">
        <f>'A) Base RI'!A134</f>
        <v>5622</v>
      </c>
      <c r="B132" s="57" t="str">
        <f>'A) Base RI'!B134</f>
        <v>Bremblens</v>
      </c>
      <c r="C132" s="32">
        <f>'B) D RI'!Y134</f>
        <v>62197.3</v>
      </c>
      <c r="D132" s="14">
        <f>'B) D RI'!Z134</f>
        <v>17319.55</v>
      </c>
      <c r="E132" s="10">
        <f t="shared" si="3"/>
        <v>79516.850000000006</v>
      </c>
      <c r="F132" s="14">
        <f>'B) D RI'!U134</f>
        <v>30065.565151515151</v>
      </c>
      <c r="G132" s="278">
        <f t="shared" si="4"/>
        <v>2.6447814833772636</v>
      </c>
      <c r="H132" s="58">
        <f t="shared" si="5"/>
        <v>36294.514999999999</v>
      </c>
    </row>
    <row r="133" spans="1:8" x14ac:dyDescent="0.25">
      <c r="A133" s="50">
        <f>'A) Base RI'!A135</f>
        <v>5623</v>
      </c>
      <c r="B133" s="57" t="str">
        <f>'A) Base RI'!B135</f>
        <v>Buchillon</v>
      </c>
      <c r="C133" s="32">
        <f>'B) D RI'!Y135</f>
        <v>141914.4</v>
      </c>
      <c r="D133" s="14">
        <f>'B) D RI'!Z135</f>
        <v>1757.1</v>
      </c>
      <c r="E133" s="10">
        <f t="shared" si="3"/>
        <v>143671.5</v>
      </c>
      <c r="F133" s="14">
        <f>'B) D RI'!U135</f>
        <v>74720.547735849046</v>
      </c>
      <c r="G133" s="278">
        <f t="shared" si="4"/>
        <v>1.922784352543899</v>
      </c>
      <c r="H133" s="58">
        <f t="shared" si="5"/>
        <v>71484.33</v>
      </c>
    </row>
    <row r="134" spans="1:8" x14ac:dyDescent="0.25">
      <c r="A134" s="50">
        <f>'A) Base RI'!A136</f>
        <v>5624</v>
      </c>
      <c r="B134" s="57" t="str">
        <f>'A) Base RI'!B136</f>
        <v>Bussigny</v>
      </c>
      <c r="C134" s="32">
        <f>'B) D RI'!Y136</f>
        <v>1915538.1</v>
      </c>
      <c r="D134" s="14">
        <f>'B) D RI'!Z136</f>
        <v>1222764.6000000001</v>
      </c>
      <c r="E134" s="10">
        <f t="shared" ref="E134:E197" si="6">C134+D134</f>
        <v>3138302.7</v>
      </c>
      <c r="F134" s="14">
        <f>'B) D RI'!U136</f>
        <v>313352.53032258071</v>
      </c>
      <c r="G134" s="278">
        <f t="shared" ref="G134:G197" si="7">E134/F134</f>
        <v>10.015246076900272</v>
      </c>
      <c r="H134" s="58">
        <f t="shared" ref="H134:H197" si="8">(C134*$C$4)+(D134*$D$4)</f>
        <v>1324598.4300000002</v>
      </c>
    </row>
    <row r="135" spans="1:8" x14ac:dyDescent="0.25">
      <c r="A135" s="50">
        <f>'A) Base RI'!A137</f>
        <v>5625</v>
      </c>
      <c r="B135" s="57" t="str">
        <f>'A) Base RI'!B137</f>
        <v>Bussy-Chardonney</v>
      </c>
      <c r="C135" s="32">
        <f>'B) D RI'!Y137</f>
        <v>80997.75</v>
      </c>
      <c r="D135" s="14">
        <f>'B) D RI'!Z137</f>
        <v>0</v>
      </c>
      <c r="E135" s="10">
        <f t="shared" si="6"/>
        <v>80997.75</v>
      </c>
      <c r="F135" s="14">
        <f>'B) D RI'!U137</f>
        <v>13647.695555555556</v>
      </c>
      <c r="G135" s="278">
        <f t="shared" si="7"/>
        <v>5.9349030516018741</v>
      </c>
      <c r="H135" s="58">
        <f t="shared" si="8"/>
        <v>40498.875</v>
      </c>
    </row>
    <row r="136" spans="1:8" x14ac:dyDescent="0.25">
      <c r="A136" s="50">
        <f>'A) Base RI'!A138</f>
        <v>5627</v>
      </c>
      <c r="B136" s="57" t="str">
        <f>'A) Base RI'!B138</f>
        <v>Chavannes-près-Renens</v>
      </c>
      <c r="C136" s="32">
        <f>'B) D RI'!Y138</f>
        <v>2539629.65</v>
      </c>
      <c r="D136" s="14">
        <f>'B) D RI'!Z138</f>
        <v>382133.95</v>
      </c>
      <c r="E136" s="10">
        <f t="shared" si="6"/>
        <v>2921763.6</v>
      </c>
      <c r="F136" s="14">
        <f>'B) D RI'!U138</f>
        <v>167740.14928270038</v>
      </c>
      <c r="G136" s="278">
        <f t="shared" si="7"/>
        <v>17.418391556787125</v>
      </c>
      <c r="H136" s="58">
        <f t="shared" si="8"/>
        <v>1384455.01</v>
      </c>
    </row>
    <row r="137" spans="1:8" x14ac:dyDescent="0.25">
      <c r="A137" s="50">
        <f>'A) Base RI'!A139</f>
        <v>5628</v>
      </c>
      <c r="B137" s="57" t="str">
        <f>'A) Base RI'!B139</f>
        <v>Chigny</v>
      </c>
      <c r="C137" s="32">
        <f>'B) D RI'!Y139</f>
        <v>103660.3</v>
      </c>
      <c r="D137" s="14">
        <f>'B) D RI'!Z139</f>
        <v>16284.8</v>
      </c>
      <c r="E137" s="10">
        <f t="shared" si="6"/>
        <v>119945.1</v>
      </c>
      <c r="F137" s="14">
        <f>'B) D RI'!U139</f>
        <v>19513.351129032257</v>
      </c>
      <c r="G137" s="278">
        <f t="shared" si="7"/>
        <v>6.1468222042878065</v>
      </c>
      <c r="H137" s="58">
        <f t="shared" si="8"/>
        <v>56715.590000000004</v>
      </c>
    </row>
    <row r="138" spans="1:8" x14ac:dyDescent="0.25">
      <c r="A138" s="50">
        <f>'A) Base RI'!A140</f>
        <v>5629</v>
      </c>
      <c r="B138" s="57" t="str">
        <f>'A) Base RI'!B140</f>
        <v>Clarmont</v>
      </c>
      <c r="C138" s="32">
        <f>'B) D RI'!Y140</f>
        <v>24134.6</v>
      </c>
      <c r="D138" s="14">
        <f>'B) D RI'!Z140</f>
        <v>0</v>
      </c>
      <c r="E138" s="10">
        <f t="shared" si="6"/>
        <v>24134.6</v>
      </c>
      <c r="F138" s="14">
        <f>'B) D RI'!U140</f>
        <v>7442.8926666666675</v>
      </c>
      <c r="G138" s="278">
        <f t="shared" si="7"/>
        <v>3.2426371144767274</v>
      </c>
      <c r="H138" s="58">
        <f t="shared" si="8"/>
        <v>12067.3</v>
      </c>
    </row>
    <row r="139" spans="1:8" x14ac:dyDescent="0.25">
      <c r="A139" s="50">
        <f>'A) Base RI'!A141</f>
        <v>5631</v>
      </c>
      <c r="B139" s="57" t="str">
        <f>'A) Base RI'!B141</f>
        <v>Denens</v>
      </c>
      <c r="C139" s="32">
        <f>'B) D RI'!Y141</f>
        <v>211844.45</v>
      </c>
      <c r="D139" s="14">
        <f>'B) D RI'!Z141</f>
        <v>0</v>
      </c>
      <c r="E139" s="10">
        <f t="shared" si="6"/>
        <v>211844.45</v>
      </c>
      <c r="F139" s="14">
        <f>'B) D RI'!U141</f>
        <v>45367.235142857142</v>
      </c>
      <c r="G139" s="278">
        <f t="shared" si="7"/>
        <v>4.6695472918488825</v>
      </c>
      <c r="H139" s="58">
        <f t="shared" si="8"/>
        <v>105922.22500000001</v>
      </c>
    </row>
    <row r="140" spans="1:8" x14ac:dyDescent="0.25">
      <c r="A140" s="50">
        <f>'A) Base RI'!A142</f>
        <v>5632</v>
      </c>
      <c r="B140" s="57" t="str">
        <f>'A) Base RI'!B142</f>
        <v>Denges</v>
      </c>
      <c r="C140" s="32">
        <f>'B) D RI'!Y142</f>
        <v>252980.45</v>
      </c>
      <c r="D140" s="14">
        <f>'B) D RI'!Z142</f>
        <v>63037.35</v>
      </c>
      <c r="E140" s="10">
        <f t="shared" si="6"/>
        <v>316017.8</v>
      </c>
      <c r="F140" s="14">
        <f>'B) D RI'!U142</f>
        <v>67164.535483870975</v>
      </c>
      <c r="G140" s="278">
        <f t="shared" si="7"/>
        <v>4.7051289452584557</v>
      </c>
      <c r="H140" s="58">
        <f t="shared" si="8"/>
        <v>145401.43</v>
      </c>
    </row>
    <row r="141" spans="1:8" x14ac:dyDescent="0.25">
      <c r="A141" s="50">
        <f>'A) Base RI'!A143</f>
        <v>5633</v>
      </c>
      <c r="B141" s="57" t="str">
        <f>'A) Base RI'!B143</f>
        <v>Echandens</v>
      </c>
      <c r="C141" s="32">
        <f>'B) D RI'!Y143</f>
        <v>605949.34000000008</v>
      </c>
      <c r="D141" s="14">
        <f>'B) D RI'!Z143</f>
        <v>159886.15</v>
      </c>
      <c r="E141" s="10">
        <f t="shared" si="6"/>
        <v>765835.49000000011</v>
      </c>
      <c r="F141" s="14">
        <f>'B) D RI'!U143</f>
        <v>132114.82112903227</v>
      </c>
      <c r="G141" s="278">
        <f t="shared" si="7"/>
        <v>5.7967416786042003</v>
      </c>
      <c r="H141" s="58">
        <f t="shared" si="8"/>
        <v>350940.51500000001</v>
      </c>
    </row>
    <row r="142" spans="1:8" x14ac:dyDescent="0.25">
      <c r="A142" s="50">
        <f>'A) Base RI'!A144</f>
        <v>5634</v>
      </c>
      <c r="B142" s="57" t="str">
        <f>'A) Base RI'!B144</f>
        <v>Echichens</v>
      </c>
      <c r="C142" s="32">
        <f>'B) D RI'!Y144</f>
        <v>1035969.1</v>
      </c>
      <c r="D142" s="14">
        <f>'B) D RI'!Z144</f>
        <v>28133.7</v>
      </c>
      <c r="E142" s="10">
        <f t="shared" si="6"/>
        <v>1064102.8</v>
      </c>
      <c r="F142" s="14">
        <f>'B) D RI'!U144</f>
        <v>126696.63529411763</v>
      </c>
      <c r="G142" s="278">
        <f t="shared" si="7"/>
        <v>8.398824463883809</v>
      </c>
      <c r="H142" s="58">
        <f t="shared" si="8"/>
        <v>526424.66</v>
      </c>
    </row>
    <row r="143" spans="1:8" x14ac:dyDescent="0.25">
      <c r="A143" s="50">
        <f>'A) Base RI'!A145</f>
        <v>5635</v>
      </c>
      <c r="B143" s="57" t="str">
        <f>'A) Base RI'!B145</f>
        <v>Ecublens</v>
      </c>
      <c r="C143" s="32">
        <f>'B) D RI'!Y145</f>
        <v>1470350.15</v>
      </c>
      <c r="D143" s="14">
        <f>'B) D RI'!Z145</f>
        <v>2168934.3999999999</v>
      </c>
      <c r="E143" s="10">
        <f t="shared" si="6"/>
        <v>3639284.55</v>
      </c>
      <c r="F143" s="14">
        <f>'B) D RI'!U145</f>
        <v>448558.27357385395</v>
      </c>
      <c r="G143" s="278">
        <f t="shared" si="7"/>
        <v>8.1132926631901725</v>
      </c>
      <c r="H143" s="58">
        <f t="shared" si="8"/>
        <v>1385855.395</v>
      </c>
    </row>
    <row r="144" spans="1:8" x14ac:dyDescent="0.25">
      <c r="A144" s="50">
        <f>'A) Base RI'!A146</f>
        <v>5636</v>
      </c>
      <c r="B144" s="57" t="str">
        <f>'A) Base RI'!B146</f>
        <v>Etoy</v>
      </c>
      <c r="C144" s="32">
        <f>'B) D RI'!Y146</f>
        <v>1097695.7</v>
      </c>
      <c r="D144" s="14">
        <f>'B) D RI'!Z146</f>
        <v>560619.75</v>
      </c>
      <c r="E144" s="10">
        <f t="shared" si="6"/>
        <v>1658315.45</v>
      </c>
      <c r="F144" s="14">
        <f>'B) D RI'!U146</f>
        <v>151105.62688524593</v>
      </c>
      <c r="G144" s="278">
        <f t="shared" si="7"/>
        <v>10.974544655834515</v>
      </c>
      <c r="H144" s="58">
        <f t="shared" si="8"/>
        <v>717033.77499999991</v>
      </c>
    </row>
    <row r="145" spans="1:8" x14ac:dyDescent="0.25">
      <c r="A145" s="50">
        <f>'A) Base RI'!A147</f>
        <v>5637</v>
      </c>
      <c r="B145" s="57" t="str">
        <f>'A) Base RI'!B147</f>
        <v>Lavigny</v>
      </c>
      <c r="C145" s="32">
        <f>'B) D RI'!Y147</f>
        <v>107276.15</v>
      </c>
      <c r="D145" s="14">
        <f>'B) D RI'!Z147</f>
        <v>214244</v>
      </c>
      <c r="E145" s="10">
        <f t="shared" si="6"/>
        <v>321520.15000000002</v>
      </c>
      <c r="F145" s="14">
        <f>'B) D RI'!U147</f>
        <v>36088.085548098432</v>
      </c>
      <c r="G145" s="278">
        <f t="shared" si="7"/>
        <v>8.9093157787900914</v>
      </c>
      <c r="H145" s="58">
        <f t="shared" si="8"/>
        <v>117911.27499999999</v>
      </c>
    </row>
    <row r="146" spans="1:8" x14ac:dyDescent="0.25">
      <c r="A146" s="50">
        <f>'A) Base RI'!A148</f>
        <v>5638</v>
      </c>
      <c r="B146" s="57" t="str">
        <f>'A) Base RI'!B148</f>
        <v>Lonay</v>
      </c>
      <c r="C146" s="32">
        <f>'B) D RI'!Y148</f>
        <v>5912682.8500000006</v>
      </c>
      <c r="D146" s="14">
        <f>'B) D RI'!Z148</f>
        <v>195178.05</v>
      </c>
      <c r="E146" s="10">
        <f t="shared" si="6"/>
        <v>6107860.9000000004</v>
      </c>
      <c r="F146" s="14">
        <f>'B) D RI'!U148</f>
        <v>147307.25563636364</v>
      </c>
      <c r="G146" s="278">
        <f t="shared" si="7"/>
        <v>41.463408395018938</v>
      </c>
      <c r="H146" s="58">
        <f t="shared" si="8"/>
        <v>3014894.8400000003</v>
      </c>
    </row>
    <row r="147" spans="1:8" x14ac:dyDescent="0.25">
      <c r="A147" s="50">
        <f>'A) Base RI'!A149</f>
        <v>5639</v>
      </c>
      <c r="B147" s="57" t="str">
        <f>'A) Base RI'!B149</f>
        <v>Lully</v>
      </c>
      <c r="C147" s="32">
        <f>'B) D RI'!Y149</f>
        <v>182401.05</v>
      </c>
      <c r="D147" s="14">
        <f>'B) D RI'!Z149</f>
        <v>7673.95</v>
      </c>
      <c r="E147" s="10">
        <f t="shared" si="6"/>
        <v>190075</v>
      </c>
      <c r="F147" s="14">
        <f>'B) D RI'!U149</f>
        <v>51219.676393442627</v>
      </c>
      <c r="G147" s="278">
        <f t="shared" si="7"/>
        <v>3.7109761986769261</v>
      </c>
      <c r="H147" s="58">
        <f t="shared" si="8"/>
        <v>93502.709999999992</v>
      </c>
    </row>
    <row r="148" spans="1:8" x14ac:dyDescent="0.25">
      <c r="A148" s="50">
        <f>'A) Base RI'!A150</f>
        <v>5640</v>
      </c>
      <c r="B148" s="57" t="str">
        <f>'A) Base RI'!B150</f>
        <v>Lussy-sur-Morges</v>
      </c>
      <c r="C148" s="32">
        <f>'B) D RI'!Y150</f>
        <v>1445146.3</v>
      </c>
      <c r="D148" s="14">
        <f>'B) D RI'!Z150</f>
        <v>20858.45</v>
      </c>
      <c r="E148" s="10">
        <f t="shared" si="6"/>
        <v>1466004.75</v>
      </c>
      <c r="F148" s="14">
        <f>'B) D RI'!U150</f>
        <v>55173.413636363643</v>
      </c>
      <c r="G148" s="278">
        <f t="shared" si="7"/>
        <v>26.570854572496252</v>
      </c>
      <c r="H148" s="58">
        <f t="shared" si="8"/>
        <v>728830.68500000006</v>
      </c>
    </row>
    <row r="149" spans="1:8" x14ac:dyDescent="0.25">
      <c r="A149" s="50">
        <f>'A) Base RI'!A151</f>
        <v>5642</v>
      </c>
      <c r="B149" s="57" t="str">
        <f>'A) Base RI'!B151</f>
        <v>Morges</v>
      </c>
      <c r="C149" s="32">
        <f>'B) D RI'!Y151</f>
        <v>5926237.3000000007</v>
      </c>
      <c r="D149" s="14">
        <f>'B) D RI'!Z151</f>
        <v>1182879.75</v>
      </c>
      <c r="E149" s="10">
        <f t="shared" si="6"/>
        <v>7109117.0500000007</v>
      </c>
      <c r="F149" s="14">
        <f>'B) D RI'!U151</f>
        <v>737766.82978102157</v>
      </c>
      <c r="G149" s="278">
        <f t="shared" si="7"/>
        <v>9.6359944131807556</v>
      </c>
      <c r="H149" s="58">
        <f t="shared" si="8"/>
        <v>3317982.5750000002</v>
      </c>
    </row>
    <row r="150" spans="1:8" x14ac:dyDescent="0.25">
      <c r="A150" s="50">
        <f>'A) Base RI'!A152</f>
        <v>5643</v>
      </c>
      <c r="B150" s="57" t="str">
        <f>'A) Base RI'!B152</f>
        <v>Préverenges</v>
      </c>
      <c r="C150" s="32">
        <f>'B) D RI'!Y152</f>
        <v>611429.69999999995</v>
      </c>
      <c r="D150" s="14">
        <f>'B) D RI'!Z152</f>
        <v>146777.79999999999</v>
      </c>
      <c r="E150" s="10">
        <f t="shared" si="6"/>
        <v>758207.5</v>
      </c>
      <c r="F150" s="14">
        <f>'B) D RI'!U152</f>
        <v>261619.24140624996</v>
      </c>
      <c r="G150" s="278">
        <f t="shared" si="7"/>
        <v>2.898133546770107</v>
      </c>
      <c r="H150" s="58">
        <f t="shared" si="8"/>
        <v>349748.18999999994</v>
      </c>
    </row>
    <row r="151" spans="1:8" x14ac:dyDescent="0.25">
      <c r="A151" s="50">
        <f>'A) Base RI'!A153</f>
        <v>5644</v>
      </c>
      <c r="B151" s="57" t="str">
        <f>'A) Base RI'!B153</f>
        <v>Reverolle</v>
      </c>
      <c r="C151" s="32">
        <f>'B) D RI'!Y153</f>
        <v>44218.100000000006</v>
      </c>
      <c r="D151" s="14">
        <f>'B) D RI'!Z153</f>
        <v>11543.65</v>
      </c>
      <c r="E151" s="10">
        <f t="shared" si="6"/>
        <v>55761.750000000007</v>
      </c>
      <c r="F151" s="14">
        <f>'B) D RI'!U153</f>
        <v>14956.659078947367</v>
      </c>
      <c r="G151" s="278">
        <f t="shared" si="7"/>
        <v>3.7282223059084703</v>
      </c>
      <c r="H151" s="58">
        <f t="shared" si="8"/>
        <v>25572.145000000004</v>
      </c>
    </row>
    <row r="152" spans="1:8" x14ac:dyDescent="0.25">
      <c r="A152" s="50">
        <f>'A) Base RI'!A154</f>
        <v>5645</v>
      </c>
      <c r="B152" s="57" t="str">
        <f>'A) Base RI'!B154</f>
        <v>Romanel-sur-Morges</v>
      </c>
      <c r="C152" s="32">
        <f>'B) D RI'!Y154</f>
        <v>23643.9</v>
      </c>
      <c r="D152" s="14">
        <f>'B) D RI'!Z154</f>
        <v>64803.7</v>
      </c>
      <c r="E152" s="10">
        <f t="shared" si="6"/>
        <v>88447.6</v>
      </c>
      <c r="F152" s="14">
        <f>'B) D RI'!U154</f>
        <v>26019.982455357142</v>
      </c>
      <c r="G152" s="278">
        <f t="shared" si="7"/>
        <v>3.3992182797106349</v>
      </c>
      <c r="H152" s="58">
        <f t="shared" si="8"/>
        <v>31263.059999999998</v>
      </c>
    </row>
    <row r="153" spans="1:8" x14ac:dyDescent="0.25">
      <c r="A153" s="50">
        <f>'A) Base RI'!A155</f>
        <v>5646</v>
      </c>
      <c r="B153" s="57" t="str">
        <f>'A) Base RI'!B155</f>
        <v>Saint-Prex</v>
      </c>
      <c r="C153" s="32">
        <f>'B) D RI'!Y155</f>
        <v>1880955.9000000001</v>
      </c>
      <c r="D153" s="14">
        <f>'B) D RI'!Z155</f>
        <v>442944.65</v>
      </c>
      <c r="E153" s="10">
        <f t="shared" si="6"/>
        <v>2323900.5500000003</v>
      </c>
      <c r="F153" s="14">
        <f>'B) D RI'!U155</f>
        <v>564783.52799999982</v>
      </c>
      <c r="G153" s="278">
        <f t="shared" si="7"/>
        <v>4.1146747997933835</v>
      </c>
      <c r="H153" s="58">
        <f t="shared" si="8"/>
        <v>1073361.345</v>
      </c>
    </row>
    <row r="154" spans="1:8" x14ac:dyDescent="0.25">
      <c r="A154" s="50">
        <f>'A) Base RI'!A156</f>
        <v>5648</v>
      </c>
      <c r="B154" s="57" t="str">
        <f>'A) Base RI'!B156</f>
        <v>Saint-Sulpice</v>
      </c>
      <c r="C154" s="32">
        <f>'B) D RI'!Y156</f>
        <v>2395025.2000000002</v>
      </c>
      <c r="D154" s="14">
        <f>'B) D RI'!Z156</f>
        <v>51473.55</v>
      </c>
      <c r="E154" s="10">
        <f t="shared" si="6"/>
        <v>2446498.75</v>
      </c>
      <c r="F154" s="14">
        <f>'B) D RI'!U156</f>
        <v>360934.92836363643</v>
      </c>
      <c r="G154" s="278">
        <f t="shared" si="7"/>
        <v>6.7782266490296275</v>
      </c>
      <c r="H154" s="58">
        <f t="shared" si="8"/>
        <v>1212954.665</v>
      </c>
    </row>
    <row r="155" spans="1:8" x14ac:dyDescent="0.25">
      <c r="A155" s="50">
        <f>'A) Base RI'!A157</f>
        <v>5649</v>
      </c>
      <c r="B155" s="57" t="str">
        <f>'A) Base RI'!B157</f>
        <v>Tolochenaz</v>
      </c>
      <c r="C155" s="32">
        <f>'B) D RI'!Y157</f>
        <v>390743.1</v>
      </c>
      <c r="D155" s="14">
        <f>'B) D RI'!Z157</f>
        <v>610323.6</v>
      </c>
      <c r="E155" s="10">
        <f t="shared" si="6"/>
        <v>1001066.7</v>
      </c>
      <c r="F155" s="14">
        <f>'B) D RI'!U157</f>
        <v>176105.76399999997</v>
      </c>
      <c r="G155" s="278">
        <f t="shared" si="7"/>
        <v>5.684463002585197</v>
      </c>
      <c r="H155" s="58">
        <f t="shared" si="8"/>
        <v>378468.63</v>
      </c>
    </row>
    <row r="156" spans="1:8" x14ac:dyDescent="0.25">
      <c r="A156" s="50">
        <f>'A) Base RI'!A158</f>
        <v>5650</v>
      </c>
      <c r="B156" s="57" t="str">
        <f>'A) Base RI'!B158</f>
        <v>Vaux-sur-Morges</v>
      </c>
      <c r="C156" s="32">
        <f>'B) D RI'!Y158</f>
        <v>22100.5</v>
      </c>
      <c r="D156" s="14">
        <f>'B) D RI'!Z158</f>
        <v>93.95</v>
      </c>
      <c r="E156" s="10">
        <f t="shared" si="6"/>
        <v>22194.45</v>
      </c>
      <c r="F156" s="14">
        <f>'B) D RI'!U158</f>
        <v>169595.47750000004</v>
      </c>
      <c r="G156" s="278">
        <f t="shared" si="7"/>
        <v>0.13086699201634075</v>
      </c>
      <c r="H156" s="58">
        <f t="shared" si="8"/>
        <v>11078.434999999999</v>
      </c>
    </row>
    <row r="157" spans="1:8" x14ac:dyDescent="0.25">
      <c r="A157" s="50">
        <f>'A) Base RI'!A159</f>
        <v>5651</v>
      </c>
      <c r="B157" s="57" t="str">
        <f>'A) Base RI'!B159</f>
        <v>Villars-Sainte-Croix</v>
      </c>
      <c r="C157" s="32">
        <f>'B) D RI'!Y159</f>
        <v>274584.39999999997</v>
      </c>
      <c r="D157" s="14">
        <f>'B) D RI'!Z159</f>
        <v>166753.75</v>
      </c>
      <c r="E157" s="10">
        <f t="shared" si="6"/>
        <v>441338.14999999997</v>
      </c>
      <c r="F157" s="14">
        <f>'B) D RI'!U159</f>
        <v>47710.277796610164</v>
      </c>
      <c r="G157" s="278">
        <f t="shared" si="7"/>
        <v>9.2503789619803314</v>
      </c>
      <c r="H157" s="58">
        <f t="shared" si="8"/>
        <v>187318.32499999998</v>
      </c>
    </row>
    <row r="158" spans="1:8" x14ac:dyDescent="0.25">
      <c r="A158" s="50">
        <f>'A) Base RI'!A160</f>
        <v>5652</v>
      </c>
      <c r="B158" s="57" t="str">
        <f>'A) Base RI'!B160</f>
        <v>Villars-sous-Yens</v>
      </c>
      <c r="C158" s="32">
        <f>'B) D RI'!Y160</f>
        <v>53242.95</v>
      </c>
      <c r="D158" s="14">
        <f>'B) D RI'!Z160</f>
        <v>7470.6</v>
      </c>
      <c r="E158" s="10">
        <f t="shared" si="6"/>
        <v>60713.549999999996</v>
      </c>
      <c r="F158" s="14">
        <f>'B) D RI'!U160</f>
        <v>25794.085109649121</v>
      </c>
      <c r="G158" s="278">
        <f t="shared" si="7"/>
        <v>2.3537779976265996</v>
      </c>
      <c r="H158" s="58">
        <f t="shared" si="8"/>
        <v>28862.654999999999</v>
      </c>
    </row>
    <row r="159" spans="1:8" x14ac:dyDescent="0.25">
      <c r="A159" s="50">
        <f>'A) Base RI'!A161</f>
        <v>5653</v>
      </c>
      <c r="B159" s="57" t="str">
        <f>'A) Base RI'!B161</f>
        <v>Vufflens-le-Château</v>
      </c>
      <c r="C159" s="32">
        <f>'B) D RI'!Y161</f>
        <v>76101.650000000009</v>
      </c>
      <c r="D159" s="14">
        <f>'B) D RI'!Z161</f>
        <v>406.8</v>
      </c>
      <c r="E159" s="10">
        <f t="shared" si="6"/>
        <v>76508.450000000012</v>
      </c>
      <c r="F159" s="14">
        <f>'B) D RI'!U161</f>
        <v>58104.710727272715</v>
      </c>
      <c r="G159" s="278">
        <f t="shared" si="7"/>
        <v>1.3167340314128626</v>
      </c>
      <c r="H159" s="58">
        <f t="shared" si="8"/>
        <v>38172.865000000005</v>
      </c>
    </row>
    <row r="160" spans="1:8" x14ac:dyDescent="0.25">
      <c r="A160" s="50">
        <f>'A) Base RI'!A162</f>
        <v>5654</v>
      </c>
      <c r="B160" s="57" t="str">
        <f>'A) Base RI'!B162</f>
        <v>Vullierens</v>
      </c>
      <c r="C160" s="32">
        <f>'B) D RI'!Y162</f>
        <v>35714.75</v>
      </c>
      <c r="D160" s="14">
        <f>'B) D RI'!Z162</f>
        <v>2445.85</v>
      </c>
      <c r="E160" s="10">
        <f t="shared" si="6"/>
        <v>38160.6</v>
      </c>
      <c r="F160" s="14">
        <f>'B) D RI'!U162</f>
        <v>18548.379210526316</v>
      </c>
      <c r="G160" s="278">
        <f t="shared" si="7"/>
        <v>2.0573549616854732</v>
      </c>
      <c r="H160" s="58">
        <f t="shared" si="8"/>
        <v>18591.13</v>
      </c>
    </row>
    <row r="161" spans="1:8" x14ac:dyDescent="0.25">
      <c r="A161" s="50">
        <f>'A) Base RI'!A163</f>
        <v>5655</v>
      </c>
      <c r="B161" s="57" t="str">
        <f>'A) Base RI'!B163</f>
        <v>Yens</v>
      </c>
      <c r="C161" s="32">
        <f>'B) D RI'!Y163</f>
        <v>776864.45</v>
      </c>
      <c r="D161" s="14">
        <f>'B) D RI'!Z163</f>
        <v>60612.05</v>
      </c>
      <c r="E161" s="10">
        <f t="shared" si="6"/>
        <v>837476.5</v>
      </c>
      <c r="F161" s="14">
        <f>'B) D RI'!U163</f>
        <v>71567.801506849311</v>
      </c>
      <c r="G161" s="278">
        <f t="shared" si="7"/>
        <v>11.701861484732772</v>
      </c>
      <c r="H161" s="58">
        <f t="shared" si="8"/>
        <v>406615.83999999997</v>
      </c>
    </row>
    <row r="162" spans="1:8" x14ac:dyDescent="0.25">
      <c r="A162" s="50">
        <f>'A) Base RI'!A164</f>
        <v>5661</v>
      </c>
      <c r="B162" s="57" t="str">
        <f>'A) Base RI'!B164</f>
        <v>Boulens</v>
      </c>
      <c r="C162" s="32">
        <f>'B) D RI'!Y164</f>
        <v>15658.8</v>
      </c>
      <c r="D162" s="14">
        <f>'B) D RI'!Z164</f>
        <v>13524.6</v>
      </c>
      <c r="E162" s="10">
        <f t="shared" si="6"/>
        <v>29183.4</v>
      </c>
      <c r="F162" s="14">
        <f>'B) D RI'!U164</f>
        <v>9056.8577215189871</v>
      </c>
      <c r="G162" s="278">
        <f t="shared" si="7"/>
        <v>3.2222433980232004</v>
      </c>
      <c r="H162" s="58">
        <f t="shared" si="8"/>
        <v>11886.779999999999</v>
      </c>
    </row>
    <row r="163" spans="1:8" x14ac:dyDescent="0.25">
      <c r="A163" s="50">
        <f>'A) Base RI'!A165</f>
        <v>5663</v>
      </c>
      <c r="B163" s="57" t="str">
        <f>'A) Base RI'!B165</f>
        <v>Bussy-sur-Moudon</v>
      </c>
      <c r="C163" s="32">
        <f>'B) D RI'!Y165</f>
        <v>28493.4</v>
      </c>
      <c r="D163" s="14">
        <f>'B) D RI'!Z165</f>
        <v>0</v>
      </c>
      <c r="E163" s="10">
        <f t="shared" si="6"/>
        <v>28493.4</v>
      </c>
      <c r="F163" s="14">
        <f>'B) D RI'!U165</f>
        <v>5655.1166249999997</v>
      </c>
      <c r="G163" s="278">
        <f t="shared" si="7"/>
        <v>5.0385167785995932</v>
      </c>
      <c r="H163" s="58">
        <f t="shared" si="8"/>
        <v>14246.7</v>
      </c>
    </row>
    <row r="164" spans="1:8" x14ac:dyDescent="0.25">
      <c r="A164" s="50">
        <f>'A) Base RI'!A166</f>
        <v>5665</v>
      </c>
      <c r="B164" s="57" t="str">
        <f>'A) Base RI'!B166</f>
        <v>Chavannes-sur-Moudon</v>
      </c>
      <c r="C164" s="32">
        <f>'B) D RI'!Y166</f>
        <v>3091.35</v>
      </c>
      <c r="D164" s="14">
        <f>'B) D RI'!Z166</f>
        <v>0</v>
      </c>
      <c r="E164" s="10">
        <f t="shared" si="6"/>
        <v>3091.35</v>
      </c>
      <c r="F164" s="14">
        <f>'B) D RI'!U166</f>
        <v>5028.5345205479452</v>
      </c>
      <c r="G164" s="278">
        <f t="shared" si="7"/>
        <v>0.6147616144162702</v>
      </c>
      <c r="H164" s="58">
        <f t="shared" si="8"/>
        <v>1545.675</v>
      </c>
    </row>
    <row r="165" spans="1:8" x14ac:dyDescent="0.25">
      <c r="A165" s="50">
        <f>'A) Base RI'!A167</f>
        <v>5669</v>
      </c>
      <c r="B165" s="57" t="str">
        <f>'A) Base RI'!B167</f>
        <v>Curtilles</v>
      </c>
      <c r="C165" s="32">
        <f>'B) D RI'!Y167</f>
        <v>65672.2</v>
      </c>
      <c r="D165" s="14">
        <f>'B) D RI'!Z167</f>
        <v>0</v>
      </c>
      <c r="E165" s="10">
        <f t="shared" si="6"/>
        <v>65672.2</v>
      </c>
      <c r="F165" s="14">
        <f>'B) D RI'!U167</f>
        <v>9029.3026666666665</v>
      </c>
      <c r="G165" s="278">
        <f t="shared" si="7"/>
        <v>7.2732305499560912</v>
      </c>
      <c r="H165" s="58">
        <f t="shared" si="8"/>
        <v>32836.1</v>
      </c>
    </row>
    <row r="166" spans="1:8" x14ac:dyDescent="0.25">
      <c r="A166" s="50">
        <f>'A) Base RI'!A168</f>
        <v>5671</v>
      </c>
      <c r="B166" s="57" t="str">
        <f>'A) Base RI'!B168</f>
        <v>Dompierre</v>
      </c>
      <c r="C166" s="32">
        <f>'B) D RI'!Y168</f>
        <v>55</v>
      </c>
      <c r="D166" s="14">
        <f>'B) D RI'!Z168</f>
        <v>0</v>
      </c>
      <c r="E166" s="10">
        <f t="shared" si="6"/>
        <v>55</v>
      </c>
      <c r="F166" s="14">
        <f>'B) D RI'!U168</f>
        <v>6333.6785</v>
      </c>
      <c r="G166" s="278">
        <f t="shared" si="7"/>
        <v>8.6837372626349767E-3</v>
      </c>
      <c r="H166" s="58">
        <f t="shared" si="8"/>
        <v>27.5</v>
      </c>
    </row>
    <row r="167" spans="1:8" x14ac:dyDescent="0.25">
      <c r="A167" s="50">
        <f>'A) Base RI'!A169</f>
        <v>5673</v>
      </c>
      <c r="B167" s="57" t="str">
        <f>'A) Base RI'!B169</f>
        <v>Hermenches</v>
      </c>
      <c r="C167" s="32">
        <f>'B) D RI'!Y169</f>
        <v>0</v>
      </c>
      <c r="D167" s="14">
        <f>'B) D RI'!Z169</f>
        <v>17820.650000000001</v>
      </c>
      <c r="E167" s="10">
        <f t="shared" si="6"/>
        <v>17820.650000000001</v>
      </c>
      <c r="F167" s="14">
        <f>'B) D RI'!U169</f>
        <v>8912.655777777778</v>
      </c>
      <c r="G167" s="278">
        <f t="shared" si="7"/>
        <v>1.9994769734552997</v>
      </c>
      <c r="H167" s="58">
        <f t="shared" si="8"/>
        <v>5346.1950000000006</v>
      </c>
    </row>
    <row r="168" spans="1:8" x14ac:dyDescent="0.25">
      <c r="A168" s="50">
        <f>'A) Base RI'!A170</f>
        <v>5674</v>
      </c>
      <c r="B168" s="57" t="str">
        <f>'A) Base RI'!B170</f>
        <v>Lovatens</v>
      </c>
      <c r="C168" s="32">
        <f>'B) D RI'!Y170</f>
        <v>4985.75</v>
      </c>
      <c r="D168" s="14">
        <f>'B) D RI'!Z170</f>
        <v>0</v>
      </c>
      <c r="E168" s="10">
        <f t="shared" si="6"/>
        <v>4985.75</v>
      </c>
      <c r="F168" s="14">
        <f>'B) D RI'!U170</f>
        <v>3614.9058666666665</v>
      </c>
      <c r="G168" s="278">
        <f t="shared" si="7"/>
        <v>1.3792198701421234</v>
      </c>
      <c r="H168" s="58">
        <f t="shared" si="8"/>
        <v>2492.875</v>
      </c>
    </row>
    <row r="169" spans="1:8" x14ac:dyDescent="0.25">
      <c r="A169" s="50">
        <f>'A) Base RI'!A171</f>
        <v>5675</v>
      </c>
      <c r="B169" s="57" t="str">
        <f>'A) Base RI'!B171</f>
        <v>Lucens</v>
      </c>
      <c r="C169" s="32">
        <f>'B) D RI'!Y171</f>
        <v>626263.55000000005</v>
      </c>
      <c r="D169" s="14">
        <f>'B) D RI'!Z171</f>
        <v>31940.15</v>
      </c>
      <c r="E169" s="10">
        <f t="shared" si="6"/>
        <v>658203.70000000007</v>
      </c>
      <c r="F169" s="14">
        <f>'B) D RI'!U171</f>
        <v>84285.039641873256</v>
      </c>
      <c r="G169" s="278">
        <f t="shared" si="7"/>
        <v>7.8092589479307897</v>
      </c>
      <c r="H169" s="58">
        <f t="shared" si="8"/>
        <v>322713.82</v>
      </c>
    </row>
    <row r="170" spans="1:8" x14ac:dyDescent="0.25">
      <c r="A170" s="50">
        <f>'A) Base RI'!A172</f>
        <v>5678</v>
      </c>
      <c r="B170" s="57" t="str">
        <f>'A) Base RI'!B172</f>
        <v>Moudon</v>
      </c>
      <c r="C170" s="32">
        <f>'B) D RI'!Y172</f>
        <v>1329147.1499999999</v>
      </c>
      <c r="D170" s="14">
        <f>'B) D RI'!Z172</f>
        <v>155146.65</v>
      </c>
      <c r="E170" s="10">
        <f t="shared" si="6"/>
        <v>1484293.7999999998</v>
      </c>
      <c r="F170" s="14">
        <f>'B) D RI'!U172</f>
        <v>115802.40466666668</v>
      </c>
      <c r="G170" s="278">
        <f t="shared" si="7"/>
        <v>12.817469587721339</v>
      </c>
      <c r="H170" s="58">
        <f t="shared" si="8"/>
        <v>711117.57</v>
      </c>
    </row>
    <row r="171" spans="1:8" x14ac:dyDescent="0.25">
      <c r="A171" s="50">
        <f>'A) Base RI'!A173</f>
        <v>5680</v>
      </c>
      <c r="B171" s="57" t="str">
        <f>'A) Base RI'!B173</f>
        <v>Ogens</v>
      </c>
      <c r="C171" s="32">
        <f>'B) D RI'!Y173</f>
        <v>36075.75</v>
      </c>
      <c r="D171" s="14">
        <f>'B) D RI'!Z173</f>
        <v>0</v>
      </c>
      <c r="E171" s="10">
        <f t="shared" si="6"/>
        <v>36075.75</v>
      </c>
      <c r="F171" s="14">
        <f>'B) D RI'!U173</f>
        <v>7404.4946581196582</v>
      </c>
      <c r="G171" s="278">
        <f t="shared" si="7"/>
        <v>4.8721420793301364</v>
      </c>
      <c r="H171" s="58">
        <f t="shared" si="8"/>
        <v>18037.875</v>
      </c>
    </row>
    <row r="172" spans="1:8" x14ac:dyDescent="0.25">
      <c r="A172" s="50">
        <f>'A) Base RI'!A174</f>
        <v>5683</v>
      </c>
      <c r="B172" s="57" t="str">
        <f>'A) Base RI'!B174</f>
        <v>Prévonloup</v>
      </c>
      <c r="C172" s="32">
        <f>'B) D RI'!Y174</f>
        <v>24906</v>
      </c>
      <c r="D172" s="14">
        <f>'B) D RI'!Z174</f>
        <v>0</v>
      </c>
      <c r="E172" s="10">
        <f t="shared" si="6"/>
        <v>24906</v>
      </c>
      <c r="F172" s="14">
        <f>'B) D RI'!U174</f>
        <v>3876.1695945945944</v>
      </c>
      <c r="G172" s="278">
        <f t="shared" si="7"/>
        <v>6.4254154500184866</v>
      </c>
      <c r="H172" s="58">
        <f t="shared" si="8"/>
        <v>12453</v>
      </c>
    </row>
    <row r="173" spans="1:8" x14ac:dyDescent="0.25">
      <c r="A173" s="50">
        <f>'A) Base RI'!A175</f>
        <v>5684</v>
      </c>
      <c r="B173" s="57" t="str">
        <f>'A) Base RI'!B175</f>
        <v>Rossenges</v>
      </c>
      <c r="C173" s="32">
        <f>'B) D RI'!Y175</f>
        <v>0</v>
      </c>
      <c r="D173" s="14">
        <f>'B) D RI'!Z175</f>
        <v>0</v>
      </c>
      <c r="E173" s="10">
        <f t="shared" si="6"/>
        <v>0</v>
      </c>
      <c r="F173" s="14">
        <f>'B) D RI'!U175</f>
        <v>2934.7781666666665</v>
      </c>
      <c r="G173" s="278">
        <f t="shared" si="7"/>
        <v>0</v>
      </c>
      <c r="H173" s="58">
        <f t="shared" si="8"/>
        <v>0</v>
      </c>
    </row>
    <row r="174" spans="1:8" x14ac:dyDescent="0.25">
      <c r="A174" s="50">
        <f>'A) Base RI'!A176</f>
        <v>5688</v>
      </c>
      <c r="B174" s="57" t="str">
        <f>'A) Base RI'!B176</f>
        <v>Syens</v>
      </c>
      <c r="C174" s="32">
        <f>'B) D RI'!Y176</f>
        <v>30882.799999999999</v>
      </c>
      <c r="D174" s="14">
        <f>'B) D RI'!Z176</f>
        <v>0</v>
      </c>
      <c r="E174" s="10">
        <f t="shared" si="6"/>
        <v>30882.799999999999</v>
      </c>
      <c r="F174" s="14">
        <f>'B) D RI'!U176</f>
        <v>6079.6888888888907</v>
      </c>
      <c r="G174" s="278">
        <f t="shared" si="7"/>
        <v>5.0796678192597557</v>
      </c>
      <c r="H174" s="58">
        <f t="shared" si="8"/>
        <v>15441.4</v>
      </c>
    </row>
    <row r="175" spans="1:8" x14ac:dyDescent="0.25">
      <c r="A175" s="50">
        <f>'A) Base RI'!A177</f>
        <v>5690</v>
      </c>
      <c r="B175" s="57" t="str">
        <f>'A) Base RI'!B177</f>
        <v>Villars-le-Comte</v>
      </c>
      <c r="C175" s="32">
        <f>'B) D RI'!Y177</f>
        <v>23671.599999999999</v>
      </c>
      <c r="D175" s="14">
        <f>'B) D RI'!Z177</f>
        <v>0</v>
      </c>
      <c r="E175" s="10">
        <f t="shared" si="6"/>
        <v>23671.599999999999</v>
      </c>
      <c r="F175" s="14">
        <f>'B) D RI'!U177</f>
        <v>3585.4957380952383</v>
      </c>
      <c r="G175" s="278">
        <f t="shared" si="7"/>
        <v>6.602043825765449</v>
      </c>
      <c r="H175" s="58">
        <f t="shared" si="8"/>
        <v>11835.8</v>
      </c>
    </row>
    <row r="176" spans="1:8" x14ac:dyDescent="0.25">
      <c r="A176" s="50">
        <f>'A) Base RI'!A178</f>
        <v>5692</v>
      </c>
      <c r="B176" s="57" t="str">
        <f>'A) Base RI'!B178</f>
        <v>Vucherens</v>
      </c>
      <c r="C176" s="32">
        <f>'B) D RI'!Y178</f>
        <v>85806.65</v>
      </c>
      <c r="D176" s="14">
        <f>'B) D RI'!Z178</f>
        <v>2838.25</v>
      </c>
      <c r="E176" s="10">
        <f t="shared" si="6"/>
        <v>88644.9</v>
      </c>
      <c r="F176" s="14">
        <f>'B) D RI'!U178</f>
        <v>17261.954936708858</v>
      </c>
      <c r="G176" s="278">
        <f t="shared" si="7"/>
        <v>5.1352758320258314</v>
      </c>
      <c r="H176" s="58">
        <f t="shared" si="8"/>
        <v>43754.799999999996</v>
      </c>
    </row>
    <row r="177" spans="1:8" x14ac:dyDescent="0.25">
      <c r="A177" s="50">
        <f>'A) Base RI'!A179</f>
        <v>5693</v>
      </c>
      <c r="B177" s="57" t="str">
        <f>'A) Base RI'!B179</f>
        <v>Montanaire</v>
      </c>
      <c r="C177" s="32">
        <f>'B) D RI'!Y179</f>
        <v>422168.4</v>
      </c>
      <c r="D177" s="14">
        <f>'B) D RI'!Z179</f>
        <v>57935.15</v>
      </c>
      <c r="E177" s="10">
        <f t="shared" si="6"/>
        <v>480103.55000000005</v>
      </c>
      <c r="F177" s="14">
        <f>'B) D RI'!U179</f>
        <v>70163.69902777778</v>
      </c>
      <c r="G177" s="278">
        <f t="shared" si="7"/>
        <v>6.8426202816064077</v>
      </c>
      <c r="H177" s="58">
        <f t="shared" si="8"/>
        <v>228464.745</v>
      </c>
    </row>
    <row r="178" spans="1:8" x14ac:dyDescent="0.25">
      <c r="A178" s="50">
        <f>'A) Base RI'!A180</f>
        <v>5701</v>
      </c>
      <c r="B178" s="57" t="str">
        <f>'A) Base RI'!B180</f>
        <v>Arnex-sur-Nyon</v>
      </c>
      <c r="C178" s="32">
        <f>'B) D RI'!Y180</f>
        <v>32364.65</v>
      </c>
      <c r="D178" s="14">
        <f>'B) D RI'!Z180</f>
        <v>0</v>
      </c>
      <c r="E178" s="10">
        <f t="shared" si="6"/>
        <v>32364.65</v>
      </c>
      <c r="F178" s="14">
        <f>'B) D RI'!U180</f>
        <v>14485.916142857144</v>
      </c>
      <c r="G178" s="278">
        <f t="shared" si="7"/>
        <v>2.2342149216401945</v>
      </c>
      <c r="H178" s="58">
        <f t="shared" si="8"/>
        <v>16182.325000000001</v>
      </c>
    </row>
    <row r="179" spans="1:8" x14ac:dyDescent="0.25">
      <c r="A179" s="50">
        <f>'A) Base RI'!A181</f>
        <v>5702</v>
      </c>
      <c r="B179" s="57" t="str">
        <f>'A) Base RI'!B181</f>
        <v>Arzier-Le Muids</v>
      </c>
      <c r="C179" s="32">
        <f>'B) D RI'!Y181</f>
        <v>1135901.05</v>
      </c>
      <c r="D179" s="14">
        <f>'B) D RI'!Z181</f>
        <v>59677.1</v>
      </c>
      <c r="E179" s="10">
        <f t="shared" si="6"/>
        <v>1195578.1500000001</v>
      </c>
      <c r="F179" s="14">
        <f>'B) D RI'!U181</f>
        <v>155554.60781250003</v>
      </c>
      <c r="G179" s="278">
        <f t="shared" si="7"/>
        <v>7.685906363128165</v>
      </c>
      <c r="H179" s="58">
        <f t="shared" si="8"/>
        <v>585853.65500000003</v>
      </c>
    </row>
    <row r="180" spans="1:8" x14ac:dyDescent="0.25">
      <c r="A180" s="50">
        <f>'A) Base RI'!A182</f>
        <v>5703</v>
      </c>
      <c r="B180" s="57" t="str">
        <f>'A) Base RI'!B182</f>
        <v>Bassins</v>
      </c>
      <c r="C180" s="32">
        <f>'B) D RI'!Y182</f>
        <v>407825.44999999995</v>
      </c>
      <c r="D180" s="14">
        <f>'B) D RI'!Z182</f>
        <v>30853.25</v>
      </c>
      <c r="E180" s="10">
        <f t="shared" si="6"/>
        <v>438678.69999999995</v>
      </c>
      <c r="F180" s="14">
        <f>'B) D RI'!U182</f>
        <v>56619.784440154435</v>
      </c>
      <c r="G180" s="278">
        <f t="shared" si="7"/>
        <v>7.7477988363532422</v>
      </c>
      <c r="H180" s="58">
        <f t="shared" si="8"/>
        <v>213168.69999999998</v>
      </c>
    </row>
    <row r="181" spans="1:8" x14ac:dyDescent="0.25">
      <c r="A181" s="50">
        <f>'A) Base RI'!A183</f>
        <v>5704</v>
      </c>
      <c r="B181" s="57" t="str">
        <f>'A) Base RI'!B183</f>
        <v>Begnins</v>
      </c>
      <c r="C181" s="32">
        <f>'B) D RI'!Y183</f>
        <v>879994.79999999993</v>
      </c>
      <c r="D181" s="14">
        <f>'B) D RI'!Z183</f>
        <v>52344.800000000003</v>
      </c>
      <c r="E181" s="10">
        <f t="shared" si="6"/>
        <v>932339.6</v>
      </c>
      <c r="F181" s="14">
        <f>'B) D RI'!U183</f>
        <v>127181.77029850746</v>
      </c>
      <c r="G181" s="278">
        <f t="shared" si="7"/>
        <v>7.330764446914932</v>
      </c>
      <c r="H181" s="58">
        <f t="shared" si="8"/>
        <v>455700.83999999997</v>
      </c>
    </row>
    <row r="182" spans="1:8" x14ac:dyDescent="0.25">
      <c r="A182" s="50">
        <f>'A) Base RI'!A184</f>
        <v>5705</v>
      </c>
      <c r="B182" s="57" t="str">
        <f>'A) Base RI'!B184</f>
        <v>Bogis-Bossey</v>
      </c>
      <c r="C182" s="32">
        <f>'B) D RI'!Y184</f>
        <v>183722.8</v>
      </c>
      <c r="D182" s="14">
        <f>'B) D RI'!Z184</f>
        <v>31710.05</v>
      </c>
      <c r="E182" s="10">
        <f t="shared" si="6"/>
        <v>215432.84999999998</v>
      </c>
      <c r="F182" s="14">
        <f>'B) D RI'!U184</f>
        <v>54965.953000000009</v>
      </c>
      <c r="G182" s="278">
        <f t="shared" si="7"/>
        <v>3.9193871522613271</v>
      </c>
      <c r="H182" s="58">
        <f t="shared" si="8"/>
        <v>101374.41499999999</v>
      </c>
    </row>
    <row r="183" spans="1:8" x14ac:dyDescent="0.25">
      <c r="A183" s="50">
        <f>'A) Base RI'!A185</f>
        <v>5706</v>
      </c>
      <c r="B183" s="57" t="str">
        <f>'A) Base RI'!B185</f>
        <v>Borex</v>
      </c>
      <c r="C183" s="32">
        <f>'B) D RI'!Y185</f>
        <v>355909.5</v>
      </c>
      <c r="D183" s="14">
        <f>'B) D RI'!Z185</f>
        <v>7454.75</v>
      </c>
      <c r="E183" s="10">
        <f t="shared" si="6"/>
        <v>363364.25</v>
      </c>
      <c r="F183" s="14">
        <f>'B) D RI'!U185</f>
        <v>71857.063735632182</v>
      </c>
      <c r="G183" s="278">
        <f t="shared" si="7"/>
        <v>5.0567645142980764</v>
      </c>
      <c r="H183" s="58">
        <f t="shared" si="8"/>
        <v>180191.17499999999</v>
      </c>
    </row>
    <row r="184" spans="1:8" x14ac:dyDescent="0.25">
      <c r="A184" s="50">
        <f>'A) Base RI'!A186</f>
        <v>5707</v>
      </c>
      <c r="B184" s="57" t="str">
        <f>'A) Base RI'!B186</f>
        <v>Chavannes-de-Bogis</v>
      </c>
      <c r="C184" s="32">
        <f>'B) D RI'!Y186</f>
        <v>305573.15000000002</v>
      </c>
      <c r="D184" s="14">
        <f>'B) D RI'!Z186</f>
        <v>502784.35</v>
      </c>
      <c r="E184" s="10">
        <f t="shared" si="6"/>
        <v>808357.5</v>
      </c>
      <c r="F184" s="14">
        <f>'B) D RI'!U186</f>
        <v>84087.690451977411</v>
      </c>
      <c r="G184" s="278">
        <f t="shared" si="7"/>
        <v>9.6132679546199924</v>
      </c>
      <c r="H184" s="58">
        <f t="shared" si="8"/>
        <v>303621.88</v>
      </c>
    </row>
    <row r="185" spans="1:8" x14ac:dyDescent="0.25">
      <c r="A185" s="50">
        <f>'A) Base RI'!A187</f>
        <v>5708</v>
      </c>
      <c r="B185" s="57" t="str">
        <f>'A) Base RI'!B187</f>
        <v>Chavannes-des-Bois</v>
      </c>
      <c r="C185" s="32">
        <f>'B) D RI'!Y187</f>
        <v>95364.449999999983</v>
      </c>
      <c r="D185" s="14">
        <f>'B) D RI'!Z187</f>
        <v>945.8</v>
      </c>
      <c r="E185" s="10">
        <f t="shared" si="6"/>
        <v>96310.249999999985</v>
      </c>
      <c r="F185" s="14">
        <f>'B) D RI'!U187</f>
        <v>57555.435593220333</v>
      </c>
      <c r="G185" s="278">
        <f t="shared" si="7"/>
        <v>1.6733475997068941</v>
      </c>
      <c r="H185" s="58">
        <f t="shared" si="8"/>
        <v>47965.964999999989</v>
      </c>
    </row>
    <row r="186" spans="1:8" x14ac:dyDescent="0.25">
      <c r="A186" s="50">
        <f>'A) Base RI'!A188</f>
        <v>5709</v>
      </c>
      <c r="B186" s="57" t="str">
        <f>'A) Base RI'!B188</f>
        <v>Chéserex</v>
      </c>
      <c r="C186" s="32">
        <f>'B) D RI'!Y188</f>
        <v>1663282.4</v>
      </c>
      <c r="D186" s="14">
        <f>'B) D RI'!Z188</f>
        <v>31415.15</v>
      </c>
      <c r="E186" s="10">
        <f t="shared" si="6"/>
        <v>1694697.5499999998</v>
      </c>
      <c r="F186" s="14">
        <f>'B) D RI'!U188</f>
        <v>76627.19473684211</v>
      </c>
      <c r="G186" s="278">
        <f t="shared" si="7"/>
        <v>22.116137173232502</v>
      </c>
      <c r="H186" s="58">
        <f t="shared" si="8"/>
        <v>841065.745</v>
      </c>
    </row>
    <row r="187" spans="1:8" x14ac:dyDescent="0.25">
      <c r="A187" s="50">
        <f>'A) Base RI'!A189</f>
        <v>5710</v>
      </c>
      <c r="B187" s="57" t="str">
        <f>'A) Base RI'!B189</f>
        <v>Coinsins</v>
      </c>
      <c r="C187" s="32">
        <f>'B) D RI'!Y189</f>
        <v>133144.15</v>
      </c>
      <c r="D187" s="14">
        <f>'B) D RI'!Z189</f>
        <v>68325.600000000006</v>
      </c>
      <c r="E187" s="10">
        <f t="shared" si="6"/>
        <v>201469.75</v>
      </c>
      <c r="F187" s="14">
        <f>'B) D RI'!U189</f>
        <v>93255.286470588253</v>
      </c>
      <c r="G187" s="278">
        <f t="shared" si="7"/>
        <v>2.1604110353952048</v>
      </c>
      <c r="H187" s="58">
        <f t="shared" si="8"/>
        <v>87069.755000000005</v>
      </c>
    </row>
    <row r="188" spans="1:8" x14ac:dyDescent="0.25">
      <c r="A188" s="50">
        <f>'A) Base RI'!A190</f>
        <v>5711</v>
      </c>
      <c r="B188" s="57" t="str">
        <f>'A) Base RI'!B190</f>
        <v>Commugny</v>
      </c>
      <c r="C188" s="32">
        <f>'B) D RI'!Y190</f>
        <v>1060090.2999999998</v>
      </c>
      <c r="D188" s="14">
        <f>'B) D RI'!Z190</f>
        <v>39037</v>
      </c>
      <c r="E188" s="10">
        <f t="shared" si="6"/>
        <v>1099127.2999999998</v>
      </c>
      <c r="F188" s="14">
        <f>'B) D RI'!U190</f>
        <v>252725.09392712548</v>
      </c>
      <c r="G188" s="278">
        <f t="shared" si="7"/>
        <v>4.3491023503860626</v>
      </c>
      <c r="H188" s="58">
        <f t="shared" si="8"/>
        <v>541756.24999999988</v>
      </c>
    </row>
    <row r="189" spans="1:8" x14ac:dyDescent="0.25">
      <c r="A189" s="50">
        <f>'A) Base RI'!A191</f>
        <v>5712</v>
      </c>
      <c r="B189" s="57" t="str">
        <f>'A) Base RI'!B191</f>
        <v>Coppet</v>
      </c>
      <c r="C189" s="32">
        <f>'B) D RI'!Y191</f>
        <v>2160102.2000000002</v>
      </c>
      <c r="D189" s="14">
        <f>'B) D RI'!Z191</f>
        <v>155045.04999999999</v>
      </c>
      <c r="E189" s="10">
        <f t="shared" si="6"/>
        <v>2315147.25</v>
      </c>
      <c r="F189" s="14">
        <f>'B) D RI'!U191</f>
        <v>325058.64591194969</v>
      </c>
      <c r="G189" s="278">
        <f t="shared" si="7"/>
        <v>7.1222447983343775</v>
      </c>
      <c r="H189" s="58">
        <f t="shared" si="8"/>
        <v>1126564.615</v>
      </c>
    </row>
    <row r="190" spans="1:8" x14ac:dyDescent="0.25">
      <c r="A190" s="50">
        <f>'A) Base RI'!A192</f>
        <v>5713</v>
      </c>
      <c r="B190" s="57" t="str">
        <f>'A) Base RI'!B192</f>
        <v>Crans-près-Céligny</v>
      </c>
      <c r="C190" s="32">
        <f>'B) D RI'!Y192</f>
        <v>978487.5</v>
      </c>
      <c r="D190" s="14">
        <f>'B) D RI'!Z192</f>
        <v>26286.5</v>
      </c>
      <c r="E190" s="10">
        <f t="shared" si="6"/>
        <v>1004774</v>
      </c>
      <c r="F190" s="14">
        <f>'B) D RI'!U192</f>
        <v>238982.42094339622</v>
      </c>
      <c r="G190" s="278">
        <f t="shared" si="7"/>
        <v>4.2043845569628067</v>
      </c>
      <c r="H190" s="58">
        <f t="shared" si="8"/>
        <v>497129.7</v>
      </c>
    </row>
    <row r="191" spans="1:8" x14ac:dyDescent="0.25">
      <c r="A191" s="50">
        <f>'A) Base RI'!A193</f>
        <v>5714</v>
      </c>
      <c r="B191" s="57" t="str">
        <f>'A) Base RI'!B193</f>
        <v>Crassier</v>
      </c>
      <c r="C191" s="32">
        <f>'B) D RI'!Y193</f>
        <v>444769.89999999997</v>
      </c>
      <c r="D191" s="14">
        <f>'B) D RI'!Z193</f>
        <v>73600.649999999994</v>
      </c>
      <c r="E191" s="10">
        <f t="shared" si="6"/>
        <v>518370.54999999993</v>
      </c>
      <c r="F191" s="14">
        <f>'B) D RI'!U193</f>
        <v>81379.304374999992</v>
      </c>
      <c r="G191" s="278">
        <f t="shared" si="7"/>
        <v>6.3698080732089073</v>
      </c>
      <c r="H191" s="58">
        <f t="shared" si="8"/>
        <v>244465.14499999999</v>
      </c>
    </row>
    <row r="192" spans="1:8" x14ac:dyDescent="0.25">
      <c r="A192" s="50">
        <f>'A) Base RI'!A194</f>
        <v>5715</v>
      </c>
      <c r="B192" s="57" t="str">
        <f>'A) Base RI'!B194</f>
        <v>Duillier</v>
      </c>
      <c r="C192" s="32">
        <f>'B) D RI'!Y194</f>
        <v>124343.29999999999</v>
      </c>
      <c r="D192" s="14">
        <f>'B) D RI'!Z194</f>
        <v>38202.800000000003</v>
      </c>
      <c r="E192" s="10">
        <f t="shared" si="6"/>
        <v>162546.09999999998</v>
      </c>
      <c r="F192" s="14">
        <f>'B) D RI'!U194</f>
        <v>59220.850303030304</v>
      </c>
      <c r="G192" s="278">
        <f t="shared" si="7"/>
        <v>2.7447444467321769</v>
      </c>
      <c r="H192" s="58">
        <f t="shared" si="8"/>
        <v>73632.489999999991</v>
      </c>
    </row>
    <row r="193" spans="1:8" x14ac:dyDescent="0.25">
      <c r="A193" s="50">
        <f>'A) Base RI'!A195</f>
        <v>5716</v>
      </c>
      <c r="B193" s="57" t="str">
        <f>'A) Base RI'!B195</f>
        <v>Eysins</v>
      </c>
      <c r="C193" s="32">
        <f>'B) D RI'!Y195</f>
        <v>540398.65</v>
      </c>
      <c r="D193" s="14">
        <f>'B) D RI'!Z195</f>
        <v>704793.75</v>
      </c>
      <c r="E193" s="10">
        <f t="shared" si="6"/>
        <v>1245192.3999999999</v>
      </c>
      <c r="F193" s="14">
        <f>'B) D RI'!U195</f>
        <v>124151.91836065573</v>
      </c>
      <c r="G193" s="278">
        <f t="shared" si="7"/>
        <v>10.029586465049794</v>
      </c>
      <c r="H193" s="58">
        <f t="shared" si="8"/>
        <v>481637.45</v>
      </c>
    </row>
    <row r="194" spans="1:8" x14ac:dyDescent="0.25">
      <c r="A194" s="50">
        <f>'A) Base RI'!A196</f>
        <v>5717</v>
      </c>
      <c r="B194" s="57" t="str">
        <f>'A) Base RI'!B196</f>
        <v>Founex</v>
      </c>
      <c r="C194" s="32">
        <f>'B) D RI'!Y196</f>
        <v>2110367.7000000002</v>
      </c>
      <c r="D194" s="14">
        <f>'B) D RI'!Z196</f>
        <v>248363.8</v>
      </c>
      <c r="E194" s="10">
        <f t="shared" si="6"/>
        <v>2358731.5</v>
      </c>
      <c r="F194" s="14">
        <f>'B) D RI'!U196</f>
        <v>339342.81578947371</v>
      </c>
      <c r="G194" s="278">
        <f t="shared" si="7"/>
        <v>6.9508809093614143</v>
      </c>
      <c r="H194" s="58">
        <f t="shared" si="8"/>
        <v>1129692.99</v>
      </c>
    </row>
    <row r="195" spans="1:8" x14ac:dyDescent="0.25">
      <c r="A195" s="50">
        <f>'A) Base RI'!A197</f>
        <v>5718</v>
      </c>
      <c r="B195" s="57" t="str">
        <f>'A) Base RI'!B197</f>
        <v>Genolier</v>
      </c>
      <c r="C195" s="32">
        <f>'B) D RI'!Y197</f>
        <v>838628.5</v>
      </c>
      <c r="D195" s="14">
        <f>'B) D RI'!Z197</f>
        <v>303990.40000000002</v>
      </c>
      <c r="E195" s="10">
        <f t="shared" si="6"/>
        <v>1142618.8999999999</v>
      </c>
      <c r="F195" s="14">
        <f>'B) D RI'!U197</f>
        <v>176672.45218181823</v>
      </c>
      <c r="G195" s="278">
        <f t="shared" si="7"/>
        <v>6.4674423538543575</v>
      </c>
      <c r="H195" s="58">
        <f t="shared" si="8"/>
        <v>510511.37</v>
      </c>
    </row>
    <row r="196" spans="1:8" x14ac:dyDescent="0.25">
      <c r="A196" s="50">
        <f>'A) Base RI'!A198</f>
        <v>5719</v>
      </c>
      <c r="B196" s="57" t="str">
        <f>'A) Base RI'!B198</f>
        <v>Gingins</v>
      </c>
      <c r="C196" s="32">
        <f>'B) D RI'!Y198</f>
        <v>720687.10000000009</v>
      </c>
      <c r="D196" s="14">
        <f>'B) D RI'!Z198</f>
        <v>83648.25</v>
      </c>
      <c r="E196" s="10">
        <f t="shared" si="6"/>
        <v>804335.35000000009</v>
      </c>
      <c r="F196" s="14">
        <f>'B) D RI'!U198</f>
        <v>130825.37064327484</v>
      </c>
      <c r="G196" s="278">
        <f t="shared" si="7"/>
        <v>6.148160299833612</v>
      </c>
      <c r="H196" s="58">
        <f t="shared" si="8"/>
        <v>385438.02500000002</v>
      </c>
    </row>
    <row r="197" spans="1:8" x14ac:dyDescent="0.25">
      <c r="A197" s="50">
        <f>'A) Base RI'!A199</f>
        <v>5720</v>
      </c>
      <c r="B197" s="57" t="str">
        <f>'A) Base RI'!B199</f>
        <v>Givrins</v>
      </c>
      <c r="C197" s="32">
        <f>'B) D RI'!Y199</f>
        <v>151122.54999999999</v>
      </c>
      <c r="D197" s="14">
        <f>'B) D RI'!Z199</f>
        <v>8532.35</v>
      </c>
      <c r="E197" s="10">
        <f t="shared" si="6"/>
        <v>159654.9</v>
      </c>
      <c r="F197" s="14">
        <f>'B) D RI'!U199</f>
        <v>72642.976593806918</v>
      </c>
      <c r="G197" s="278">
        <f t="shared" si="7"/>
        <v>2.1978022857286268</v>
      </c>
      <c r="H197" s="58">
        <f t="shared" si="8"/>
        <v>78120.98</v>
      </c>
    </row>
    <row r="198" spans="1:8" x14ac:dyDescent="0.25">
      <c r="A198" s="50">
        <f>'A) Base RI'!A200</f>
        <v>5721</v>
      </c>
      <c r="B198" s="57" t="str">
        <f>'A) Base RI'!B200</f>
        <v>Gland</v>
      </c>
      <c r="C198" s="32">
        <f>'B) D RI'!Y200</f>
        <v>6871893.0999999996</v>
      </c>
      <c r="D198" s="14">
        <f>'B) D RI'!Z200</f>
        <v>1569790.75</v>
      </c>
      <c r="E198" s="10">
        <f t="shared" ref="E198:E261" si="9">C198+D198</f>
        <v>8441683.8499999996</v>
      </c>
      <c r="F198" s="14">
        <f>'B) D RI'!U200</f>
        <v>599217.55248000007</v>
      </c>
      <c r="G198" s="278">
        <f t="shared" ref="G198:G261" si="10">E198/F198</f>
        <v>14.087844748642866</v>
      </c>
      <c r="H198" s="58">
        <f t="shared" ref="H198:H261" si="11">(C198*$C$4)+(D198*$D$4)</f>
        <v>3906883.7749999999</v>
      </c>
    </row>
    <row r="199" spans="1:8" x14ac:dyDescent="0.25">
      <c r="A199" s="50">
        <f>'A) Base RI'!A201</f>
        <v>5722</v>
      </c>
      <c r="B199" s="57" t="str">
        <f>'A) Base RI'!B201</f>
        <v>Grens</v>
      </c>
      <c r="C199" s="32">
        <f>'B) D RI'!Y201</f>
        <v>38222</v>
      </c>
      <c r="D199" s="14">
        <f>'B) D RI'!Z201</f>
        <v>20573.2</v>
      </c>
      <c r="E199" s="10">
        <f t="shared" si="9"/>
        <v>58795.199999999997</v>
      </c>
      <c r="F199" s="14">
        <f>'B) D RI'!U201</f>
        <v>25282.227903225812</v>
      </c>
      <c r="G199" s="278">
        <f t="shared" si="10"/>
        <v>2.3255545446807</v>
      </c>
      <c r="H199" s="58">
        <f t="shared" si="11"/>
        <v>25282.959999999999</v>
      </c>
    </row>
    <row r="200" spans="1:8" x14ac:dyDescent="0.25">
      <c r="A200" s="50">
        <f>'A) Base RI'!A202</f>
        <v>5723</v>
      </c>
      <c r="B200" s="57" t="str">
        <f>'A) Base RI'!B202</f>
        <v>Mies</v>
      </c>
      <c r="C200" s="32">
        <f>'B) D RI'!Y202</f>
        <v>1925408.65</v>
      </c>
      <c r="D200" s="14">
        <f>'B) D RI'!Z202</f>
        <v>123882.8</v>
      </c>
      <c r="E200" s="10">
        <f t="shared" si="9"/>
        <v>2049291.45</v>
      </c>
      <c r="F200" s="14">
        <f>'B) D RI'!U202</f>
        <v>442357.54510204075</v>
      </c>
      <c r="G200" s="278">
        <f t="shared" si="10"/>
        <v>4.6326585195405228</v>
      </c>
      <c r="H200" s="58">
        <f t="shared" si="11"/>
        <v>999869.16499999992</v>
      </c>
    </row>
    <row r="201" spans="1:8" x14ac:dyDescent="0.25">
      <c r="A201" s="50">
        <f>'A) Base RI'!A203</f>
        <v>5724</v>
      </c>
      <c r="B201" s="57" t="str">
        <f>'A) Base RI'!B203</f>
        <v>Nyon</v>
      </c>
      <c r="C201" s="32">
        <f>'B) D RI'!Y203</f>
        <v>9086046.25</v>
      </c>
      <c r="D201" s="14">
        <f>'B) D RI'!Z203</f>
        <v>4187587.15</v>
      </c>
      <c r="E201" s="10">
        <f t="shared" si="9"/>
        <v>13273633.4</v>
      </c>
      <c r="F201" s="14">
        <f>'B) D RI'!U203</f>
        <v>1295846.4763430012</v>
      </c>
      <c r="G201" s="278">
        <f t="shared" si="10"/>
        <v>10.24321448745952</v>
      </c>
      <c r="H201" s="58">
        <f t="shared" si="11"/>
        <v>5799299.2699999996</v>
      </c>
    </row>
    <row r="202" spans="1:8" x14ac:dyDescent="0.25">
      <c r="A202" s="50">
        <f>'A) Base RI'!A204</f>
        <v>5725</v>
      </c>
      <c r="B202" s="57" t="str">
        <f>'A) Base RI'!B204</f>
        <v>Prangins</v>
      </c>
      <c r="C202" s="32">
        <f>'B) D RI'!Y204</f>
        <v>995514.60000000009</v>
      </c>
      <c r="D202" s="14">
        <f>'B) D RI'!Z204</f>
        <v>1104679.95</v>
      </c>
      <c r="E202" s="10">
        <f t="shared" si="9"/>
        <v>2100194.5499999998</v>
      </c>
      <c r="F202" s="14">
        <f>'B) D RI'!U204</f>
        <v>297756.63698979589</v>
      </c>
      <c r="G202" s="278">
        <f t="shared" si="10"/>
        <v>7.0533929024459443</v>
      </c>
      <c r="H202" s="58">
        <f t="shared" si="11"/>
        <v>829161.28500000003</v>
      </c>
    </row>
    <row r="203" spans="1:8" x14ac:dyDescent="0.25">
      <c r="A203" s="50">
        <f>'A) Base RI'!A205</f>
        <v>5726</v>
      </c>
      <c r="B203" s="57" t="str">
        <f>'A) Base RI'!B205</f>
        <v>La Rippe</v>
      </c>
      <c r="C203" s="32">
        <f>'B) D RI'!Y205</f>
        <v>333972.84999999998</v>
      </c>
      <c r="D203" s="14">
        <f>'B) D RI'!Z205</f>
        <v>18897.900000000001</v>
      </c>
      <c r="E203" s="10">
        <f t="shared" si="9"/>
        <v>352870.75</v>
      </c>
      <c r="F203" s="14">
        <f>'B) D RI'!U205</f>
        <v>56821.794000000002</v>
      </c>
      <c r="G203" s="278">
        <f t="shared" si="10"/>
        <v>6.2101303946862361</v>
      </c>
      <c r="H203" s="58">
        <f t="shared" si="11"/>
        <v>172655.79499999998</v>
      </c>
    </row>
    <row r="204" spans="1:8" x14ac:dyDescent="0.25">
      <c r="A204" s="50">
        <f>'A) Base RI'!A206</f>
        <v>5727</v>
      </c>
      <c r="B204" s="57" t="str">
        <f>'A) Base RI'!B206</f>
        <v>Saint-Cergue</v>
      </c>
      <c r="C204" s="32">
        <f>'B) D RI'!Y206</f>
        <v>628224.04999999993</v>
      </c>
      <c r="D204" s="14">
        <f>'B) D RI'!Z206</f>
        <v>88630.95</v>
      </c>
      <c r="E204" s="10">
        <f t="shared" si="9"/>
        <v>716854.99999999988</v>
      </c>
      <c r="F204" s="14">
        <f>'B) D RI'!U206</f>
        <v>100367.45777777779</v>
      </c>
      <c r="G204" s="278">
        <f t="shared" si="10"/>
        <v>7.142305044600997</v>
      </c>
      <c r="H204" s="58">
        <f t="shared" si="11"/>
        <v>340701.30999999994</v>
      </c>
    </row>
    <row r="205" spans="1:8" x14ac:dyDescent="0.25">
      <c r="A205" s="50">
        <f>'A) Base RI'!A207</f>
        <v>5728</v>
      </c>
      <c r="B205" s="57" t="str">
        <f>'A) Base RI'!B207</f>
        <v>Signy-Avenex</v>
      </c>
      <c r="C205" s="32">
        <f>'B) D RI'!Y207</f>
        <v>157588.85</v>
      </c>
      <c r="D205" s="14">
        <f>'B) D RI'!Z207</f>
        <v>221113.4</v>
      </c>
      <c r="E205" s="10">
        <f t="shared" si="9"/>
        <v>378702.25</v>
      </c>
      <c r="F205" s="14">
        <f>'B) D RI'!U207</f>
        <v>36550.556034482761</v>
      </c>
      <c r="G205" s="278">
        <f t="shared" si="10"/>
        <v>10.361053047803768</v>
      </c>
      <c r="H205" s="58">
        <f t="shared" si="11"/>
        <v>145128.44500000001</v>
      </c>
    </row>
    <row r="206" spans="1:8" x14ac:dyDescent="0.25">
      <c r="A206" s="50">
        <f>'A) Base RI'!A208</f>
        <v>5729</v>
      </c>
      <c r="B206" s="57" t="str">
        <f>'A) Base RI'!B208</f>
        <v>Tannay</v>
      </c>
      <c r="C206" s="32">
        <f>'B) D RI'!Y208</f>
        <v>1114919.05</v>
      </c>
      <c r="D206" s="14">
        <f>'B) D RI'!Z208</f>
        <v>19280.349999999999</v>
      </c>
      <c r="E206" s="10">
        <f t="shared" si="9"/>
        <v>1134199.4000000001</v>
      </c>
      <c r="F206" s="14">
        <f>'B) D RI'!U208</f>
        <v>172823.24043715847</v>
      </c>
      <c r="G206" s="278">
        <f t="shared" si="10"/>
        <v>6.5627712866106958</v>
      </c>
      <c r="H206" s="58">
        <f t="shared" si="11"/>
        <v>563243.63</v>
      </c>
    </row>
    <row r="207" spans="1:8" x14ac:dyDescent="0.25">
      <c r="A207" s="50">
        <f>'A) Base RI'!A209</f>
        <v>5730</v>
      </c>
      <c r="B207" s="57" t="str">
        <f>'A) Base RI'!B209</f>
        <v>Trélex</v>
      </c>
      <c r="C207" s="32">
        <f>'B) D RI'!Y209</f>
        <v>532723.85</v>
      </c>
      <c r="D207" s="14">
        <f>'B) D RI'!Z209</f>
        <v>5872.4</v>
      </c>
      <c r="E207" s="10">
        <f t="shared" si="9"/>
        <v>538596.25</v>
      </c>
      <c r="F207" s="14">
        <f>'B) D RI'!U209</f>
        <v>103185.50284600389</v>
      </c>
      <c r="G207" s="278">
        <f t="shared" si="10"/>
        <v>5.219689153463853</v>
      </c>
      <c r="H207" s="58">
        <f t="shared" si="11"/>
        <v>268123.64499999996</v>
      </c>
    </row>
    <row r="208" spans="1:8" x14ac:dyDescent="0.25">
      <c r="A208" s="50">
        <f>'A) Base RI'!A210</f>
        <v>5731</v>
      </c>
      <c r="B208" s="57" t="str">
        <f>'A) Base RI'!B210</f>
        <v>Le Vaud</v>
      </c>
      <c r="C208" s="32">
        <f>'B) D RI'!Y210</f>
        <v>352900.3</v>
      </c>
      <c r="D208" s="14">
        <f>'B) D RI'!Z210</f>
        <v>20640.25</v>
      </c>
      <c r="E208" s="10">
        <f t="shared" si="9"/>
        <v>373540.55</v>
      </c>
      <c r="F208" s="14">
        <f>'B) D RI'!U210</f>
        <v>50829.361333333334</v>
      </c>
      <c r="G208" s="278">
        <f t="shared" si="10"/>
        <v>7.3489129157134663</v>
      </c>
      <c r="H208" s="58">
        <f t="shared" si="11"/>
        <v>182642.22500000001</v>
      </c>
    </row>
    <row r="209" spans="1:8" x14ac:dyDescent="0.25">
      <c r="A209" s="50">
        <f>'A) Base RI'!A211</f>
        <v>5732</v>
      </c>
      <c r="B209" s="57" t="str">
        <f>'A) Base RI'!B211</f>
        <v>Vich</v>
      </c>
      <c r="C209" s="32">
        <f>'B) D RI'!Y211</f>
        <v>556617.35000000009</v>
      </c>
      <c r="D209" s="14">
        <f>'B) D RI'!Z211</f>
        <v>75839.3</v>
      </c>
      <c r="E209" s="10">
        <f t="shared" si="9"/>
        <v>632456.65000000014</v>
      </c>
      <c r="F209" s="14">
        <f>'B) D RI'!U211</f>
        <v>61037.471029411761</v>
      </c>
      <c r="G209" s="278">
        <f t="shared" si="10"/>
        <v>10.361776779631679</v>
      </c>
      <c r="H209" s="58">
        <f t="shared" si="11"/>
        <v>301060.46500000003</v>
      </c>
    </row>
    <row r="210" spans="1:8" x14ac:dyDescent="0.25">
      <c r="A210" s="50">
        <f>'A) Base RI'!A212</f>
        <v>5741</v>
      </c>
      <c r="B210" s="57" t="str">
        <f>'A) Base RI'!B212</f>
        <v>L'Abergement</v>
      </c>
      <c r="C210" s="32">
        <f>'B) D RI'!Y212</f>
        <v>59450.2</v>
      </c>
      <c r="D210" s="14">
        <f>'B) D RI'!Z212</f>
        <v>7043.5</v>
      </c>
      <c r="E210" s="10">
        <f t="shared" si="9"/>
        <v>66493.7</v>
      </c>
      <c r="F210" s="14">
        <f>'B) D RI'!U212</f>
        <v>6619.5511522633742</v>
      </c>
      <c r="G210" s="278">
        <f t="shared" si="10"/>
        <v>10.045046630882865</v>
      </c>
      <c r="H210" s="58">
        <f t="shared" si="11"/>
        <v>31838.149999999998</v>
      </c>
    </row>
    <row r="211" spans="1:8" x14ac:dyDescent="0.25">
      <c r="A211" s="50">
        <f>'A) Base RI'!A213</f>
        <v>5742</v>
      </c>
      <c r="B211" s="57" t="str">
        <f>'A) Base RI'!B213</f>
        <v>Agiez</v>
      </c>
      <c r="C211" s="32">
        <f>'B) D RI'!Y213</f>
        <v>72556.05</v>
      </c>
      <c r="D211" s="14">
        <f>'B) D RI'!Z213</f>
        <v>1671.4</v>
      </c>
      <c r="E211" s="10">
        <f t="shared" si="9"/>
        <v>74227.45</v>
      </c>
      <c r="F211" s="14">
        <f>'B) D RI'!U213</f>
        <v>9354.2819736842121</v>
      </c>
      <c r="G211" s="278">
        <f t="shared" si="10"/>
        <v>7.9351306929617058</v>
      </c>
      <c r="H211" s="58">
        <f t="shared" si="11"/>
        <v>36779.445</v>
      </c>
    </row>
    <row r="212" spans="1:8" x14ac:dyDescent="0.25">
      <c r="A212" s="50">
        <f>'A) Base RI'!A214</f>
        <v>5743</v>
      </c>
      <c r="B212" s="57" t="str">
        <f>'A) Base RI'!B214</f>
        <v>Arnex-sur-Orbe</v>
      </c>
      <c r="C212" s="32">
        <f>'B) D RI'!Y214</f>
        <v>152347.20000000001</v>
      </c>
      <c r="D212" s="14">
        <f>'B) D RI'!Z214</f>
        <v>27265.05</v>
      </c>
      <c r="E212" s="10">
        <f t="shared" si="9"/>
        <v>179612.25</v>
      </c>
      <c r="F212" s="14">
        <f>'B) D RI'!U214</f>
        <v>17594.003904109592</v>
      </c>
      <c r="G212" s="278">
        <f t="shared" si="10"/>
        <v>10.208719457999344</v>
      </c>
      <c r="H212" s="58">
        <f t="shared" si="11"/>
        <v>84353.115000000005</v>
      </c>
    </row>
    <row r="213" spans="1:8" x14ac:dyDescent="0.25">
      <c r="A213" s="50">
        <f>'A) Base RI'!A215</f>
        <v>5744</v>
      </c>
      <c r="B213" s="57" t="str">
        <f>'A) Base RI'!B215</f>
        <v>Ballaigues</v>
      </c>
      <c r="C213" s="32">
        <f>'B) D RI'!Y215</f>
        <v>205352.55</v>
      </c>
      <c r="D213" s="14">
        <f>'B) D RI'!Z215</f>
        <v>1188651.25</v>
      </c>
      <c r="E213" s="10">
        <f t="shared" si="9"/>
        <v>1394003.8</v>
      </c>
      <c r="F213" s="14">
        <f>'B) D RI'!U215</f>
        <v>49791.438333333339</v>
      </c>
      <c r="G213" s="278">
        <f t="shared" si="10"/>
        <v>27.996857424919401</v>
      </c>
      <c r="H213" s="58">
        <f t="shared" si="11"/>
        <v>459271.65</v>
      </c>
    </row>
    <row r="214" spans="1:8" x14ac:dyDescent="0.25">
      <c r="A214" s="50">
        <f>'A) Base RI'!A216</f>
        <v>5745</v>
      </c>
      <c r="B214" s="57" t="str">
        <f>'A) Base RI'!B216</f>
        <v>Baulmes</v>
      </c>
      <c r="C214" s="32">
        <f>'B) D RI'!Y216</f>
        <v>71750.899999999994</v>
      </c>
      <c r="D214" s="14">
        <f>'B) D RI'!Z216</f>
        <v>192572.15</v>
      </c>
      <c r="E214" s="10">
        <f t="shared" si="9"/>
        <v>264323.05</v>
      </c>
      <c r="F214" s="14">
        <f>'B) D RI'!U216</f>
        <v>25375.775641025641</v>
      </c>
      <c r="G214" s="278">
        <f t="shared" si="10"/>
        <v>10.416353523108173</v>
      </c>
      <c r="H214" s="58">
        <f t="shared" si="11"/>
        <v>93647.095000000001</v>
      </c>
    </row>
    <row r="215" spans="1:8" x14ac:dyDescent="0.25">
      <c r="A215" s="50">
        <f>'A) Base RI'!A217</f>
        <v>5746</v>
      </c>
      <c r="B215" s="57" t="str">
        <f>'A) Base RI'!B217</f>
        <v>Bavois</v>
      </c>
      <c r="C215" s="32">
        <f>'B) D RI'!Y217</f>
        <v>152129.35</v>
      </c>
      <c r="D215" s="14">
        <f>'B) D RI'!Z217</f>
        <v>20320.150000000001</v>
      </c>
      <c r="E215" s="10">
        <f t="shared" si="9"/>
        <v>172449.5</v>
      </c>
      <c r="F215" s="14">
        <f>'B) D RI'!U217</f>
        <v>25508.009041095891</v>
      </c>
      <c r="G215" s="278">
        <f t="shared" si="10"/>
        <v>6.7606021199916873</v>
      </c>
      <c r="H215" s="58">
        <f t="shared" si="11"/>
        <v>82160.72</v>
      </c>
    </row>
    <row r="216" spans="1:8" x14ac:dyDescent="0.25">
      <c r="A216" s="50">
        <f>'A) Base RI'!A218</f>
        <v>5747</v>
      </c>
      <c r="B216" s="57" t="str">
        <f>'A) Base RI'!B218</f>
        <v>Bofflens</v>
      </c>
      <c r="C216" s="32">
        <f>'B) D RI'!Y218</f>
        <v>1011.2</v>
      </c>
      <c r="D216" s="14">
        <f>'B) D RI'!Z218</f>
        <v>0</v>
      </c>
      <c r="E216" s="10">
        <f t="shared" si="9"/>
        <v>1011.2</v>
      </c>
      <c r="F216" s="14">
        <f>'B) D RI'!U218</f>
        <v>5402.2208695652162</v>
      </c>
      <c r="G216" s="278">
        <f t="shared" si="10"/>
        <v>0.18718227640355325</v>
      </c>
      <c r="H216" s="58">
        <f t="shared" si="11"/>
        <v>505.6</v>
      </c>
    </row>
    <row r="217" spans="1:8" x14ac:dyDescent="0.25">
      <c r="A217" s="50">
        <f>'A) Base RI'!A219</f>
        <v>5748</v>
      </c>
      <c r="B217" s="57" t="str">
        <f>'A) Base RI'!B219</f>
        <v>Bretonnières</v>
      </c>
      <c r="C217" s="32">
        <f>'B) D RI'!Y219</f>
        <v>213974.65</v>
      </c>
      <c r="D217" s="14">
        <f>'B) D RI'!Z219</f>
        <v>6433.6</v>
      </c>
      <c r="E217" s="10">
        <f t="shared" si="9"/>
        <v>220408.25</v>
      </c>
      <c r="F217" s="14">
        <f>'B) D RI'!U219</f>
        <v>7661.0479629629635</v>
      </c>
      <c r="G217" s="278">
        <f t="shared" si="10"/>
        <v>28.769986960733707</v>
      </c>
      <c r="H217" s="58">
        <f t="shared" si="11"/>
        <v>108917.405</v>
      </c>
    </row>
    <row r="218" spans="1:8" x14ac:dyDescent="0.25">
      <c r="A218" s="50">
        <f>'A) Base RI'!A220</f>
        <v>5749</v>
      </c>
      <c r="B218" s="57" t="str">
        <f>'A) Base RI'!B220</f>
        <v>Chavornay</v>
      </c>
      <c r="C218" s="32">
        <f>'B) D RI'!Y220</f>
        <v>516362.2</v>
      </c>
      <c r="D218" s="14">
        <f>'B) D RI'!Z220</f>
        <v>588022.9</v>
      </c>
      <c r="E218" s="10">
        <f t="shared" si="9"/>
        <v>1104385.1000000001</v>
      </c>
      <c r="F218" s="14">
        <f>'B) D RI'!U220</f>
        <v>134740.63065656566</v>
      </c>
      <c r="G218" s="278">
        <f t="shared" si="10"/>
        <v>8.1963776970505489</v>
      </c>
      <c r="H218" s="58">
        <f t="shared" si="11"/>
        <v>434587.97</v>
      </c>
    </row>
    <row r="219" spans="1:8" x14ac:dyDescent="0.25">
      <c r="A219" s="50">
        <f>'A) Base RI'!A221</f>
        <v>5750</v>
      </c>
      <c r="B219" s="57" t="str">
        <f>'A) Base RI'!B221</f>
        <v>Les Clées</v>
      </c>
      <c r="C219" s="32">
        <f>'B) D RI'!Y221</f>
        <v>16833.45</v>
      </c>
      <c r="D219" s="14">
        <f>'B) D RI'!Z221</f>
        <v>6513.5</v>
      </c>
      <c r="E219" s="10">
        <f t="shared" si="9"/>
        <v>23346.95</v>
      </c>
      <c r="F219" s="14">
        <f>'B) D RI'!U221</f>
        <v>5020.8349583333338</v>
      </c>
      <c r="G219" s="278">
        <f t="shared" si="10"/>
        <v>4.6500134327757348</v>
      </c>
      <c r="H219" s="58">
        <f t="shared" si="11"/>
        <v>10370.775</v>
      </c>
    </row>
    <row r="220" spans="1:8" x14ac:dyDescent="0.25">
      <c r="A220" s="50">
        <f>'A) Base RI'!A222</f>
        <v>5752</v>
      </c>
      <c r="B220" s="57" t="str">
        <f>'A) Base RI'!B222</f>
        <v>Croy</v>
      </c>
      <c r="C220" s="32">
        <f>'B) D RI'!Y222</f>
        <v>31960.75</v>
      </c>
      <c r="D220" s="14">
        <f>'B) D RI'!Z222</f>
        <v>22087.200000000001</v>
      </c>
      <c r="E220" s="10">
        <f t="shared" si="9"/>
        <v>54047.95</v>
      </c>
      <c r="F220" s="14">
        <f>'B) D RI'!U222</f>
        <v>11140.896486486487</v>
      </c>
      <c r="G220" s="278">
        <f t="shared" si="10"/>
        <v>4.8513106701564146</v>
      </c>
      <c r="H220" s="58">
        <f t="shared" si="11"/>
        <v>22606.535</v>
      </c>
    </row>
    <row r="221" spans="1:8" x14ac:dyDescent="0.25">
      <c r="A221" s="50">
        <f>'A) Base RI'!A223</f>
        <v>5754</v>
      </c>
      <c r="B221" s="57" t="str">
        <f>'A) Base RI'!B223</f>
        <v>Juriens</v>
      </c>
      <c r="C221" s="32">
        <f>'B) D RI'!Y223</f>
        <v>8930.75</v>
      </c>
      <c r="D221" s="14">
        <f>'B) D RI'!Z223</f>
        <v>294.89999999999998</v>
      </c>
      <c r="E221" s="10">
        <f t="shared" si="9"/>
        <v>9225.65</v>
      </c>
      <c r="F221" s="14">
        <f>'B) D RI'!U223</f>
        <v>8138.4883785546344</v>
      </c>
      <c r="G221" s="278">
        <f t="shared" si="10"/>
        <v>1.1335827454530865</v>
      </c>
      <c r="H221" s="58">
        <f t="shared" si="11"/>
        <v>4553.8450000000003</v>
      </c>
    </row>
    <row r="222" spans="1:8" x14ac:dyDescent="0.25">
      <c r="A222" s="50">
        <f>'A) Base RI'!A224</f>
        <v>5755</v>
      </c>
      <c r="B222" s="57" t="str">
        <f>'A) Base RI'!B224</f>
        <v>Lignerolle</v>
      </c>
      <c r="C222" s="32">
        <f>'B) D RI'!Y224</f>
        <v>36272.800000000003</v>
      </c>
      <c r="D222" s="14">
        <f>'B) D RI'!Z224</f>
        <v>17491.8</v>
      </c>
      <c r="E222" s="10">
        <f t="shared" si="9"/>
        <v>53764.600000000006</v>
      </c>
      <c r="F222" s="14">
        <f>'B) D RI'!U224</f>
        <v>9320.3381401087972</v>
      </c>
      <c r="G222" s="278">
        <f t="shared" si="10"/>
        <v>5.7685246170019759</v>
      </c>
      <c r="H222" s="58">
        <f t="shared" si="11"/>
        <v>23383.940000000002</v>
      </c>
    </row>
    <row r="223" spans="1:8" x14ac:dyDescent="0.25">
      <c r="A223" s="50">
        <f>'A) Base RI'!A225</f>
        <v>5756</v>
      </c>
      <c r="B223" s="57" t="str">
        <f>'A) Base RI'!B225</f>
        <v>Montcherand</v>
      </c>
      <c r="C223" s="32">
        <f>'B) D RI'!Y225</f>
        <v>32332.199999999997</v>
      </c>
      <c r="D223" s="14">
        <f>'B) D RI'!Z225</f>
        <v>26068.7</v>
      </c>
      <c r="E223" s="10">
        <f t="shared" si="9"/>
        <v>58400.899999999994</v>
      </c>
      <c r="F223" s="14">
        <f>'B) D RI'!U225</f>
        <v>18436.632028742581</v>
      </c>
      <c r="G223" s="278">
        <f t="shared" si="10"/>
        <v>3.1676555625210394</v>
      </c>
      <c r="H223" s="58">
        <f t="shared" si="11"/>
        <v>23986.71</v>
      </c>
    </row>
    <row r="224" spans="1:8" x14ac:dyDescent="0.25">
      <c r="A224" s="50">
        <f>'A) Base RI'!A226</f>
        <v>5757</v>
      </c>
      <c r="B224" s="57" t="str">
        <f>'A) Base RI'!B226</f>
        <v>Orbe</v>
      </c>
      <c r="C224" s="32">
        <f>'B) D RI'!Y226</f>
        <v>950651.2</v>
      </c>
      <c r="D224" s="14">
        <f>'B) D RI'!Z226</f>
        <v>2511647.6</v>
      </c>
      <c r="E224" s="10">
        <f t="shared" si="9"/>
        <v>3462298.8</v>
      </c>
      <c r="F224" s="14">
        <f>'B) D RI'!U226</f>
        <v>195350.61852415255</v>
      </c>
      <c r="G224" s="278">
        <f t="shared" si="10"/>
        <v>17.723510814335771</v>
      </c>
      <c r="H224" s="58">
        <f t="shared" si="11"/>
        <v>1228819.8799999999</v>
      </c>
    </row>
    <row r="225" spans="1:8" x14ac:dyDescent="0.25">
      <c r="A225" s="50">
        <f>'A) Base RI'!A227</f>
        <v>5758</v>
      </c>
      <c r="B225" s="57" t="str">
        <f>'A) Base RI'!B227</f>
        <v>La Praz</v>
      </c>
      <c r="C225" s="32">
        <f>'B) D RI'!Y227</f>
        <v>52767.799999999996</v>
      </c>
      <c r="D225" s="14">
        <f>'B) D RI'!Z227</f>
        <v>0</v>
      </c>
      <c r="E225" s="10">
        <f t="shared" si="9"/>
        <v>52767.799999999996</v>
      </c>
      <c r="F225" s="14">
        <f>'B) D RI'!U227</f>
        <v>3217.0835405215335</v>
      </c>
      <c r="G225" s="278">
        <f t="shared" si="10"/>
        <v>16.402371693290132</v>
      </c>
      <c r="H225" s="58">
        <f t="shared" si="11"/>
        <v>26383.899999999998</v>
      </c>
    </row>
    <row r="226" spans="1:8" x14ac:dyDescent="0.25">
      <c r="A226" s="50">
        <f>'A) Base RI'!A228</f>
        <v>5759</v>
      </c>
      <c r="B226" s="57" t="str">
        <f>'A) Base RI'!B228</f>
        <v>Premier</v>
      </c>
      <c r="C226" s="32">
        <f>'B) D RI'!Y228</f>
        <v>38197.9</v>
      </c>
      <c r="D226" s="14">
        <f>'B) D RI'!Z228</f>
        <v>1371.65</v>
      </c>
      <c r="E226" s="10">
        <f t="shared" si="9"/>
        <v>39569.550000000003</v>
      </c>
      <c r="F226" s="14">
        <f>'B) D RI'!U228</f>
        <v>4730.0976887452725</v>
      </c>
      <c r="G226" s="278">
        <f t="shared" si="10"/>
        <v>8.365482618710228</v>
      </c>
      <c r="H226" s="58">
        <f t="shared" si="11"/>
        <v>19510.445</v>
      </c>
    </row>
    <row r="227" spans="1:8" x14ac:dyDescent="0.25">
      <c r="A227" s="50">
        <f>'A) Base RI'!A229</f>
        <v>5760</v>
      </c>
      <c r="B227" s="57" t="str">
        <f>'A) Base RI'!B229</f>
        <v>Rances</v>
      </c>
      <c r="C227" s="32">
        <f>'B) D RI'!Y229</f>
        <v>38170.199999999997</v>
      </c>
      <c r="D227" s="14">
        <f>'B) D RI'!Z229</f>
        <v>13876.8</v>
      </c>
      <c r="E227" s="10">
        <f t="shared" si="9"/>
        <v>52047</v>
      </c>
      <c r="F227" s="14">
        <f>'B) D RI'!U229</f>
        <v>10427.733324716695</v>
      </c>
      <c r="G227" s="278">
        <f t="shared" si="10"/>
        <v>4.9912093433223692</v>
      </c>
      <c r="H227" s="58">
        <f t="shared" si="11"/>
        <v>23248.14</v>
      </c>
    </row>
    <row r="228" spans="1:8" x14ac:dyDescent="0.25">
      <c r="A228" s="50">
        <f>'A) Base RI'!A230</f>
        <v>5761</v>
      </c>
      <c r="B228" s="57" t="str">
        <f>'A) Base RI'!B230</f>
        <v>Romainmôtier-Envy</v>
      </c>
      <c r="C228" s="32">
        <f>'B) D RI'!Y230</f>
        <v>86938.75</v>
      </c>
      <c r="D228" s="14">
        <f>'B) D RI'!Z230</f>
        <v>49055</v>
      </c>
      <c r="E228" s="10">
        <f t="shared" si="9"/>
        <v>135993.75</v>
      </c>
      <c r="F228" s="14">
        <f>'B) D RI'!U230</f>
        <v>12825.466828901401</v>
      </c>
      <c r="G228" s="278">
        <f t="shared" si="10"/>
        <v>10.603415206185435</v>
      </c>
      <c r="H228" s="58">
        <f t="shared" si="11"/>
        <v>58185.875</v>
      </c>
    </row>
    <row r="229" spans="1:8" x14ac:dyDescent="0.25">
      <c r="A229" s="50">
        <f>'A) Base RI'!A231</f>
        <v>5762</v>
      </c>
      <c r="B229" s="57" t="str">
        <f>'A) Base RI'!B231</f>
        <v>Sergey</v>
      </c>
      <c r="C229" s="32">
        <f>'B) D RI'!Y231</f>
        <v>922.5</v>
      </c>
      <c r="D229" s="14">
        <f>'B) D RI'!Z231</f>
        <v>9127.7000000000007</v>
      </c>
      <c r="E229" s="10">
        <f t="shared" si="9"/>
        <v>10050.200000000001</v>
      </c>
      <c r="F229" s="14">
        <f>'B) D RI'!U231</f>
        <v>3985.6390801086227</v>
      </c>
      <c r="G229" s="278">
        <f t="shared" si="10"/>
        <v>2.5216031351554533</v>
      </c>
      <c r="H229" s="58">
        <f t="shared" si="11"/>
        <v>3199.56</v>
      </c>
    </row>
    <row r="230" spans="1:8" x14ac:dyDescent="0.25">
      <c r="A230" s="50">
        <f>'A) Base RI'!A232</f>
        <v>5763</v>
      </c>
      <c r="B230" s="57" t="str">
        <f>'A) Base RI'!B232</f>
        <v>Valeyres-sous-Rances</v>
      </c>
      <c r="C230" s="32">
        <f>'B) D RI'!Y232</f>
        <v>38119.85</v>
      </c>
      <c r="D230" s="14">
        <f>'B) D RI'!Z232</f>
        <v>64422.35</v>
      </c>
      <c r="E230" s="10">
        <f t="shared" si="9"/>
        <v>102542.2</v>
      </c>
      <c r="F230" s="14">
        <f>'B) D RI'!U232</f>
        <v>20114.818063776223</v>
      </c>
      <c r="G230" s="278">
        <f t="shared" si="10"/>
        <v>5.0978437724307906</v>
      </c>
      <c r="H230" s="58">
        <f t="shared" si="11"/>
        <v>38386.629999999997</v>
      </c>
    </row>
    <row r="231" spans="1:8" x14ac:dyDescent="0.25">
      <c r="A231" s="50">
        <f>'A) Base RI'!A233</f>
        <v>5764</v>
      </c>
      <c r="B231" s="57" t="str">
        <f>'A) Base RI'!B233</f>
        <v>Vallorbe</v>
      </c>
      <c r="C231" s="32">
        <f>'B) D RI'!Y233</f>
        <v>343537.1</v>
      </c>
      <c r="D231" s="14">
        <f>'B) D RI'!Z233</f>
        <v>2031379.6</v>
      </c>
      <c r="E231" s="10">
        <f t="shared" si="9"/>
        <v>2374916.7000000002</v>
      </c>
      <c r="F231" s="14">
        <f>'B) D RI'!U233</f>
        <v>81234.457849579077</v>
      </c>
      <c r="G231" s="278">
        <f t="shared" si="10"/>
        <v>29.235336369174846</v>
      </c>
      <c r="H231" s="58">
        <f t="shared" si="11"/>
        <v>781182.42999999993</v>
      </c>
    </row>
    <row r="232" spans="1:8" x14ac:dyDescent="0.25">
      <c r="A232" s="50">
        <f>'A) Base RI'!A234</f>
        <v>5765</v>
      </c>
      <c r="B232" s="57" t="str">
        <f>'A) Base RI'!B234</f>
        <v>Vaulion</v>
      </c>
      <c r="C232" s="32">
        <f>'B) D RI'!Y234</f>
        <v>23476.050000000003</v>
      </c>
      <c r="D232" s="14">
        <f>'B) D RI'!Z234</f>
        <v>40966.35</v>
      </c>
      <c r="E232" s="10">
        <f t="shared" si="9"/>
        <v>64442.400000000001</v>
      </c>
      <c r="F232" s="14">
        <f>'B) D RI'!U234</f>
        <v>9570.1875488405149</v>
      </c>
      <c r="G232" s="278">
        <f t="shared" si="10"/>
        <v>6.7336611399854522</v>
      </c>
      <c r="H232" s="58">
        <f t="shared" si="11"/>
        <v>24027.93</v>
      </c>
    </row>
    <row r="233" spans="1:8" x14ac:dyDescent="0.25">
      <c r="A233" s="50">
        <f>'A) Base RI'!A235</f>
        <v>5766</v>
      </c>
      <c r="B233" s="57" t="str">
        <f>'A) Base RI'!B235</f>
        <v>Vuiteboeuf</v>
      </c>
      <c r="C233" s="32">
        <f>'B) D RI'!Y235</f>
        <v>79934.350000000006</v>
      </c>
      <c r="D233" s="14">
        <f>'B) D RI'!Z235</f>
        <v>19131.75</v>
      </c>
      <c r="E233" s="10">
        <f t="shared" si="9"/>
        <v>99066.1</v>
      </c>
      <c r="F233" s="14">
        <f>'B) D RI'!U235</f>
        <v>12893.801548266167</v>
      </c>
      <c r="G233" s="278">
        <f t="shared" si="10"/>
        <v>7.6832344308356024</v>
      </c>
      <c r="H233" s="58">
        <f t="shared" si="11"/>
        <v>45706.700000000004</v>
      </c>
    </row>
    <row r="234" spans="1:8" x14ac:dyDescent="0.25">
      <c r="A234" s="50">
        <f>'A) Base RI'!A236</f>
        <v>5785</v>
      </c>
      <c r="B234" s="57" t="str">
        <f>'A) Base RI'!B236</f>
        <v>Corcelles-le-Jorat</v>
      </c>
      <c r="C234" s="32">
        <f>'B) D RI'!Y236</f>
        <v>71372.45</v>
      </c>
      <c r="D234" s="14">
        <f>'B) D RI'!Z236</f>
        <v>0</v>
      </c>
      <c r="E234" s="10">
        <f t="shared" si="9"/>
        <v>71372.45</v>
      </c>
      <c r="F234" s="14">
        <f>'B) D RI'!U236</f>
        <v>15470.207510777882</v>
      </c>
      <c r="G234" s="278">
        <f t="shared" si="10"/>
        <v>4.6135418642753034</v>
      </c>
      <c r="H234" s="58">
        <f t="shared" si="11"/>
        <v>35686.224999999999</v>
      </c>
    </row>
    <row r="235" spans="1:8" x14ac:dyDescent="0.25">
      <c r="A235" s="50">
        <f>'A) Base RI'!A237</f>
        <v>5788</v>
      </c>
      <c r="B235" s="57" t="str">
        <f>'A) Base RI'!B237</f>
        <v>Essertes</v>
      </c>
      <c r="C235" s="32">
        <f>'B) D RI'!Y237</f>
        <v>123638.6</v>
      </c>
      <c r="D235" s="14">
        <f>'B) D RI'!Z237</f>
        <v>0</v>
      </c>
      <c r="E235" s="10">
        <f t="shared" si="9"/>
        <v>123638.6</v>
      </c>
      <c r="F235" s="14">
        <f>'B) D RI'!U237</f>
        <v>11538.273586899442</v>
      </c>
      <c r="G235" s="278">
        <f t="shared" si="10"/>
        <v>10.715519879887342</v>
      </c>
      <c r="H235" s="58">
        <f t="shared" si="11"/>
        <v>61819.3</v>
      </c>
    </row>
    <row r="236" spans="1:8" x14ac:dyDescent="0.25">
      <c r="A236" s="50">
        <f>'A) Base RI'!A238</f>
        <v>5790</v>
      </c>
      <c r="B236" s="57" t="str">
        <f>'A) Base RI'!B238</f>
        <v>Maracon</v>
      </c>
      <c r="C236" s="32">
        <f>'B) D RI'!Y238</f>
        <v>108886.25</v>
      </c>
      <c r="D236" s="14">
        <f>'B) D RI'!Z238</f>
        <v>4176.3500000000004</v>
      </c>
      <c r="E236" s="10">
        <f t="shared" si="9"/>
        <v>113062.6</v>
      </c>
      <c r="F236" s="14">
        <f>'B) D RI'!U238</f>
        <v>12104.202592846941</v>
      </c>
      <c r="G236" s="278">
        <f t="shared" si="10"/>
        <v>9.3407722758056853</v>
      </c>
      <c r="H236" s="58">
        <f t="shared" si="11"/>
        <v>55696.03</v>
      </c>
    </row>
    <row r="237" spans="1:8" x14ac:dyDescent="0.25">
      <c r="A237" s="50">
        <f>'A) Base RI'!A239</f>
        <v>5792</v>
      </c>
      <c r="B237" s="57" t="str">
        <f>'A) Base RI'!B239</f>
        <v>Montpreveyres</v>
      </c>
      <c r="C237" s="32">
        <f>'B) D RI'!Y239</f>
        <v>122266.25</v>
      </c>
      <c r="D237" s="14">
        <f>'B) D RI'!Z239</f>
        <v>0</v>
      </c>
      <c r="E237" s="10">
        <f t="shared" si="9"/>
        <v>122266.25</v>
      </c>
      <c r="F237" s="14">
        <f>'B) D RI'!U239</f>
        <v>17389.927760878301</v>
      </c>
      <c r="G237" s="278">
        <f t="shared" si="10"/>
        <v>7.0308658943977571</v>
      </c>
      <c r="H237" s="58">
        <f t="shared" si="11"/>
        <v>61133.125</v>
      </c>
    </row>
    <row r="238" spans="1:8" x14ac:dyDescent="0.25">
      <c r="A238" s="50">
        <f>'A) Base RI'!A240</f>
        <v>5798</v>
      </c>
      <c r="B238" s="57" t="str">
        <f>'A) Base RI'!B240</f>
        <v>Ropraz</v>
      </c>
      <c r="C238" s="32">
        <f>'B) D RI'!Y240</f>
        <v>106193.25</v>
      </c>
      <c r="D238" s="14">
        <f>'B) D RI'!Z240</f>
        <v>0</v>
      </c>
      <c r="E238" s="10">
        <f t="shared" si="9"/>
        <v>106193.25</v>
      </c>
      <c r="F238" s="14">
        <f>'B) D RI'!U240</f>
        <v>13992.205782654681</v>
      </c>
      <c r="G238" s="278">
        <f t="shared" si="10"/>
        <v>7.5894574200474922</v>
      </c>
      <c r="H238" s="58">
        <f t="shared" si="11"/>
        <v>53096.625</v>
      </c>
    </row>
    <row r="239" spans="1:8" x14ac:dyDescent="0.25">
      <c r="A239" s="50">
        <f>'A) Base RI'!A241</f>
        <v>5799</v>
      </c>
      <c r="B239" s="57" t="str">
        <f>'A) Base RI'!B241</f>
        <v>Servion</v>
      </c>
      <c r="C239" s="32">
        <f>'B) D RI'!Y241</f>
        <v>236346.65</v>
      </c>
      <c r="D239" s="14">
        <f>'B) D RI'!Z241</f>
        <v>18141.150000000001</v>
      </c>
      <c r="E239" s="10">
        <f t="shared" si="9"/>
        <v>254487.8</v>
      </c>
      <c r="F239" s="14">
        <f>'B) D RI'!U241</f>
        <v>65260.062669214836</v>
      </c>
      <c r="G239" s="278">
        <f t="shared" si="10"/>
        <v>3.8995947841780061</v>
      </c>
      <c r="H239" s="58">
        <f t="shared" si="11"/>
        <v>123615.67</v>
      </c>
    </row>
    <row r="240" spans="1:8" x14ac:dyDescent="0.25">
      <c r="A240" s="50">
        <f>'A) Base RI'!A242</f>
        <v>5803</v>
      </c>
      <c r="B240" s="57" t="str">
        <f>'A) Base RI'!B242</f>
        <v>Vulliens</v>
      </c>
      <c r="C240" s="32">
        <f>'B) D RI'!Y242</f>
        <v>88625.700000000012</v>
      </c>
      <c r="D240" s="14">
        <f>'B) D RI'!Z242</f>
        <v>0</v>
      </c>
      <c r="E240" s="10">
        <f t="shared" si="9"/>
        <v>88625.700000000012</v>
      </c>
      <c r="F240" s="14">
        <f>'B) D RI'!U242</f>
        <v>15516.870988563373</v>
      </c>
      <c r="G240" s="278">
        <f t="shared" si="10"/>
        <v>5.7115703330472432</v>
      </c>
      <c r="H240" s="58">
        <f t="shared" si="11"/>
        <v>44312.850000000006</v>
      </c>
    </row>
    <row r="241" spans="1:8" x14ac:dyDescent="0.25">
      <c r="A241" s="50">
        <f>'A) Base RI'!A243</f>
        <v>5804</v>
      </c>
      <c r="B241" s="57" t="str">
        <f>'A) Base RI'!B243</f>
        <v>Jorat-Menthue</v>
      </c>
      <c r="C241" s="32">
        <f>'B) D RI'!Y243</f>
        <v>241265.90000000002</v>
      </c>
      <c r="D241" s="14">
        <f>'B) D RI'!Z243</f>
        <v>4035.95</v>
      </c>
      <c r="E241" s="10">
        <f t="shared" si="9"/>
        <v>245301.85000000003</v>
      </c>
      <c r="F241" s="14">
        <f>'B) D RI'!U243</f>
        <v>47010.590890855121</v>
      </c>
      <c r="G241" s="278">
        <f t="shared" si="10"/>
        <v>5.2180124808369115</v>
      </c>
      <c r="H241" s="58">
        <f t="shared" si="11"/>
        <v>121843.73500000002</v>
      </c>
    </row>
    <row r="242" spans="1:8" x14ac:dyDescent="0.25">
      <c r="A242" s="50">
        <f>'A) Base RI'!A244</f>
        <v>5805</v>
      </c>
      <c r="B242" s="57" t="str">
        <f>'A) Base RI'!B244</f>
        <v>Oron</v>
      </c>
      <c r="C242" s="32">
        <f>'B) D RI'!Y244</f>
        <v>845147.54999999993</v>
      </c>
      <c r="D242" s="14">
        <f>'B) D RI'!Z244</f>
        <v>83623.100000000006</v>
      </c>
      <c r="E242" s="10">
        <f t="shared" si="9"/>
        <v>928770.64999999991</v>
      </c>
      <c r="F242" s="14">
        <f>'B) D RI'!U244</f>
        <v>145333.30890614819</v>
      </c>
      <c r="G242" s="278">
        <f t="shared" si="10"/>
        <v>6.3906248126489134</v>
      </c>
      <c r="H242" s="58">
        <f t="shared" si="11"/>
        <v>447660.70499999996</v>
      </c>
    </row>
    <row r="243" spans="1:8" x14ac:dyDescent="0.25">
      <c r="A243" s="50">
        <f>'A) Base RI'!A245</f>
        <v>5806</v>
      </c>
      <c r="B243" s="57" t="str">
        <f>'A) Base RI'!B245</f>
        <v>Jorat-Mézières</v>
      </c>
      <c r="C243" s="32">
        <f>'B) D RI'!Y245</f>
        <v>483530.05000000005</v>
      </c>
      <c r="D243" s="14">
        <f>'B) D RI'!Z245</f>
        <v>22621.9</v>
      </c>
      <c r="E243" s="10">
        <f t="shared" si="9"/>
        <v>506151.95000000007</v>
      </c>
      <c r="F243" s="14">
        <f>'B) D RI'!U245</f>
        <v>85087.623552631558</v>
      </c>
      <c r="G243" s="278">
        <f t="shared" si="10"/>
        <v>5.9485966215393962</v>
      </c>
      <c r="H243" s="58">
        <f t="shared" si="11"/>
        <v>248551.59500000003</v>
      </c>
    </row>
    <row r="244" spans="1:8" x14ac:dyDescent="0.25">
      <c r="A244" s="50">
        <f>'A) Base RI'!A246</f>
        <v>5812</v>
      </c>
      <c r="B244" s="57" t="str">
        <f>'A) Base RI'!B246</f>
        <v>Champtauroz</v>
      </c>
      <c r="C244" s="32">
        <f>'B) D RI'!Y246</f>
        <v>27359.8</v>
      </c>
      <c r="D244" s="14">
        <f>'B) D RI'!Z246</f>
        <v>0</v>
      </c>
      <c r="E244" s="10">
        <f t="shared" si="9"/>
        <v>27359.8</v>
      </c>
      <c r="F244" s="14">
        <f>'B) D RI'!U246</f>
        <v>2414.7620603829159</v>
      </c>
      <c r="G244" s="278">
        <f t="shared" si="10"/>
        <v>11.330226049543562</v>
      </c>
      <c r="H244" s="58">
        <f t="shared" si="11"/>
        <v>13679.9</v>
      </c>
    </row>
    <row r="245" spans="1:8" x14ac:dyDescent="0.25">
      <c r="A245" s="50">
        <f>'A) Base RI'!A247</f>
        <v>5813</v>
      </c>
      <c r="B245" s="57" t="str">
        <f>'A) Base RI'!B247</f>
        <v>Chevroux</v>
      </c>
      <c r="C245" s="32">
        <f>'B) D RI'!Y247</f>
        <v>155835.09999999998</v>
      </c>
      <c r="D245" s="14">
        <f>'B) D RI'!Z247</f>
        <v>0</v>
      </c>
      <c r="E245" s="10">
        <f t="shared" si="9"/>
        <v>155835.09999999998</v>
      </c>
      <c r="F245" s="14">
        <f>'B) D RI'!U247</f>
        <v>13113.471464382501</v>
      </c>
      <c r="G245" s="278">
        <f t="shared" si="10"/>
        <v>11.883588599957204</v>
      </c>
      <c r="H245" s="58">
        <f t="shared" si="11"/>
        <v>77917.549999999988</v>
      </c>
    </row>
    <row r="246" spans="1:8" x14ac:dyDescent="0.25">
      <c r="A246" s="50">
        <f>'A) Base RI'!A248</f>
        <v>5816</v>
      </c>
      <c r="B246" s="57" t="str">
        <f>'A) Base RI'!B248</f>
        <v>Corcelles-près-Payerne</v>
      </c>
      <c r="C246" s="32">
        <f>'B) D RI'!Y248</f>
        <v>305835.75</v>
      </c>
      <c r="D246" s="14">
        <f>'B) D RI'!Z248</f>
        <v>19098.8</v>
      </c>
      <c r="E246" s="10">
        <f t="shared" si="9"/>
        <v>324934.55</v>
      </c>
      <c r="F246" s="14">
        <f>'B) D RI'!U248</f>
        <v>56475.749877973358</v>
      </c>
      <c r="G246" s="278">
        <f t="shared" si="10"/>
        <v>5.7535234273486076</v>
      </c>
      <c r="H246" s="58">
        <f t="shared" si="11"/>
        <v>158647.51500000001</v>
      </c>
    </row>
    <row r="247" spans="1:8" x14ac:dyDescent="0.25">
      <c r="A247" s="50">
        <f>'A) Base RI'!A249</f>
        <v>5817</v>
      </c>
      <c r="B247" s="57" t="str">
        <f>'A) Base RI'!B249</f>
        <v>Grandcour</v>
      </c>
      <c r="C247" s="32">
        <f>'B) D RI'!Y249</f>
        <v>126493.5</v>
      </c>
      <c r="D247" s="14">
        <f>'B) D RI'!Z249</f>
        <v>0</v>
      </c>
      <c r="E247" s="10">
        <f t="shared" si="9"/>
        <v>126493.5</v>
      </c>
      <c r="F247" s="14">
        <f>'B) D RI'!U249</f>
        <v>22082.516537974258</v>
      </c>
      <c r="G247" s="278">
        <f t="shared" si="10"/>
        <v>5.7282194165902753</v>
      </c>
      <c r="H247" s="58">
        <f t="shared" si="11"/>
        <v>63246.75</v>
      </c>
    </row>
    <row r="248" spans="1:8" x14ac:dyDescent="0.25">
      <c r="A248" s="50">
        <f>'A) Base RI'!A250</f>
        <v>5819</v>
      </c>
      <c r="B248" s="57" t="str">
        <f>'A) Base RI'!B250</f>
        <v>Henniez</v>
      </c>
      <c r="C248" s="32">
        <f>'B) D RI'!Y250</f>
        <v>59521.45</v>
      </c>
      <c r="D248" s="14">
        <f>'B) D RI'!Z250</f>
        <v>18163.650000000001</v>
      </c>
      <c r="E248" s="10">
        <f t="shared" si="9"/>
        <v>77685.100000000006</v>
      </c>
      <c r="F248" s="14">
        <f>'B) D RI'!U250</f>
        <v>13743.862603576948</v>
      </c>
      <c r="G248" s="278">
        <f t="shared" si="10"/>
        <v>5.6523484147594614</v>
      </c>
      <c r="H248" s="58">
        <f t="shared" si="11"/>
        <v>35209.82</v>
      </c>
    </row>
    <row r="249" spans="1:8" x14ac:dyDescent="0.25">
      <c r="A249" s="50">
        <f>'A) Base RI'!A251</f>
        <v>5821</v>
      </c>
      <c r="B249" s="57" t="str">
        <f>'A) Base RI'!B251</f>
        <v>Missy</v>
      </c>
      <c r="C249" s="32">
        <f>'B) D RI'!Y251</f>
        <v>13352.75</v>
      </c>
      <c r="D249" s="14">
        <f>'B) D RI'!Z251</f>
        <v>0</v>
      </c>
      <c r="E249" s="10">
        <f t="shared" si="9"/>
        <v>13352.75</v>
      </c>
      <c r="F249" s="14">
        <f>'B) D RI'!U251</f>
        <v>7638.0636098287778</v>
      </c>
      <c r="G249" s="278">
        <f t="shared" si="10"/>
        <v>1.7481852315052044</v>
      </c>
      <c r="H249" s="58">
        <f t="shared" si="11"/>
        <v>6676.375</v>
      </c>
    </row>
    <row r="250" spans="1:8" x14ac:dyDescent="0.25">
      <c r="A250" s="50">
        <f>'A) Base RI'!A252</f>
        <v>5822</v>
      </c>
      <c r="B250" s="57" t="str">
        <f>'A) Base RI'!B252</f>
        <v>Payerne</v>
      </c>
      <c r="C250" s="32">
        <f>'B) D RI'!Y252</f>
        <v>1376392.65</v>
      </c>
      <c r="D250" s="14">
        <f>'B) D RI'!Z252</f>
        <v>79488.55</v>
      </c>
      <c r="E250" s="10">
        <f t="shared" si="9"/>
        <v>1455881.2</v>
      </c>
      <c r="F250" s="14">
        <f>'B) D RI'!U252</f>
        <v>236156.50420606061</v>
      </c>
      <c r="G250" s="278">
        <f t="shared" si="10"/>
        <v>6.1648998611939856</v>
      </c>
      <c r="H250" s="58">
        <f t="shared" si="11"/>
        <v>712042.8899999999</v>
      </c>
    </row>
    <row r="251" spans="1:8" x14ac:dyDescent="0.25">
      <c r="A251" s="50">
        <f>'A) Base RI'!A253</f>
        <v>5827</v>
      </c>
      <c r="B251" s="57" t="str">
        <f>'A) Base RI'!B253</f>
        <v>Trey</v>
      </c>
      <c r="C251" s="32">
        <f>'B) D RI'!Y253</f>
        <v>18295.5</v>
      </c>
      <c r="D251" s="14">
        <f>'B) D RI'!Z253</f>
        <v>20433.599999999999</v>
      </c>
      <c r="E251" s="10">
        <f t="shared" si="9"/>
        <v>38729.1</v>
      </c>
      <c r="F251" s="14">
        <f>'B) D RI'!U253</f>
        <v>6690.1986933784046</v>
      </c>
      <c r="G251" s="278">
        <f t="shared" si="10"/>
        <v>5.7889312074291546</v>
      </c>
      <c r="H251" s="58">
        <f t="shared" si="11"/>
        <v>15277.829999999998</v>
      </c>
    </row>
    <row r="252" spans="1:8" x14ac:dyDescent="0.25">
      <c r="A252" s="50">
        <f>'A) Base RI'!A254</f>
        <v>5828</v>
      </c>
      <c r="B252" s="57" t="str">
        <f>'A) Base RI'!B254</f>
        <v>Treytorrens (Payerne)</v>
      </c>
      <c r="C252" s="32">
        <f>'B) D RI'!Y254</f>
        <v>36029.15</v>
      </c>
      <c r="D252" s="14">
        <f>'B) D RI'!Z254</f>
        <v>0</v>
      </c>
      <c r="E252" s="10">
        <f t="shared" si="9"/>
        <v>36029.15</v>
      </c>
      <c r="F252" s="14">
        <f>'B) D RI'!U254</f>
        <v>2279.6786771708244</v>
      </c>
      <c r="G252" s="278">
        <f t="shared" si="10"/>
        <v>15.804486114996552</v>
      </c>
      <c r="H252" s="58">
        <f t="shared" si="11"/>
        <v>18014.575000000001</v>
      </c>
    </row>
    <row r="253" spans="1:8" x14ac:dyDescent="0.25">
      <c r="A253" s="50">
        <f>'A) Base RI'!A255</f>
        <v>5830</v>
      </c>
      <c r="B253" s="57" t="str">
        <f>'A) Base RI'!B255</f>
        <v>Villarzel</v>
      </c>
      <c r="C253" s="32">
        <f>'B) D RI'!Y255</f>
        <v>62786</v>
      </c>
      <c r="D253" s="14">
        <f>'B) D RI'!Z255</f>
        <v>0</v>
      </c>
      <c r="E253" s="10">
        <f t="shared" si="9"/>
        <v>62786</v>
      </c>
      <c r="F253" s="14">
        <f>'B) D RI'!U255</f>
        <v>10447.04854538646</v>
      </c>
      <c r="G253" s="278">
        <f t="shared" si="10"/>
        <v>6.0099270839252528</v>
      </c>
      <c r="H253" s="58">
        <f t="shared" si="11"/>
        <v>31393</v>
      </c>
    </row>
    <row r="254" spans="1:8" x14ac:dyDescent="0.25">
      <c r="A254" s="50">
        <f>'A) Base RI'!A256</f>
        <v>5831</v>
      </c>
      <c r="B254" s="57" t="str">
        <f>'A) Base RI'!B256</f>
        <v>Valbroye</v>
      </c>
      <c r="C254" s="32">
        <f>'B) D RI'!Y256</f>
        <v>649937.69999999995</v>
      </c>
      <c r="D254" s="14">
        <f>'B) D RI'!Z256</f>
        <v>28878.2</v>
      </c>
      <c r="E254" s="10">
        <f t="shared" si="9"/>
        <v>678815.89999999991</v>
      </c>
      <c r="F254" s="14">
        <f>'B) D RI'!U256</f>
        <v>80393.76686206559</v>
      </c>
      <c r="G254" s="278">
        <f t="shared" si="10"/>
        <v>8.4436384373513462</v>
      </c>
      <c r="H254" s="58">
        <f t="shared" si="11"/>
        <v>333632.31</v>
      </c>
    </row>
    <row r="255" spans="1:8" x14ac:dyDescent="0.25">
      <c r="A255" s="50">
        <f>'A) Base RI'!A257</f>
        <v>5841</v>
      </c>
      <c r="B255" s="57" t="str">
        <f>'A) Base RI'!B257</f>
        <v>Château-d'Oex</v>
      </c>
      <c r="C255" s="32">
        <f>'B) D RI'!Y257</f>
        <v>1131929.5999999999</v>
      </c>
      <c r="D255" s="14">
        <f>'B) D RI'!Z257</f>
        <v>6087.3</v>
      </c>
      <c r="E255" s="10">
        <f t="shared" si="9"/>
        <v>1138016.8999999999</v>
      </c>
      <c r="F255" s="14">
        <f>'B) D RI'!U257</f>
        <v>112439.97706211945</v>
      </c>
      <c r="G255" s="278">
        <f t="shared" si="10"/>
        <v>10.121105764467405</v>
      </c>
      <c r="H255" s="58">
        <f t="shared" si="11"/>
        <v>567790.98999999987</v>
      </c>
    </row>
    <row r="256" spans="1:8" x14ac:dyDescent="0.25">
      <c r="A256" s="50">
        <f>'A) Base RI'!A258</f>
        <v>5842</v>
      </c>
      <c r="B256" s="57" t="str">
        <f>'A) Base RI'!B258</f>
        <v>Rossinière</v>
      </c>
      <c r="C256" s="32">
        <f>'B) D RI'!Y258</f>
        <v>86037.7</v>
      </c>
      <c r="D256" s="14">
        <f>'B) D RI'!Z258</f>
        <v>0</v>
      </c>
      <c r="E256" s="10">
        <f t="shared" si="9"/>
        <v>86037.7</v>
      </c>
      <c r="F256" s="14">
        <f>'B) D RI'!U258</f>
        <v>12463.858686572428</v>
      </c>
      <c r="G256" s="278">
        <f t="shared" si="10"/>
        <v>6.9029746055040064</v>
      </c>
      <c r="H256" s="58">
        <f t="shared" si="11"/>
        <v>43018.85</v>
      </c>
    </row>
    <row r="257" spans="1:8" x14ac:dyDescent="0.25">
      <c r="A257" s="50">
        <f>'A) Base RI'!A259</f>
        <v>5843</v>
      </c>
      <c r="B257" s="57" t="str">
        <f>'A) Base RI'!B259</f>
        <v>Rougemont</v>
      </c>
      <c r="C257" s="32">
        <f>'B) D RI'!Y259</f>
        <v>956516.65</v>
      </c>
      <c r="D257" s="14">
        <f>'B) D RI'!Z259</f>
        <v>0</v>
      </c>
      <c r="E257" s="10">
        <f t="shared" si="9"/>
        <v>956516.65</v>
      </c>
      <c r="F257" s="14">
        <f>'B) D RI'!U259</f>
        <v>87105.84628297943</v>
      </c>
      <c r="G257" s="278">
        <f t="shared" si="10"/>
        <v>10.981084402676935</v>
      </c>
      <c r="H257" s="58">
        <f t="shared" si="11"/>
        <v>478258.32500000001</v>
      </c>
    </row>
    <row r="258" spans="1:8" x14ac:dyDescent="0.25">
      <c r="A258" s="50">
        <f>'A) Base RI'!A260</f>
        <v>5851</v>
      </c>
      <c r="B258" s="57" t="str">
        <f>'A) Base RI'!B260</f>
        <v>Allaman</v>
      </c>
      <c r="C258" s="32">
        <f>'B) D RI'!Y260</f>
        <v>68548.899999999994</v>
      </c>
      <c r="D258" s="14">
        <f>'B) D RI'!Z260</f>
        <v>27948.65</v>
      </c>
      <c r="E258" s="10">
        <f t="shared" si="9"/>
        <v>96497.549999999988</v>
      </c>
      <c r="F258" s="14">
        <f>'B) D RI'!U260</f>
        <v>27785.537982029753</v>
      </c>
      <c r="G258" s="278">
        <f t="shared" si="10"/>
        <v>3.4729415735052389</v>
      </c>
      <c r="H258" s="58">
        <f t="shared" si="11"/>
        <v>42659.044999999998</v>
      </c>
    </row>
    <row r="259" spans="1:8" x14ac:dyDescent="0.25">
      <c r="A259" s="50">
        <f>'A) Base RI'!A261</f>
        <v>5852</v>
      </c>
      <c r="B259" s="57" t="str">
        <f>'A) Base RI'!B261</f>
        <v>Bursinel</v>
      </c>
      <c r="C259" s="32">
        <f>'B) D RI'!Y261</f>
        <v>2996532</v>
      </c>
      <c r="D259" s="14">
        <f>'B) D RI'!Z261</f>
        <v>8338.25</v>
      </c>
      <c r="E259" s="10">
        <f t="shared" si="9"/>
        <v>3004870.25</v>
      </c>
      <c r="F259" s="14">
        <f>'B) D RI'!U261</f>
        <v>38740.127027310053</v>
      </c>
      <c r="G259" s="278">
        <f t="shared" si="10"/>
        <v>77.564801165512478</v>
      </c>
      <c r="H259" s="58">
        <f t="shared" si="11"/>
        <v>1500767.4750000001</v>
      </c>
    </row>
    <row r="260" spans="1:8" x14ac:dyDescent="0.25">
      <c r="A260" s="50">
        <f>'A) Base RI'!A262</f>
        <v>5853</v>
      </c>
      <c r="B260" s="57" t="str">
        <f>'A) Base RI'!B262</f>
        <v>Bursins</v>
      </c>
      <c r="C260" s="32">
        <f>'B) D RI'!Y262</f>
        <v>289218.5</v>
      </c>
      <c r="D260" s="14">
        <f>'B) D RI'!Z262</f>
        <v>24763.7</v>
      </c>
      <c r="E260" s="10">
        <f t="shared" si="9"/>
        <v>313982.2</v>
      </c>
      <c r="F260" s="14">
        <f>'B) D RI'!U262</f>
        <v>35932.419772150381</v>
      </c>
      <c r="G260" s="278">
        <f t="shared" si="10"/>
        <v>8.7381312472407888</v>
      </c>
      <c r="H260" s="58">
        <f t="shared" si="11"/>
        <v>152038.35999999999</v>
      </c>
    </row>
    <row r="261" spans="1:8" x14ac:dyDescent="0.25">
      <c r="A261" s="50">
        <f>'A) Base RI'!A263</f>
        <v>5854</v>
      </c>
      <c r="B261" s="57" t="str">
        <f>'A) Base RI'!B263</f>
        <v>Burtigny</v>
      </c>
      <c r="C261" s="32">
        <f>'B) D RI'!Y263</f>
        <v>128155.75</v>
      </c>
      <c r="D261" s="14">
        <f>'B) D RI'!Z263</f>
        <v>17103</v>
      </c>
      <c r="E261" s="10">
        <f t="shared" si="9"/>
        <v>145258.75</v>
      </c>
      <c r="F261" s="14">
        <f>'B) D RI'!U263</f>
        <v>9853.2751063664073</v>
      </c>
      <c r="G261" s="278">
        <f t="shared" si="10"/>
        <v>14.742179471488143</v>
      </c>
      <c r="H261" s="58">
        <f t="shared" si="11"/>
        <v>69208.774999999994</v>
      </c>
    </row>
    <row r="262" spans="1:8" x14ac:dyDescent="0.25">
      <c r="A262" s="50">
        <f>'A) Base RI'!A264</f>
        <v>5855</v>
      </c>
      <c r="B262" s="57" t="str">
        <f>'A) Base RI'!B264</f>
        <v>Dully</v>
      </c>
      <c r="C262" s="32">
        <f>'B) D RI'!Y264</f>
        <v>183485.7</v>
      </c>
      <c r="D262" s="14">
        <f>'B) D RI'!Z264</f>
        <v>1345.35</v>
      </c>
      <c r="E262" s="10">
        <f t="shared" ref="E262:E313" si="12">C262+D262</f>
        <v>184831.05000000002</v>
      </c>
      <c r="F262" s="14">
        <f>'B) D RI'!U264</f>
        <v>78259.066078216143</v>
      </c>
      <c r="G262" s="278">
        <f t="shared" ref="G262:G313" si="13">E262/F262</f>
        <v>2.3617845096090253</v>
      </c>
      <c r="H262" s="58">
        <f t="shared" ref="H262:H313" si="14">(C262*$C$4)+(D262*$D$4)</f>
        <v>92146.455000000002</v>
      </c>
    </row>
    <row r="263" spans="1:8" x14ac:dyDescent="0.25">
      <c r="A263" s="50">
        <f>'A) Base RI'!A265</f>
        <v>5856</v>
      </c>
      <c r="B263" s="57" t="str">
        <f>'A) Base RI'!B265</f>
        <v>Essertines-sur-Rolle</v>
      </c>
      <c r="C263" s="32">
        <f>'B) D RI'!Y265</f>
        <v>318284.85000000003</v>
      </c>
      <c r="D263" s="14">
        <f>'B) D RI'!Z265</f>
        <v>3050.8</v>
      </c>
      <c r="E263" s="10">
        <f t="shared" si="12"/>
        <v>321335.65000000002</v>
      </c>
      <c r="F263" s="14">
        <f>'B) D RI'!U265</f>
        <v>34358.63256703021</v>
      </c>
      <c r="G263" s="278">
        <f t="shared" si="13"/>
        <v>9.3523992659808783</v>
      </c>
      <c r="H263" s="58">
        <f t="shared" si="14"/>
        <v>160057.66500000001</v>
      </c>
    </row>
    <row r="264" spans="1:8" x14ac:dyDescent="0.25">
      <c r="A264" s="50">
        <f>'A) Base RI'!A266</f>
        <v>5857</v>
      </c>
      <c r="B264" s="57" t="str">
        <f>'A) Base RI'!B266</f>
        <v>Gilly</v>
      </c>
      <c r="C264" s="32">
        <f>'B) D RI'!Y266</f>
        <v>483046.05000000005</v>
      </c>
      <c r="D264" s="14">
        <f>'B) D RI'!Z266</f>
        <v>88455.1</v>
      </c>
      <c r="E264" s="10">
        <f t="shared" si="12"/>
        <v>571501.15</v>
      </c>
      <c r="F264" s="14">
        <f>'B) D RI'!U266</f>
        <v>76506.459222154648</v>
      </c>
      <c r="G264" s="278">
        <f t="shared" si="13"/>
        <v>7.469972546246205</v>
      </c>
      <c r="H264" s="58">
        <f t="shared" si="14"/>
        <v>268059.55500000005</v>
      </c>
    </row>
    <row r="265" spans="1:8" x14ac:dyDescent="0.25">
      <c r="A265" s="50">
        <f>'A) Base RI'!A267</f>
        <v>5858</v>
      </c>
      <c r="B265" s="57" t="str">
        <f>'A) Base RI'!B267</f>
        <v>Luins</v>
      </c>
      <c r="C265" s="32">
        <f>'B) D RI'!Y267</f>
        <v>105354.54999999999</v>
      </c>
      <c r="D265" s="14">
        <f>'B) D RI'!Z267</f>
        <v>9337.1</v>
      </c>
      <c r="E265" s="10">
        <f t="shared" si="12"/>
        <v>114691.65</v>
      </c>
      <c r="F265" s="14">
        <f>'B) D RI'!U267</f>
        <v>34277.61170447935</v>
      </c>
      <c r="G265" s="278">
        <f t="shared" si="13"/>
        <v>3.3459638608664282</v>
      </c>
      <c r="H265" s="58">
        <f t="shared" si="14"/>
        <v>55478.404999999992</v>
      </c>
    </row>
    <row r="266" spans="1:8" x14ac:dyDescent="0.25">
      <c r="A266" s="50">
        <f>'A) Base RI'!A268</f>
        <v>5859</v>
      </c>
      <c r="B266" s="57" t="str">
        <f>'A) Base RI'!B268</f>
        <v>Mont-sur-Rolle</v>
      </c>
      <c r="C266" s="32">
        <f>'B) D RI'!Y268</f>
        <v>1144240.55</v>
      </c>
      <c r="D266" s="14">
        <f>'B) D RI'!Z268</f>
        <v>96183.6</v>
      </c>
      <c r="E266" s="10">
        <f t="shared" si="12"/>
        <v>1240424.1500000001</v>
      </c>
      <c r="F266" s="14">
        <f>'B) D RI'!U268</f>
        <v>136265.21065164401</v>
      </c>
      <c r="G266" s="278">
        <f t="shared" si="13"/>
        <v>9.1030142181417801</v>
      </c>
      <c r="H266" s="58">
        <f t="shared" si="14"/>
        <v>600975.35499999998</v>
      </c>
    </row>
    <row r="267" spans="1:8" x14ac:dyDescent="0.25">
      <c r="A267" s="50">
        <f>'A) Base RI'!A269</f>
        <v>5860</v>
      </c>
      <c r="B267" s="57" t="str">
        <f>'A) Base RI'!B269</f>
        <v>Perroy</v>
      </c>
      <c r="C267" s="32">
        <f>'B) D RI'!Y269</f>
        <v>593923.05000000005</v>
      </c>
      <c r="D267" s="14">
        <f>'B) D RI'!Z269</f>
        <v>19488.349999999999</v>
      </c>
      <c r="E267" s="10">
        <f t="shared" si="12"/>
        <v>613411.4</v>
      </c>
      <c r="F267" s="14">
        <f>'B) D RI'!U269</f>
        <v>87566.238279299258</v>
      </c>
      <c r="G267" s="278">
        <f t="shared" si="13"/>
        <v>7.0051130670187884</v>
      </c>
      <c r="H267" s="58">
        <f t="shared" si="14"/>
        <v>302808.03000000003</v>
      </c>
    </row>
    <row r="268" spans="1:8" x14ac:dyDescent="0.25">
      <c r="A268" s="50">
        <f>'A) Base RI'!A270</f>
        <v>5861</v>
      </c>
      <c r="B268" s="57" t="str">
        <f>'A) Base RI'!B270</f>
        <v>Rolle</v>
      </c>
      <c r="C268" s="32">
        <f>'B) D RI'!Y270</f>
        <v>1276098.2</v>
      </c>
      <c r="D268" s="14">
        <f>'B) D RI'!Z270</f>
        <v>673413.7</v>
      </c>
      <c r="E268" s="10">
        <f t="shared" si="12"/>
        <v>1949511.9</v>
      </c>
      <c r="F268" s="14">
        <f>'B) D RI'!U270</f>
        <v>773954.77123318054</v>
      </c>
      <c r="G268" s="278">
        <f t="shared" si="13"/>
        <v>2.5188964167683157</v>
      </c>
      <c r="H268" s="58">
        <f t="shared" si="14"/>
        <v>840073.21</v>
      </c>
    </row>
    <row r="269" spans="1:8" x14ac:dyDescent="0.25">
      <c r="A269" s="50">
        <f>'A) Base RI'!A271</f>
        <v>5862</v>
      </c>
      <c r="B269" s="57" t="str">
        <f>'A) Base RI'!B271</f>
        <v>Tartegnin</v>
      </c>
      <c r="C269" s="32">
        <f>'B) D RI'!Y271</f>
        <v>143354.9</v>
      </c>
      <c r="D269" s="14">
        <f>'B) D RI'!Z271</f>
        <v>4117.75</v>
      </c>
      <c r="E269" s="10">
        <f t="shared" si="12"/>
        <v>147472.65</v>
      </c>
      <c r="F269" s="14">
        <f>'B) D RI'!U271</f>
        <v>10589.245656408681</v>
      </c>
      <c r="G269" s="278">
        <f t="shared" si="13"/>
        <v>13.926643576424029</v>
      </c>
      <c r="H269" s="58">
        <f t="shared" si="14"/>
        <v>72912.774999999994</v>
      </c>
    </row>
    <row r="270" spans="1:8" x14ac:dyDescent="0.25">
      <c r="A270" s="50">
        <f>'A) Base RI'!A272</f>
        <v>5863</v>
      </c>
      <c r="B270" s="57" t="str">
        <f>'A) Base RI'!B272</f>
        <v>Vinzel</v>
      </c>
      <c r="C270" s="32">
        <f>'B) D RI'!Y272</f>
        <v>1375.2</v>
      </c>
      <c r="D270" s="14">
        <f>'B) D RI'!Z272</f>
        <v>24160.55</v>
      </c>
      <c r="E270" s="10">
        <f t="shared" si="12"/>
        <v>25535.75</v>
      </c>
      <c r="F270" s="14">
        <f>'B) D RI'!U272</f>
        <v>22777.907701128508</v>
      </c>
      <c r="G270" s="278">
        <f t="shared" si="13"/>
        <v>1.1210753127573196</v>
      </c>
      <c r="H270" s="58">
        <f t="shared" si="14"/>
        <v>7935.7650000000003</v>
      </c>
    </row>
    <row r="271" spans="1:8" x14ac:dyDescent="0.25">
      <c r="A271" s="50">
        <f>'A) Base RI'!A273</f>
        <v>5871</v>
      </c>
      <c r="B271" s="57" t="str">
        <f>'A) Base RI'!B273</f>
        <v>L'Abbaye</v>
      </c>
      <c r="C271" s="32">
        <f>'B) D RI'!Y273</f>
        <v>242465.55</v>
      </c>
      <c r="D271" s="14">
        <f>'B) D RI'!Z273</f>
        <v>728755.45</v>
      </c>
      <c r="E271" s="10">
        <f t="shared" si="12"/>
        <v>971221</v>
      </c>
      <c r="F271" s="14">
        <f>'B) D RI'!U273</f>
        <v>46463.831419219103</v>
      </c>
      <c r="G271" s="278">
        <f t="shared" si="13"/>
        <v>20.902731658893465</v>
      </c>
      <c r="H271" s="58">
        <f t="shared" si="14"/>
        <v>339859.41</v>
      </c>
    </row>
    <row r="272" spans="1:8" x14ac:dyDescent="0.25">
      <c r="A272" s="50">
        <f>'A) Base RI'!A274</f>
        <v>5872</v>
      </c>
      <c r="B272" s="57" t="str">
        <f>'A) Base RI'!B274</f>
        <v>Le Chenit</v>
      </c>
      <c r="C272" s="32">
        <f>'B) D RI'!Y274</f>
        <v>691996.70000000007</v>
      </c>
      <c r="D272" s="14">
        <f>'B) D RI'!Z274</f>
        <v>4996793.5999999996</v>
      </c>
      <c r="E272" s="10">
        <f t="shared" si="12"/>
        <v>5688790.2999999998</v>
      </c>
      <c r="F272" s="14">
        <f>'B) D RI'!U274</f>
        <v>203474.88252883923</v>
      </c>
      <c r="G272" s="278">
        <f t="shared" si="13"/>
        <v>27.958194295522972</v>
      </c>
      <c r="H272" s="58">
        <f t="shared" si="14"/>
        <v>1845036.43</v>
      </c>
    </row>
    <row r="273" spans="1:8" x14ac:dyDescent="0.25">
      <c r="A273" s="50">
        <f>'A) Base RI'!A275</f>
        <v>5873</v>
      </c>
      <c r="B273" s="57" t="str">
        <f>'A) Base RI'!B275</f>
        <v>Le Lieu</v>
      </c>
      <c r="C273" s="32">
        <f>'B) D RI'!Y275</f>
        <v>53801.850000000006</v>
      </c>
      <c r="D273" s="14">
        <f>'B) D RI'!Z275</f>
        <v>848439.35</v>
      </c>
      <c r="E273" s="10">
        <f t="shared" si="12"/>
        <v>902241.2</v>
      </c>
      <c r="F273" s="14">
        <f>'B) D RI'!U275</f>
        <v>32044.127943123549</v>
      </c>
      <c r="G273" s="278">
        <f t="shared" si="13"/>
        <v>28.156210136266626</v>
      </c>
      <c r="H273" s="58">
        <f t="shared" si="14"/>
        <v>281432.73</v>
      </c>
    </row>
    <row r="274" spans="1:8" x14ac:dyDescent="0.25">
      <c r="A274" s="50">
        <f>'A) Base RI'!A276</f>
        <v>5881</v>
      </c>
      <c r="B274" s="57" t="str">
        <f>'A) Base RI'!B276</f>
        <v>Blonay</v>
      </c>
      <c r="C274" s="32">
        <f>'B) D RI'!Y276</f>
        <v>1244796.8500000001</v>
      </c>
      <c r="D274" s="14">
        <f>'B) D RI'!Z276</f>
        <v>83809.45</v>
      </c>
      <c r="E274" s="10">
        <f t="shared" si="12"/>
        <v>1328606.3</v>
      </c>
      <c r="F274" s="14">
        <f>'B) D RI'!U276</f>
        <v>337666.7615162601</v>
      </c>
      <c r="G274" s="278">
        <f t="shared" si="13"/>
        <v>3.9346671079913857</v>
      </c>
      <c r="H274" s="58">
        <f t="shared" si="14"/>
        <v>647541.26</v>
      </c>
    </row>
    <row r="275" spans="1:8" x14ac:dyDescent="0.25">
      <c r="A275" s="50">
        <f>'A) Base RI'!A277</f>
        <v>5882</v>
      </c>
      <c r="B275" s="57" t="str">
        <f>'A) Base RI'!B277</f>
        <v>Chardonne</v>
      </c>
      <c r="C275" s="32">
        <f>'B) D RI'!Y277</f>
        <v>2555930.1</v>
      </c>
      <c r="D275" s="14">
        <f>'B) D RI'!Z277</f>
        <v>15528.4</v>
      </c>
      <c r="E275" s="10">
        <f t="shared" si="12"/>
        <v>2571458.5</v>
      </c>
      <c r="F275" s="14">
        <f>'B) D RI'!U277</f>
        <v>156481.45987298383</v>
      </c>
      <c r="G275" s="278">
        <f t="shared" si="13"/>
        <v>16.432991499997861</v>
      </c>
      <c r="H275" s="58">
        <f t="shared" si="14"/>
        <v>1282623.57</v>
      </c>
    </row>
    <row r="276" spans="1:8" x14ac:dyDescent="0.25">
      <c r="A276" s="50">
        <f>'A) Base RI'!A278</f>
        <v>5883</v>
      </c>
      <c r="B276" s="57" t="str">
        <f>'A) Base RI'!B278</f>
        <v>Corseaux</v>
      </c>
      <c r="C276" s="32">
        <f>'B) D RI'!Y278</f>
        <v>863133.39999999991</v>
      </c>
      <c r="D276" s="14">
        <f>'B) D RI'!Z278</f>
        <v>0</v>
      </c>
      <c r="E276" s="10">
        <f t="shared" si="12"/>
        <v>863133.39999999991</v>
      </c>
      <c r="F276" s="14">
        <f>'B) D RI'!U278</f>
        <v>150144.54939318728</v>
      </c>
      <c r="G276" s="278">
        <f t="shared" si="13"/>
        <v>5.7486828758577904</v>
      </c>
      <c r="H276" s="58">
        <f t="shared" si="14"/>
        <v>431566.69999999995</v>
      </c>
    </row>
    <row r="277" spans="1:8" x14ac:dyDescent="0.25">
      <c r="A277" s="50">
        <f>'A) Base RI'!A279</f>
        <v>5884</v>
      </c>
      <c r="B277" s="57" t="str">
        <f>'A) Base RI'!B279</f>
        <v>Corsier-sur-Vevey</v>
      </c>
      <c r="C277" s="32">
        <f>'B) D RI'!Y279</f>
        <v>562820.55000000005</v>
      </c>
      <c r="D277" s="14">
        <f>'B) D RI'!Z279</f>
        <v>469080.1</v>
      </c>
      <c r="E277" s="10">
        <f t="shared" si="12"/>
        <v>1031900.65</v>
      </c>
      <c r="F277" s="14">
        <f>'B) D RI'!U279</f>
        <v>120582.14380721933</v>
      </c>
      <c r="G277" s="278">
        <f t="shared" si="13"/>
        <v>8.5576571905186132</v>
      </c>
      <c r="H277" s="58">
        <f t="shared" si="14"/>
        <v>422134.30500000005</v>
      </c>
    </row>
    <row r="278" spans="1:8" x14ac:dyDescent="0.25">
      <c r="A278" s="50">
        <f>'A) Base RI'!A280</f>
        <v>5885</v>
      </c>
      <c r="B278" s="57" t="str">
        <f>'A) Base RI'!B280</f>
        <v>Jongny</v>
      </c>
      <c r="C278" s="32">
        <f>'B) D RI'!Y280</f>
        <v>657335.65</v>
      </c>
      <c r="D278" s="14">
        <f>'B) D RI'!Z280</f>
        <v>7550.35</v>
      </c>
      <c r="E278" s="10">
        <f t="shared" si="12"/>
        <v>664886</v>
      </c>
      <c r="F278" s="14">
        <f>'B) D RI'!U280</f>
        <v>92637.81830716609</v>
      </c>
      <c r="G278" s="278">
        <f t="shared" si="13"/>
        <v>7.1772631539679415</v>
      </c>
      <c r="H278" s="58">
        <f t="shared" si="14"/>
        <v>330932.93</v>
      </c>
    </row>
    <row r="279" spans="1:8" x14ac:dyDescent="0.25">
      <c r="A279" s="50">
        <f>'A) Base RI'!A281</f>
        <v>5886</v>
      </c>
      <c r="B279" s="57" t="str">
        <f>'A) Base RI'!B281</f>
        <v>Montreux</v>
      </c>
      <c r="C279" s="32">
        <f>'B) D RI'!Y281</f>
        <v>15859915.9</v>
      </c>
      <c r="D279" s="14">
        <f>'B) D RI'!Z281</f>
        <v>677240.75</v>
      </c>
      <c r="E279" s="10">
        <f t="shared" si="12"/>
        <v>16537156.65</v>
      </c>
      <c r="F279" s="14">
        <f>'B) D RI'!U281</f>
        <v>1120957.3291830304</v>
      </c>
      <c r="G279" s="278">
        <f t="shared" si="13"/>
        <v>14.752708439002326</v>
      </c>
      <c r="H279" s="58">
        <f t="shared" si="14"/>
        <v>8133130.1749999998</v>
      </c>
    </row>
    <row r="280" spans="1:8" x14ac:dyDescent="0.25">
      <c r="A280" s="50">
        <f>'A) Base RI'!A282</f>
        <v>5888</v>
      </c>
      <c r="B280" s="57" t="str">
        <f>'A) Base RI'!B282</f>
        <v>Saint-Légier-La Chiésaz</v>
      </c>
      <c r="C280" s="32">
        <f>'B) D RI'!Y282</f>
        <v>1917149.5</v>
      </c>
      <c r="D280" s="14">
        <f>'B) D RI'!Z282</f>
        <v>154863.9</v>
      </c>
      <c r="E280" s="10">
        <f t="shared" si="12"/>
        <v>2072013.4</v>
      </c>
      <c r="F280" s="14">
        <f>'B) D RI'!U282</f>
        <v>291113.86411428853</v>
      </c>
      <c r="G280" s="278">
        <f t="shared" si="13"/>
        <v>7.1175359727510168</v>
      </c>
      <c r="H280" s="58">
        <f t="shared" si="14"/>
        <v>1005033.92</v>
      </c>
    </row>
    <row r="281" spans="1:8" x14ac:dyDescent="0.25">
      <c r="A281" s="50">
        <f>'A) Base RI'!A283</f>
        <v>5889</v>
      </c>
      <c r="B281" s="57" t="str">
        <f>'A) Base RI'!B283</f>
        <v>La Tour-de-Peilz</v>
      </c>
      <c r="C281" s="32">
        <f>'B) D RI'!Y283</f>
        <v>3514825.6500000004</v>
      </c>
      <c r="D281" s="14">
        <f>'B) D RI'!Z283</f>
        <v>130445.55</v>
      </c>
      <c r="E281" s="10">
        <f t="shared" si="12"/>
        <v>3645271.2</v>
      </c>
      <c r="F281" s="14">
        <f>'B) D RI'!U283</f>
        <v>674531.22490925156</v>
      </c>
      <c r="G281" s="278">
        <f t="shared" si="13"/>
        <v>5.4041548639804171</v>
      </c>
      <c r="H281" s="58">
        <f t="shared" si="14"/>
        <v>1796546.4900000002</v>
      </c>
    </row>
    <row r="282" spans="1:8" x14ac:dyDescent="0.25">
      <c r="A282" s="50">
        <f>'A) Base RI'!A284</f>
        <v>5890</v>
      </c>
      <c r="B282" s="57" t="str">
        <f>'A) Base RI'!B284</f>
        <v>Vevey</v>
      </c>
      <c r="C282" s="32">
        <f>'B) D RI'!Y284</f>
        <v>5592582.0999999996</v>
      </c>
      <c r="D282" s="14">
        <f>'B) D RI'!Z284</f>
        <v>904038.35</v>
      </c>
      <c r="E282" s="10">
        <f t="shared" si="12"/>
        <v>6496620.4499999993</v>
      </c>
      <c r="F282" s="14">
        <f>'B) D RI'!U284</f>
        <v>953247.91463963222</v>
      </c>
      <c r="G282" s="278">
        <f t="shared" si="13"/>
        <v>6.8152474820319906</v>
      </c>
      <c r="H282" s="58">
        <f t="shared" si="14"/>
        <v>3067502.5549999997</v>
      </c>
    </row>
    <row r="283" spans="1:8" x14ac:dyDescent="0.25">
      <c r="A283" s="50">
        <f>'A) Base RI'!A285</f>
        <v>5891</v>
      </c>
      <c r="B283" s="57" t="str">
        <f>'A) Base RI'!B285</f>
        <v>Veytaux</v>
      </c>
      <c r="C283" s="32">
        <f>'B) D RI'!Y285</f>
        <v>243347.3</v>
      </c>
      <c r="D283" s="14">
        <f>'B) D RI'!Z285</f>
        <v>0</v>
      </c>
      <c r="E283" s="10">
        <f t="shared" si="12"/>
        <v>243347.3</v>
      </c>
      <c r="F283" s="14">
        <f>'B) D RI'!U285</f>
        <v>35139.330604262883</v>
      </c>
      <c r="G283" s="278">
        <f t="shared" si="13"/>
        <v>6.925211602365545</v>
      </c>
      <c r="H283" s="58">
        <f t="shared" si="14"/>
        <v>121673.65</v>
      </c>
    </row>
    <row r="284" spans="1:8" x14ac:dyDescent="0.25">
      <c r="A284" s="50">
        <f>'A) Base RI'!A286</f>
        <v>5902</v>
      </c>
      <c r="B284" s="57" t="str">
        <f>'A) Base RI'!B286</f>
        <v>Belmont-sur-Yverdon</v>
      </c>
      <c r="C284" s="32">
        <f>'B) D RI'!Y286</f>
        <v>63432.7</v>
      </c>
      <c r="D284" s="14">
        <f>'B) D RI'!Z286</f>
        <v>0</v>
      </c>
      <c r="E284" s="10">
        <f t="shared" si="12"/>
        <v>63432.7</v>
      </c>
      <c r="F284" s="14">
        <f>'B) D RI'!U286</f>
        <v>9890.2176826722334</v>
      </c>
      <c r="G284" s="278">
        <f t="shared" si="13"/>
        <v>6.4136808749047818</v>
      </c>
      <c r="H284" s="58">
        <f t="shared" si="14"/>
        <v>31716.35</v>
      </c>
    </row>
    <row r="285" spans="1:8" x14ac:dyDescent="0.25">
      <c r="A285" s="50">
        <f>'A) Base RI'!A287</f>
        <v>5903</v>
      </c>
      <c r="B285" s="57" t="str">
        <f>'A) Base RI'!B287</f>
        <v>Bioley-Magnoux</v>
      </c>
      <c r="C285" s="32">
        <f>'B) D RI'!Y287</f>
        <v>27000.5</v>
      </c>
      <c r="D285" s="14">
        <f>'B) D RI'!Z287</f>
        <v>6652.7</v>
      </c>
      <c r="E285" s="10">
        <f t="shared" si="12"/>
        <v>33653.199999999997</v>
      </c>
      <c r="F285" s="14">
        <f>'B) D RI'!U287</f>
        <v>5925.8519470372794</v>
      </c>
      <c r="G285" s="278">
        <f t="shared" si="13"/>
        <v>5.6790483968850136</v>
      </c>
      <c r="H285" s="58">
        <f t="shared" si="14"/>
        <v>15496.06</v>
      </c>
    </row>
    <row r="286" spans="1:8" x14ac:dyDescent="0.25">
      <c r="A286" s="50">
        <f>'A) Base RI'!A288</f>
        <v>5904</v>
      </c>
      <c r="B286" s="57" t="str">
        <f>'A) Base RI'!B288</f>
        <v>Chamblon</v>
      </c>
      <c r="C286" s="32">
        <f>'B) D RI'!Y288</f>
        <v>83550.400000000009</v>
      </c>
      <c r="D286" s="14">
        <f>'B) D RI'!Z288</f>
        <v>31716.6</v>
      </c>
      <c r="E286" s="10">
        <f t="shared" si="12"/>
        <v>115267</v>
      </c>
      <c r="F286" s="14">
        <f>'B) D RI'!U288</f>
        <v>21650.618671075306</v>
      </c>
      <c r="G286" s="278">
        <f t="shared" si="13"/>
        <v>5.3239587168931051</v>
      </c>
      <c r="H286" s="58">
        <f t="shared" si="14"/>
        <v>51290.180000000008</v>
      </c>
    </row>
    <row r="287" spans="1:8" x14ac:dyDescent="0.25">
      <c r="A287" s="50">
        <f>'A) Base RI'!A289</f>
        <v>5905</v>
      </c>
      <c r="B287" s="57" t="str">
        <f>'A) Base RI'!B289</f>
        <v>Champvent</v>
      </c>
      <c r="C287" s="32">
        <f>'B) D RI'!Y289</f>
        <v>48934.85</v>
      </c>
      <c r="D287" s="14">
        <f>'B) D RI'!Z289</f>
        <v>111826.35</v>
      </c>
      <c r="E287" s="10">
        <f t="shared" si="12"/>
        <v>160761.20000000001</v>
      </c>
      <c r="F287" s="14">
        <f>'B) D RI'!U289</f>
        <v>22161.114023042239</v>
      </c>
      <c r="G287" s="278">
        <f t="shared" si="13"/>
        <v>7.2542021052211973</v>
      </c>
      <c r="H287" s="58">
        <f t="shared" si="14"/>
        <v>58015.33</v>
      </c>
    </row>
    <row r="288" spans="1:8" x14ac:dyDescent="0.25">
      <c r="A288" s="50">
        <f>'A) Base RI'!A290</f>
        <v>5907</v>
      </c>
      <c r="B288" s="57" t="str">
        <f>'A) Base RI'!B290</f>
        <v>Chavannes-le-Chêne</v>
      </c>
      <c r="C288" s="32">
        <f>'B) D RI'!Y290</f>
        <v>9397.1999999999989</v>
      </c>
      <c r="D288" s="14">
        <f>'B) D RI'!Z290</f>
        <v>6237</v>
      </c>
      <c r="E288" s="10">
        <f t="shared" si="12"/>
        <v>15634.199999999999</v>
      </c>
      <c r="F288" s="14">
        <f>'B) D RI'!U290</f>
        <v>8634.8729280902389</v>
      </c>
      <c r="G288" s="278">
        <f t="shared" si="13"/>
        <v>1.8105883120920216</v>
      </c>
      <c r="H288" s="58">
        <f t="shared" si="14"/>
        <v>6569.6999999999989</v>
      </c>
    </row>
    <row r="289" spans="1:8" x14ac:dyDescent="0.25">
      <c r="A289" s="50">
        <f>'A) Base RI'!A291</f>
        <v>5908</v>
      </c>
      <c r="B289" s="57" t="str">
        <f>'A) Base RI'!B291</f>
        <v>Chêne-Pâquier</v>
      </c>
      <c r="C289" s="32">
        <f>'B) D RI'!Y291</f>
        <v>2839.6499999999996</v>
      </c>
      <c r="D289" s="14">
        <f>'B) D RI'!Z291</f>
        <v>0</v>
      </c>
      <c r="E289" s="10">
        <f t="shared" si="12"/>
        <v>2839.6499999999996</v>
      </c>
      <c r="F289" s="14">
        <f>'B) D RI'!U291</f>
        <v>2752.8487805406176</v>
      </c>
      <c r="G289" s="278">
        <f t="shared" si="13"/>
        <v>1.0315314157729853</v>
      </c>
      <c r="H289" s="58">
        <f t="shared" si="14"/>
        <v>1419.8249999999998</v>
      </c>
    </row>
    <row r="290" spans="1:8" x14ac:dyDescent="0.25">
      <c r="A290" s="50">
        <f>'A) Base RI'!A292</f>
        <v>5909</v>
      </c>
      <c r="B290" s="57" t="str">
        <f>'A) Base RI'!B292</f>
        <v>Cheseaux-Noréaz</v>
      </c>
      <c r="C290" s="32">
        <f>'B) D RI'!Y292</f>
        <v>267872</v>
      </c>
      <c r="D290" s="14">
        <f>'B) D RI'!Z292</f>
        <v>11017.75</v>
      </c>
      <c r="E290" s="10">
        <f t="shared" si="12"/>
        <v>278889.75</v>
      </c>
      <c r="F290" s="14">
        <f>'B) D RI'!U292</f>
        <v>27860.638922764225</v>
      </c>
      <c r="G290" s="278">
        <f t="shared" si="13"/>
        <v>10.010170648747263</v>
      </c>
      <c r="H290" s="58">
        <f t="shared" si="14"/>
        <v>137241.32500000001</v>
      </c>
    </row>
    <row r="291" spans="1:8" x14ac:dyDescent="0.25">
      <c r="A291" s="50">
        <f>'A) Base RI'!A293</f>
        <v>5910</v>
      </c>
      <c r="B291" s="57" t="str">
        <f>'A) Base RI'!B293</f>
        <v>Cronay</v>
      </c>
      <c r="C291" s="32">
        <f>'B) D RI'!Y293</f>
        <v>8450.35</v>
      </c>
      <c r="D291" s="14">
        <f>'B) D RI'!Z293</f>
        <v>0</v>
      </c>
      <c r="E291" s="10">
        <f t="shared" si="12"/>
        <v>8450.35</v>
      </c>
      <c r="F291" s="14">
        <f>'B) D RI'!U293</f>
        <v>10082.92355515589</v>
      </c>
      <c r="G291" s="278">
        <f t="shared" si="13"/>
        <v>0.8380852987503733</v>
      </c>
      <c r="H291" s="58">
        <f t="shared" si="14"/>
        <v>4225.1750000000002</v>
      </c>
    </row>
    <row r="292" spans="1:8" x14ac:dyDescent="0.25">
      <c r="A292" s="50">
        <f>'A) Base RI'!A294</f>
        <v>5911</v>
      </c>
      <c r="B292" s="57" t="str">
        <f>'A) Base RI'!B294</f>
        <v>Cuarny</v>
      </c>
      <c r="C292" s="32">
        <f>'B) D RI'!Y294</f>
        <v>10588.650000000001</v>
      </c>
      <c r="D292" s="14">
        <f>'B) D RI'!Z294</f>
        <v>0</v>
      </c>
      <c r="E292" s="10">
        <f t="shared" si="12"/>
        <v>10588.650000000001</v>
      </c>
      <c r="F292" s="14">
        <f>'B) D RI'!U294</f>
        <v>7082.7432735873799</v>
      </c>
      <c r="G292" s="278">
        <f t="shared" si="13"/>
        <v>1.4949927720078007</v>
      </c>
      <c r="H292" s="58">
        <f t="shared" si="14"/>
        <v>5294.3250000000007</v>
      </c>
    </row>
    <row r="293" spans="1:8" x14ac:dyDescent="0.25">
      <c r="A293" s="50">
        <f>'A) Base RI'!A295</f>
        <v>5912</v>
      </c>
      <c r="B293" s="57" t="str">
        <f>'A) Base RI'!B295</f>
        <v>Démoret</v>
      </c>
      <c r="C293" s="32">
        <f>'B) D RI'!Y295</f>
        <v>14260.35</v>
      </c>
      <c r="D293" s="14">
        <f>'B) D RI'!Z295</f>
        <v>0</v>
      </c>
      <c r="E293" s="10">
        <f t="shared" si="12"/>
        <v>14260.35</v>
      </c>
      <c r="F293" s="14">
        <f>'B) D RI'!U295</f>
        <v>3186.2414803898018</v>
      </c>
      <c r="G293" s="278">
        <f t="shared" si="13"/>
        <v>4.4756023947862866</v>
      </c>
      <c r="H293" s="58">
        <f t="shared" si="14"/>
        <v>7130.1750000000002</v>
      </c>
    </row>
    <row r="294" spans="1:8" x14ac:dyDescent="0.25">
      <c r="A294" s="50">
        <f>'A) Base RI'!A296</f>
        <v>5913</v>
      </c>
      <c r="B294" s="57" t="str">
        <f>'A) Base RI'!B296</f>
        <v>Donneloye</v>
      </c>
      <c r="C294" s="32">
        <f>'B) D RI'!Y296</f>
        <v>77765.2</v>
      </c>
      <c r="D294" s="14">
        <f>'B) D RI'!Z296</f>
        <v>20008.099999999999</v>
      </c>
      <c r="E294" s="10">
        <f t="shared" si="12"/>
        <v>97773.299999999988</v>
      </c>
      <c r="F294" s="14">
        <f>'B) D RI'!U296</f>
        <v>20035.3963318641</v>
      </c>
      <c r="G294" s="278">
        <f t="shared" si="13"/>
        <v>4.8800282450366241</v>
      </c>
      <c r="H294" s="58">
        <f t="shared" si="14"/>
        <v>44885.03</v>
      </c>
    </row>
    <row r="295" spans="1:8" x14ac:dyDescent="0.25">
      <c r="A295" s="50">
        <f>'A) Base RI'!A297</f>
        <v>5914</v>
      </c>
      <c r="B295" s="57" t="str">
        <f>'A) Base RI'!B297</f>
        <v>Ependes</v>
      </c>
      <c r="C295" s="32">
        <f>'B) D RI'!Y297</f>
        <v>37719.9</v>
      </c>
      <c r="D295" s="14">
        <f>'B) D RI'!Z297</f>
        <v>0</v>
      </c>
      <c r="E295" s="10">
        <f t="shared" si="12"/>
        <v>37719.9</v>
      </c>
      <c r="F295" s="14">
        <f>'B) D RI'!U297</f>
        <v>10170.223624242424</v>
      </c>
      <c r="G295" s="278">
        <f t="shared" si="13"/>
        <v>3.7088565004695009</v>
      </c>
      <c r="H295" s="58">
        <f t="shared" si="14"/>
        <v>18859.95</v>
      </c>
    </row>
    <row r="296" spans="1:8" x14ac:dyDescent="0.25">
      <c r="A296" s="50">
        <f>'A) Base RI'!A298</f>
        <v>5919</v>
      </c>
      <c r="B296" s="57" t="str">
        <f>'A) Base RI'!B298</f>
        <v>Mathod</v>
      </c>
      <c r="C296" s="32">
        <f>'B) D RI'!Y298</f>
        <v>19790.849999999999</v>
      </c>
      <c r="D296" s="14">
        <f>'B) D RI'!Z298</f>
        <v>8491.2000000000007</v>
      </c>
      <c r="E296" s="10">
        <f t="shared" si="12"/>
        <v>28282.05</v>
      </c>
      <c r="F296" s="14">
        <f>'B) D RI'!U298</f>
        <v>15960.347228765168</v>
      </c>
      <c r="G296" s="278">
        <f t="shared" si="13"/>
        <v>1.7720197182820405</v>
      </c>
      <c r="H296" s="58">
        <f t="shared" si="14"/>
        <v>12442.785</v>
      </c>
    </row>
    <row r="297" spans="1:8" x14ac:dyDescent="0.25">
      <c r="A297" s="50">
        <f>'A) Base RI'!A299</f>
        <v>5921</v>
      </c>
      <c r="B297" s="57" t="str">
        <f>'A) Base RI'!B299</f>
        <v>Molondin</v>
      </c>
      <c r="C297" s="32">
        <f>'B) D RI'!Y299</f>
        <v>23944.3</v>
      </c>
      <c r="D297" s="14">
        <f>'B) D RI'!Z299</f>
        <v>0</v>
      </c>
      <c r="E297" s="10">
        <f t="shared" si="12"/>
        <v>23944.3</v>
      </c>
      <c r="F297" s="14">
        <f>'B) D RI'!U299</f>
        <v>5323.6574375620139</v>
      </c>
      <c r="G297" s="278">
        <f t="shared" si="13"/>
        <v>4.4977161436152375</v>
      </c>
      <c r="H297" s="58">
        <f t="shared" si="14"/>
        <v>11972.15</v>
      </c>
    </row>
    <row r="298" spans="1:8" x14ac:dyDescent="0.25">
      <c r="A298" s="50">
        <f>'A) Base RI'!A300</f>
        <v>5922</v>
      </c>
      <c r="B298" s="57" t="str">
        <f>'A) Base RI'!B300</f>
        <v>Montagny-près-Yverdon</v>
      </c>
      <c r="C298" s="32">
        <f>'B) D RI'!Y300</f>
        <v>160679.6</v>
      </c>
      <c r="D298" s="14">
        <f>'B) D RI'!Z300</f>
        <v>151849.95000000001</v>
      </c>
      <c r="E298" s="10">
        <f t="shared" si="12"/>
        <v>312529.55000000005</v>
      </c>
      <c r="F298" s="14">
        <f>'B) D RI'!U300</f>
        <v>42538.107931378596</v>
      </c>
      <c r="G298" s="278">
        <f t="shared" si="13"/>
        <v>7.3470486864193596</v>
      </c>
      <c r="H298" s="58">
        <f t="shared" si="14"/>
        <v>125894.785</v>
      </c>
    </row>
    <row r="299" spans="1:8" x14ac:dyDescent="0.25">
      <c r="A299" s="50">
        <f>'A) Base RI'!A301</f>
        <v>5923</v>
      </c>
      <c r="B299" s="57" t="str">
        <f>'A) Base RI'!B301</f>
        <v>Oppens</v>
      </c>
      <c r="C299" s="32">
        <f>'B) D RI'!Y301</f>
        <v>13558.5</v>
      </c>
      <c r="D299" s="14">
        <f>'B) D RI'!Z301</f>
        <v>10712</v>
      </c>
      <c r="E299" s="10">
        <f t="shared" si="12"/>
        <v>24270.5</v>
      </c>
      <c r="F299" s="14">
        <f>'B) D RI'!U301</f>
        <v>4631.0916713851466</v>
      </c>
      <c r="G299" s="278">
        <f t="shared" si="13"/>
        <v>5.2407729585583356</v>
      </c>
      <c r="H299" s="58">
        <f t="shared" si="14"/>
        <v>9992.85</v>
      </c>
    </row>
    <row r="300" spans="1:8" x14ac:dyDescent="0.25">
      <c r="A300" s="50">
        <f>'A) Base RI'!A302</f>
        <v>5924</v>
      </c>
      <c r="B300" s="57" t="str">
        <f>'A) Base RI'!B302</f>
        <v>Orges</v>
      </c>
      <c r="C300" s="32">
        <f>'B) D RI'!Y302</f>
        <v>21111.7</v>
      </c>
      <c r="D300" s="14">
        <f>'B) D RI'!Z302</f>
        <v>29.65</v>
      </c>
      <c r="E300" s="10">
        <f t="shared" si="12"/>
        <v>21141.350000000002</v>
      </c>
      <c r="F300" s="14">
        <f>'B) D RI'!U302</f>
        <v>10396.618626656635</v>
      </c>
      <c r="G300" s="278">
        <f t="shared" si="13"/>
        <v>2.0334832659720905</v>
      </c>
      <c r="H300" s="58">
        <f t="shared" si="14"/>
        <v>10564.745000000001</v>
      </c>
    </row>
    <row r="301" spans="1:8" x14ac:dyDescent="0.25">
      <c r="A301" s="50">
        <f>'A) Base RI'!A303</f>
        <v>5925</v>
      </c>
      <c r="B301" s="57" t="str">
        <f>'A) Base RI'!B303</f>
        <v>Orzens</v>
      </c>
      <c r="C301" s="32">
        <f>'B) D RI'!Y303</f>
        <v>8140</v>
      </c>
      <c r="D301" s="14">
        <f>'B) D RI'!Z303</f>
        <v>0</v>
      </c>
      <c r="E301" s="10">
        <f t="shared" si="12"/>
        <v>8140</v>
      </c>
      <c r="F301" s="14">
        <f>'B) D RI'!U303</f>
        <v>4755.0256411268865</v>
      </c>
      <c r="G301" s="278">
        <f t="shared" si="13"/>
        <v>1.7118729980330691</v>
      </c>
      <c r="H301" s="58">
        <f t="shared" si="14"/>
        <v>4070</v>
      </c>
    </row>
    <row r="302" spans="1:8" x14ac:dyDescent="0.25">
      <c r="A302" s="50">
        <f>'A) Base RI'!A304</f>
        <v>5926</v>
      </c>
      <c r="B302" s="57" t="str">
        <f>'A) Base RI'!B304</f>
        <v>Pomy</v>
      </c>
      <c r="C302" s="32">
        <f>'B) D RI'!Y304</f>
        <v>89157.15</v>
      </c>
      <c r="D302" s="14">
        <f>'B) D RI'!Z304</f>
        <v>1698.35</v>
      </c>
      <c r="E302" s="10">
        <f t="shared" si="12"/>
        <v>90855.5</v>
      </c>
      <c r="F302" s="14">
        <f>'B) D RI'!U304</f>
        <v>23259.861194280857</v>
      </c>
      <c r="G302" s="278">
        <f t="shared" si="13"/>
        <v>3.9061067149592272</v>
      </c>
      <c r="H302" s="58">
        <f t="shared" si="14"/>
        <v>45088.079999999994</v>
      </c>
    </row>
    <row r="303" spans="1:8" x14ac:dyDescent="0.25">
      <c r="A303" s="50">
        <f>'A) Base RI'!A305</f>
        <v>5928</v>
      </c>
      <c r="B303" s="57" t="str">
        <f>'A) Base RI'!B305</f>
        <v>Rovray</v>
      </c>
      <c r="C303" s="32">
        <f>'B) D RI'!Y305</f>
        <v>8307.75</v>
      </c>
      <c r="D303" s="14">
        <f>'B) D RI'!Z305</f>
        <v>3441.6</v>
      </c>
      <c r="E303" s="10">
        <f t="shared" si="12"/>
        <v>11749.35</v>
      </c>
      <c r="F303" s="14">
        <f>'B) D RI'!U305</f>
        <v>4486.3585880513701</v>
      </c>
      <c r="G303" s="278">
        <f t="shared" si="13"/>
        <v>2.6189056825043666</v>
      </c>
      <c r="H303" s="58">
        <f t="shared" si="14"/>
        <v>5186.3549999999996</v>
      </c>
    </row>
    <row r="304" spans="1:8" x14ac:dyDescent="0.25">
      <c r="A304" s="50">
        <f>'A) Base RI'!A306</f>
        <v>5929</v>
      </c>
      <c r="B304" s="57" t="str">
        <f>'A) Base RI'!B306</f>
        <v>Suchy</v>
      </c>
      <c r="C304" s="32">
        <f>'B) D RI'!Y306</f>
        <v>85193.85</v>
      </c>
      <c r="D304" s="14">
        <f>'B) D RI'!Z306</f>
        <v>5924.95</v>
      </c>
      <c r="E304" s="10">
        <f t="shared" si="12"/>
        <v>91118.8</v>
      </c>
      <c r="F304" s="14">
        <f>'B) D RI'!U306</f>
        <v>17021.216382984901</v>
      </c>
      <c r="G304" s="278">
        <f t="shared" si="13"/>
        <v>5.3532484371144031</v>
      </c>
      <c r="H304" s="58">
        <f t="shared" si="14"/>
        <v>44374.41</v>
      </c>
    </row>
    <row r="305" spans="1:8" x14ac:dyDescent="0.25">
      <c r="A305" s="50">
        <f>'A) Base RI'!A307</f>
        <v>5930</v>
      </c>
      <c r="B305" s="57" t="str">
        <f>'A) Base RI'!B307</f>
        <v>Suscévaz</v>
      </c>
      <c r="C305" s="32">
        <f>'B) D RI'!Y307</f>
        <v>41521.65</v>
      </c>
      <c r="D305" s="14">
        <f>'B) D RI'!Z307</f>
        <v>0</v>
      </c>
      <c r="E305" s="10">
        <f t="shared" si="12"/>
        <v>41521.65</v>
      </c>
      <c r="F305" s="14">
        <f>'B) D RI'!U307</f>
        <v>5363.6524098848004</v>
      </c>
      <c r="G305" s="278">
        <f t="shared" si="13"/>
        <v>7.7413014168253671</v>
      </c>
      <c r="H305" s="58">
        <f t="shared" si="14"/>
        <v>20760.825000000001</v>
      </c>
    </row>
    <row r="306" spans="1:8" x14ac:dyDescent="0.25">
      <c r="A306" s="50">
        <f>'A) Base RI'!A308</f>
        <v>5931</v>
      </c>
      <c r="B306" s="57" t="str">
        <f>'A) Base RI'!B308</f>
        <v>Treycovagnes</v>
      </c>
      <c r="C306" s="32">
        <f>'B) D RI'!Y308</f>
        <v>109580.25</v>
      </c>
      <c r="D306" s="14">
        <f>'B) D RI'!Z308</f>
        <v>4225.45</v>
      </c>
      <c r="E306" s="10">
        <f t="shared" si="12"/>
        <v>113805.7</v>
      </c>
      <c r="F306" s="14">
        <f>'B) D RI'!U308</f>
        <v>13443.123228865978</v>
      </c>
      <c r="G306" s="278">
        <f t="shared" si="13"/>
        <v>8.4657187219431833</v>
      </c>
      <c r="H306" s="58">
        <f t="shared" si="14"/>
        <v>56057.760000000002</v>
      </c>
    </row>
    <row r="307" spans="1:8" x14ac:dyDescent="0.25">
      <c r="A307" s="50">
        <f>'A) Base RI'!A309</f>
        <v>5932</v>
      </c>
      <c r="B307" s="57" t="str">
        <f>'A) Base RI'!B309</f>
        <v>Ursins</v>
      </c>
      <c r="C307" s="32">
        <f>'B) D RI'!Y309</f>
        <v>26400</v>
      </c>
      <c r="D307" s="14">
        <f>'B) D RI'!Z309</f>
        <v>0</v>
      </c>
      <c r="E307" s="10">
        <f t="shared" si="12"/>
        <v>26400</v>
      </c>
      <c r="F307" s="14">
        <f>'B) D RI'!U309</f>
        <v>6855.3003269100209</v>
      </c>
      <c r="G307" s="278">
        <f t="shared" si="13"/>
        <v>3.851034782001975</v>
      </c>
      <c r="H307" s="58">
        <f t="shared" si="14"/>
        <v>13200</v>
      </c>
    </row>
    <row r="308" spans="1:8" x14ac:dyDescent="0.25">
      <c r="A308" s="50">
        <f>'A) Base RI'!A310</f>
        <v>5933</v>
      </c>
      <c r="B308" s="57" t="str">
        <f>'A) Base RI'!B310</f>
        <v>Valeyres-sous-Montagny</v>
      </c>
      <c r="C308" s="32">
        <f>'B) D RI'!Y310</f>
        <v>127447.34999999999</v>
      </c>
      <c r="D308" s="14">
        <f>'B) D RI'!Z310</f>
        <v>9457.15</v>
      </c>
      <c r="E308" s="10">
        <f t="shared" si="12"/>
        <v>136904.5</v>
      </c>
      <c r="F308" s="14">
        <f>'B) D RI'!U310</f>
        <v>20669.421262090575</v>
      </c>
      <c r="G308" s="278">
        <f t="shared" si="13"/>
        <v>6.6235284609102312</v>
      </c>
      <c r="H308" s="58">
        <f t="shared" si="14"/>
        <v>66560.819999999992</v>
      </c>
    </row>
    <row r="309" spans="1:8" x14ac:dyDescent="0.25">
      <c r="A309" s="50">
        <f>'A) Base RI'!A311</f>
        <v>5934</v>
      </c>
      <c r="B309" s="57" t="str">
        <f>'A) Base RI'!B311</f>
        <v>Valeyres-sous-Ursins</v>
      </c>
      <c r="C309" s="32">
        <f>'B) D RI'!Y311</f>
        <v>0</v>
      </c>
      <c r="D309" s="14">
        <f>'B) D RI'!Z311</f>
        <v>0</v>
      </c>
      <c r="E309" s="10">
        <f t="shared" si="12"/>
        <v>0</v>
      </c>
      <c r="F309" s="14">
        <f>'B) D RI'!U311</f>
        <v>6791.6761133712571</v>
      </c>
      <c r="G309" s="278">
        <f t="shared" si="13"/>
        <v>0</v>
      </c>
      <c r="H309" s="58">
        <f t="shared" si="14"/>
        <v>0</v>
      </c>
    </row>
    <row r="310" spans="1:8" x14ac:dyDescent="0.25">
      <c r="A310" s="50">
        <f>'A) Base RI'!A312</f>
        <v>5935</v>
      </c>
      <c r="B310" s="57" t="str">
        <f>'A) Base RI'!B312</f>
        <v>Villars-Epeney</v>
      </c>
      <c r="C310" s="32">
        <f>'B) D RI'!Y312</f>
        <v>9460</v>
      </c>
      <c r="D310" s="14">
        <f>'B) D RI'!Z312</f>
        <v>0</v>
      </c>
      <c r="E310" s="10">
        <f t="shared" si="12"/>
        <v>9460</v>
      </c>
      <c r="F310" s="14">
        <f>'B) D RI'!U312</f>
        <v>5529.6840523560213</v>
      </c>
      <c r="G310" s="278">
        <f t="shared" si="13"/>
        <v>1.7107668196647505</v>
      </c>
      <c r="H310" s="58">
        <f t="shared" si="14"/>
        <v>4730</v>
      </c>
    </row>
    <row r="311" spans="1:8" x14ac:dyDescent="0.25">
      <c r="A311" s="50">
        <f>'A) Base RI'!A313</f>
        <v>5937</v>
      </c>
      <c r="B311" s="57" t="str">
        <f>'A) Base RI'!B313</f>
        <v>Vugelles-La Mothe</v>
      </c>
      <c r="C311" s="32">
        <f>'B) D RI'!Y313</f>
        <v>11979.15</v>
      </c>
      <c r="D311" s="14">
        <f>'B) D RI'!Z313</f>
        <v>0</v>
      </c>
      <c r="E311" s="10">
        <f t="shared" si="12"/>
        <v>11979.15</v>
      </c>
      <c r="F311" s="14">
        <f>'B) D RI'!U313</f>
        <v>2865.8382395608655</v>
      </c>
      <c r="G311" s="278">
        <f t="shared" si="13"/>
        <v>4.1799812126994205</v>
      </c>
      <c r="H311" s="58">
        <f t="shared" si="14"/>
        <v>5989.5749999999998</v>
      </c>
    </row>
    <row r="312" spans="1:8" x14ac:dyDescent="0.25">
      <c r="A312" s="50">
        <f>'A) Base RI'!A314</f>
        <v>5938</v>
      </c>
      <c r="B312" s="57" t="str">
        <f>'A) Base RI'!B314</f>
        <v>Yverdon-les-Bains</v>
      </c>
      <c r="C312" s="32">
        <f>'B) D RI'!Y314</f>
        <v>3389921.05</v>
      </c>
      <c r="D312" s="14">
        <f>'B) D RI'!Z314</f>
        <v>3841277.35</v>
      </c>
      <c r="E312" s="10">
        <f t="shared" si="12"/>
        <v>7231198.4000000004</v>
      </c>
      <c r="F312" s="14">
        <f>'B) D RI'!U314</f>
        <v>774260.97307948919</v>
      </c>
      <c r="G312" s="278">
        <f t="shared" si="13"/>
        <v>9.3394845554970427</v>
      </c>
      <c r="H312" s="58">
        <f t="shared" si="14"/>
        <v>2847343.73</v>
      </c>
    </row>
    <row r="313" spans="1:8" x14ac:dyDescent="0.25">
      <c r="A313" s="50">
        <f>'A) Base RI'!A315</f>
        <v>5939</v>
      </c>
      <c r="B313" s="57" t="str">
        <f>'A) Base RI'!B315</f>
        <v>Yvonand</v>
      </c>
      <c r="C313" s="32">
        <f>'B) D RI'!Y315</f>
        <v>1193990.2</v>
      </c>
      <c r="D313" s="14">
        <f>'B) D RI'!Z315</f>
        <v>112071.65</v>
      </c>
      <c r="E313" s="10">
        <f t="shared" si="12"/>
        <v>1306061.8499999999</v>
      </c>
      <c r="F313" s="14">
        <f>'B) D RI'!U315</f>
        <v>92761.457314991218</v>
      </c>
      <c r="G313" s="278">
        <f t="shared" si="13"/>
        <v>14.079790117623849</v>
      </c>
      <c r="H313" s="58">
        <f t="shared" si="14"/>
        <v>630616.59499999997</v>
      </c>
    </row>
    <row r="314" spans="1:8" x14ac:dyDescent="0.25">
      <c r="A314" s="31"/>
      <c r="B314" s="124">
        <f>COUNTA(B5:B313)</f>
        <v>309</v>
      </c>
      <c r="C314" s="125">
        <f>SUM(C5:C313)</f>
        <v>225888321.64000005</v>
      </c>
      <c r="D314" s="11">
        <f>SUM(D5:D313)</f>
        <v>66677797.950000003</v>
      </c>
      <c r="E314" s="11">
        <f>SUM(E5:E313)</f>
        <v>292566119.59000003</v>
      </c>
      <c r="F314" s="11">
        <f>SUM(F5:F313)</f>
        <v>35922747.174706832</v>
      </c>
      <c r="G314" s="63">
        <f t="shared" ref="G314" si="15">E314/F314</f>
        <v>8.1443136341197064</v>
      </c>
      <c r="H314" s="280">
        <f>(C314*$C$4)+(D314*$D$4)</f>
        <v>132947500.20500003</v>
      </c>
    </row>
    <row r="316" spans="1:8" x14ac:dyDescent="0.25">
      <c r="G316" s="13"/>
    </row>
    <row r="317" spans="1:8" x14ac:dyDescent="0.25">
      <c r="G317" s="13"/>
    </row>
    <row r="318" spans="1:8" x14ac:dyDescent="0.25">
      <c r="G318" s="13"/>
    </row>
    <row r="319" spans="1:8" x14ac:dyDescent="0.25">
      <c r="G319" s="13"/>
    </row>
    <row r="320" spans="1:8" x14ac:dyDescent="0.25">
      <c r="G320" s="13"/>
    </row>
    <row r="321" spans="7:7" x14ac:dyDescent="0.25">
      <c r="G321" s="13"/>
    </row>
    <row r="322" spans="7:7" x14ac:dyDescent="0.25">
      <c r="G322" s="13"/>
    </row>
    <row r="323" spans="7:7" x14ac:dyDescent="0.25">
      <c r="G323" s="13"/>
    </row>
    <row r="324" spans="7:7" x14ac:dyDescent="0.25">
      <c r="G324" s="13"/>
    </row>
    <row r="325" spans="7:7" x14ac:dyDescent="0.25">
      <c r="G325" s="13"/>
    </row>
    <row r="326" spans="7:7" x14ac:dyDescent="0.25">
      <c r="G326" s="13"/>
    </row>
    <row r="327" spans="7:7" x14ac:dyDescent="0.25">
      <c r="G327" s="13"/>
    </row>
    <row r="328" spans="7:7" x14ac:dyDescent="0.25">
      <c r="G328" s="13"/>
    </row>
    <row r="329" spans="7:7" x14ac:dyDescent="0.25">
      <c r="G329" s="13"/>
    </row>
    <row r="330" spans="7:7" x14ac:dyDescent="0.25">
      <c r="G330" s="13"/>
    </row>
    <row r="331" spans="7:7" x14ac:dyDescent="0.25">
      <c r="G331" s="13"/>
    </row>
    <row r="332" spans="7:7" x14ac:dyDescent="0.25">
      <c r="G332" s="13"/>
    </row>
  </sheetData>
  <mergeCells count="6">
    <mergeCell ref="H3:H4"/>
    <mergeCell ref="G3:G4"/>
    <mergeCell ref="F3:F4"/>
    <mergeCell ref="E3:E4"/>
    <mergeCell ref="A3:A4"/>
    <mergeCell ref="B3:B4"/>
  </mergeCells>
  <phoneticPr fontId="9" type="noConversion"/>
  <printOptions horizontalCentered="1" verticalCentered="1"/>
  <pageMargins left="0" right="0" top="0" bottom="0" header="0.51181102362204722" footer="0.51181102362204722"/>
  <pageSetup paperSize="8"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00B050"/>
  </sheetPr>
  <dimension ref="A1:V320"/>
  <sheetViews>
    <sheetView workbookViewId="0">
      <selection activeCell="L9" sqref="L9"/>
    </sheetView>
  </sheetViews>
  <sheetFormatPr baseColWidth="10" defaultColWidth="11" defaultRowHeight="15" x14ac:dyDescent="0.25"/>
  <cols>
    <col min="1" max="1" width="7.25" style="13" customWidth="1"/>
    <col min="2" max="2" width="18" style="13" customWidth="1"/>
    <col min="3" max="3" width="10.875" style="13" bestFit="1" customWidth="1"/>
    <col min="4" max="4" width="8.375" style="13" customWidth="1"/>
    <col min="5" max="5" width="7.625" style="13" bestFit="1" customWidth="1"/>
    <col min="6" max="6" width="8.75" style="62" bestFit="1" customWidth="1"/>
    <col min="7" max="7" width="5.75" style="13" bestFit="1" customWidth="1"/>
    <col min="8" max="8" width="5.75" style="13" customWidth="1"/>
    <col min="9" max="10" width="5.75" style="13" bestFit="1" customWidth="1"/>
    <col min="11" max="11" width="6.5" style="13" bestFit="1" customWidth="1"/>
    <col min="12" max="12" width="7.625" style="13" bestFit="1" customWidth="1"/>
    <col min="13" max="13" width="10.75" style="12" bestFit="1" customWidth="1"/>
    <col min="14" max="17" width="11" style="414"/>
    <col min="18" max="18" width="11.25" style="414" bestFit="1" customWidth="1"/>
    <col min="19" max="21" width="11" style="13"/>
    <col min="22" max="22" width="11.25" style="13" bestFit="1" customWidth="1"/>
    <col min="23" max="16384" width="11" style="13"/>
  </cols>
  <sheetData>
    <row r="1" spans="1:22" ht="21" x14ac:dyDescent="0.25">
      <c r="A1" s="52" t="s">
        <v>220</v>
      </c>
      <c r="B1" s="43"/>
      <c r="C1" s="60"/>
      <c r="D1" s="44"/>
      <c r="E1" s="44"/>
      <c r="F1" s="61"/>
    </row>
    <row r="2" spans="1:22" x14ac:dyDescent="0.25">
      <c r="G2" s="70">
        <f>$E$314*G4</f>
        <v>45.220884578121954</v>
      </c>
      <c r="H2" s="70">
        <f t="shared" ref="H2:K2" si="0">$E$314*H4</f>
        <v>54.265061493746344</v>
      </c>
      <c r="I2" s="70">
        <f t="shared" si="0"/>
        <v>67.831326867182923</v>
      </c>
      <c r="J2" s="70">
        <f t="shared" si="0"/>
        <v>90.441769156243907</v>
      </c>
      <c r="K2" s="70">
        <f t="shared" si="0"/>
        <v>135.66265373436585</v>
      </c>
    </row>
    <row r="3" spans="1:22" ht="60" customHeight="1" x14ac:dyDescent="0.25">
      <c r="A3" s="485" t="s">
        <v>46</v>
      </c>
      <c r="B3" s="485" t="s">
        <v>96</v>
      </c>
      <c r="C3" s="492" t="s">
        <v>305</v>
      </c>
      <c r="D3" s="493"/>
      <c r="E3" s="494"/>
      <c r="F3" s="491" t="s">
        <v>291</v>
      </c>
      <c r="G3" s="67">
        <f>Paramètres!B16</f>
        <v>0.2</v>
      </c>
      <c r="H3" s="67">
        <f>Paramètres!C16</f>
        <v>0.3</v>
      </c>
      <c r="I3" s="67">
        <f>Paramètres!D16</f>
        <v>0.4</v>
      </c>
      <c r="J3" s="67">
        <f>Paramètres!E16</f>
        <v>0.5</v>
      </c>
      <c r="K3" s="67">
        <f>Paramètres!F16</f>
        <v>0.6</v>
      </c>
      <c r="L3" s="491" t="s">
        <v>294</v>
      </c>
      <c r="M3" s="491" t="s">
        <v>306</v>
      </c>
    </row>
    <row r="4" spans="1:22" ht="45" x14ac:dyDescent="0.25">
      <c r="A4" s="486"/>
      <c r="B4" s="486"/>
      <c r="C4" s="68" t="s">
        <v>371</v>
      </c>
      <c r="D4" s="68" t="s">
        <v>67</v>
      </c>
      <c r="E4" s="68" t="s">
        <v>68</v>
      </c>
      <c r="F4" s="491"/>
      <c r="G4" s="69">
        <f>Paramètres!B17</f>
        <v>1</v>
      </c>
      <c r="H4" s="69">
        <f>Paramètres!C17</f>
        <v>1.2</v>
      </c>
      <c r="I4" s="69">
        <f>Paramètres!D17</f>
        <v>1.5</v>
      </c>
      <c r="J4" s="69">
        <f>Paramètres!E17</f>
        <v>2</v>
      </c>
      <c r="K4" s="69">
        <f>Paramètres!F17</f>
        <v>3</v>
      </c>
      <c r="L4" s="495"/>
      <c r="M4" s="491"/>
    </row>
    <row r="5" spans="1:22" x14ac:dyDescent="0.25">
      <c r="A5" s="108">
        <f>'A) Base RI'!A7</f>
        <v>5401</v>
      </c>
      <c r="B5" s="314" t="str">
        <f>'A) Base RI'!B7</f>
        <v>Aigle</v>
      </c>
      <c r="C5" s="311">
        <f>'B) D RI'!U7</f>
        <v>263862.68069135805</v>
      </c>
      <c r="D5" s="33">
        <f>'B) D RI'!AA7</f>
        <v>10153</v>
      </c>
      <c r="E5" s="211">
        <f>C5/D5</f>
        <v>25.988641848848424</v>
      </c>
      <c r="F5" s="409">
        <f t="shared" ref="F5" si="1">E5/$E$314</f>
        <v>0.5747044112759756</v>
      </c>
      <c r="G5" s="419">
        <f>IF(E5-$G$2&lt;0,0,E5-$G$2)</f>
        <v>0</v>
      </c>
      <c r="H5" s="411">
        <f>IF(E5-$H$2&lt;0,0,E5-$H$2)</f>
        <v>0</v>
      </c>
      <c r="I5" s="419">
        <f>IF(E5-$I$2&lt;0,0,E5-$I$2)</f>
        <v>0</v>
      </c>
      <c r="J5" s="411">
        <f>IF(E5-$J$2&lt;0,0,E5-$J$2)</f>
        <v>0</v>
      </c>
      <c r="K5" s="410">
        <f>IF(E5-$K$2&lt;0,0,E5-$K$2)</f>
        <v>0</v>
      </c>
      <c r="L5" s="418">
        <f>(G5-H5)*$G$3+(H5-I5)*$H$3+(I5-J5)*$I$3+(J5-K5)*$J$3+(K5*$K$3)</f>
        <v>0</v>
      </c>
      <c r="M5" s="119">
        <f>L5*D5*'B) D RI'!S7</f>
        <v>0</v>
      </c>
    </row>
    <row r="6" spans="1:22" x14ac:dyDescent="0.25">
      <c r="A6" s="313">
        <f>'A) Base RI'!A8</f>
        <v>5402</v>
      </c>
      <c r="B6" s="33" t="str">
        <f>'A) Base RI'!B8</f>
        <v>Bex</v>
      </c>
      <c r="C6" s="311">
        <f>'B) D RI'!U8</f>
        <v>173630.8553521127</v>
      </c>
      <c r="D6" s="33">
        <f>'B) D RI'!AA8</f>
        <v>7719</v>
      </c>
      <c r="E6" s="211">
        <f t="shared" ref="E6:E69" si="2">C6/D6</f>
        <v>22.493957164414134</v>
      </c>
      <c r="F6" s="409">
        <f t="shared" ref="F6:F69" si="3">E6/$E$314</f>
        <v>0.49742408566896545</v>
      </c>
      <c r="G6" s="420">
        <f t="shared" ref="G6:G69" si="4">IF(E6-$G$2&lt;0,0,E6-$G$2)</f>
        <v>0</v>
      </c>
      <c r="H6" s="417">
        <f t="shared" ref="H6:H69" si="5">IF(E6-$H$2&lt;0,0,E6-$H$2)</f>
        <v>0</v>
      </c>
      <c r="I6" s="420">
        <f t="shared" ref="I6:I69" si="6">IF(E6-$I$2&lt;0,0,E6-$I$2)</f>
        <v>0</v>
      </c>
      <c r="J6" s="417">
        <f t="shared" ref="J6:J69" si="7">IF(E6-$J$2&lt;0,0,E6-$J$2)</f>
        <v>0</v>
      </c>
      <c r="K6" s="412">
        <f t="shared" ref="K6:K69" si="8">IF(E6-$K$2&lt;0,0,E6-$K$2)</f>
        <v>0</v>
      </c>
      <c r="L6" s="416">
        <f t="shared" ref="L6:L69" si="9">(G6-H6)*$G$3+(H6-I6)*$H$3+(I6-J6)*$I$3+(J6-K6)*$J$3+(K6*$K$3)</f>
        <v>0</v>
      </c>
      <c r="M6" s="119">
        <f>L6*D6*'B) D RI'!S8</f>
        <v>0</v>
      </c>
    </row>
    <row r="7" spans="1:22" x14ac:dyDescent="0.25">
      <c r="A7" s="313">
        <f>'A) Base RI'!A9</f>
        <v>5403</v>
      </c>
      <c r="B7" s="33" t="str">
        <f>'A) Base RI'!B9</f>
        <v>Chessel</v>
      </c>
      <c r="C7" s="311">
        <f>'B) D RI'!U9</f>
        <v>9734.1508108108119</v>
      </c>
      <c r="D7" s="33">
        <f>'B) D RI'!AA9</f>
        <v>403</v>
      </c>
      <c r="E7" s="211">
        <f t="shared" si="2"/>
        <v>24.154220374220376</v>
      </c>
      <c r="F7" s="409">
        <f t="shared" si="3"/>
        <v>0.5341386087327068</v>
      </c>
      <c r="G7" s="420">
        <f t="shared" si="4"/>
        <v>0</v>
      </c>
      <c r="H7" s="417">
        <f t="shared" si="5"/>
        <v>0</v>
      </c>
      <c r="I7" s="420">
        <f t="shared" si="6"/>
        <v>0</v>
      </c>
      <c r="J7" s="417">
        <f t="shared" si="7"/>
        <v>0</v>
      </c>
      <c r="K7" s="412">
        <f t="shared" si="8"/>
        <v>0</v>
      </c>
      <c r="L7" s="416">
        <f t="shared" si="9"/>
        <v>0</v>
      </c>
      <c r="M7" s="119">
        <f>L7*D7*'B) D RI'!S9</f>
        <v>0</v>
      </c>
    </row>
    <row r="8" spans="1:22" x14ac:dyDescent="0.25">
      <c r="A8" s="313">
        <f>'A) Base RI'!A10</f>
        <v>5404</v>
      </c>
      <c r="B8" s="33" t="str">
        <f>'A) Base RI'!B10</f>
        <v>Corbeyrier</v>
      </c>
      <c r="C8" s="311">
        <f>'B) D RI'!U10</f>
        <v>10864.664095238095</v>
      </c>
      <c r="D8" s="33">
        <f>'B) D RI'!AA10</f>
        <v>437</v>
      </c>
      <c r="E8" s="211">
        <f t="shared" si="2"/>
        <v>24.861931568050561</v>
      </c>
      <c r="F8" s="409">
        <f t="shared" si="3"/>
        <v>0.54978870493123577</v>
      </c>
      <c r="G8" s="420">
        <f t="shared" si="4"/>
        <v>0</v>
      </c>
      <c r="H8" s="417">
        <f t="shared" si="5"/>
        <v>0</v>
      </c>
      <c r="I8" s="420">
        <f t="shared" si="6"/>
        <v>0</v>
      </c>
      <c r="J8" s="417">
        <f t="shared" si="7"/>
        <v>0</v>
      </c>
      <c r="K8" s="412">
        <f t="shared" si="8"/>
        <v>0</v>
      </c>
      <c r="L8" s="416">
        <f t="shared" si="9"/>
        <v>0</v>
      </c>
      <c r="M8" s="119">
        <f>L8*D8*'B) D RI'!S10</f>
        <v>0</v>
      </c>
    </row>
    <row r="9" spans="1:22" x14ac:dyDescent="0.25">
      <c r="A9" s="313">
        <f>'A) Base RI'!A11</f>
        <v>5405</v>
      </c>
      <c r="B9" s="33" t="str">
        <f>'A) Base RI'!B11</f>
        <v>Gryon</v>
      </c>
      <c r="C9" s="311">
        <f>'B) D RI'!U11</f>
        <v>69822.459644444432</v>
      </c>
      <c r="D9" s="33">
        <f>'B) D RI'!AA11</f>
        <v>1364</v>
      </c>
      <c r="E9" s="211">
        <f t="shared" si="2"/>
        <v>51.189486542847824</v>
      </c>
      <c r="F9" s="409">
        <f t="shared" si="3"/>
        <v>1.1319877313415825</v>
      </c>
      <c r="G9" s="420">
        <f t="shared" si="4"/>
        <v>5.9686019647258703</v>
      </c>
      <c r="H9" s="417">
        <f t="shared" si="5"/>
        <v>0</v>
      </c>
      <c r="I9" s="420">
        <f t="shared" si="6"/>
        <v>0</v>
      </c>
      <c r="J9" s="417">
        <f t="shared" si="7"/>
        <v>0</v>
      </c>
      <c r="K9" s="412">
        <f t="shared" si="8"/>
        <v>0</v>
      </c>
      <c r="L9" s="416">
        <f t="shared" si="9"/>
        <v>1.1937203929451741</v>
      </c>
      <c r="M9" s="119">
        <f>L9*D9*'B) D RI'!S11</f>
        <v>122117.5961982913</v>
      </c>
    </row>
    <row r="10" spans="1:22" x14ac:dyDescent="0.25">
      <c r="A10" s="313">
        <f>'A) Base RI'!A12</f>
        <v>5406</v>
      </c>
      <c r="B10" s="33" t="str">
        <f>'A) Base RI'!B12</f>
        <v>Lavey-Morcles</v>
      </c>
      <c r="C10" s="311">
        <f>'B) D RI'!U12</f>
        <v>21528.925666305528</v>
      </c>
      <c r="D10" s="33">
        <f>'B) D RI'!AA12</f>
        <v>926</v>
      </c>
      <c r="E10" s="211">
        <f t="shared" si="2"/>
        <v>23.249379769228433</v>
      </c>
      <c r="F10" s="409">
        <f t="shared" si="3"/>
        <v>0.5141292565620571</v>
      </c>
      <c r="G10" s="420">
        <f t="shared" si="4"/>
        <v>0</v>
      </c>
      <c r="H10" s="417">
        <f t="shared" si="5"/>
        <v>0</v>
      </c>
      <c r="I10" s="420">
        <f t="shared" si="6"/>
        <v>0</v>
      </c>
      <c r="J10" s="417">
        <f t="shared" si="7"/>
        <v>0</v>
      </c>
      <c r="K10" s="412">
        <f t="shared" si="8"/>
        <v>0</v>
      </c>
      <c r="L10" s="416">
        <f t="shared" si="9"/>
        <v>0</v>
      </c>
      <c r="M10" s="119">
        <f>L10*D10*'B) D RI'!S12</f>
        <v>0</v>
      </c>
    </row>
    <row r="11" spans="1:22" x14ac:dyDescent="0.25">
      <c r="A11" s="313">
        <f>'A) Base RI'!A13</f>
        <v>5407</v>
      </c>
      <c r="B11" s="33" t="str">
        <f>'A) Base RI'!B13</f>
        <v>Leysin</v>
      </c>
      <c r="C11" s="311">
        <f>'B) D RI'!U13</f>
        <v>90534.062564102569</v>
      </c>
      <c r="D11" s="33">
        <f>'B) D RI'!AA13</f>
        <v>4023</v>
      </c>
      <c r="E11" s="211">
        <f t="shared" si="2"/>
        <v>22.504116968457016</v>
      </c>
      <c r="F11" s="409">
        <f t="shared" si="3"/>
        <v>0.49764875628604133</v>
      </c>
      <c r="G11" s="420">
        <f t="shared" si="4"/>
        <v>0</v>
      </c>
      <c r="H11" s="417">
        <f t="shared" si="5"/>
        <v>0</v>
      </c>
      <c r="I11" s="420">
        <f t="shared" si="6"/>
        <v>0</v>
      </c>
      <c r="J11" s="417">
        <f t="shared" si="7"/>
        <v>0</v>
      </c>
      <c r="K11" s="412">
        <f t="shared" si="8"/>
        <v>0</v>
      </c>
      <c r="L11" s="416">
        <f t="shared" si="9"/>
        <v>0</v>
      </c>
      <c r="M11" s="119">
        <f>L11*D11*'B) D RI'!S13</f>
        <v>0</v>
      </c>
    </row>
    <row r="12" spans="1:22" x14ac:dyDescent="0.25">
      <c r="A12" s="313">
        <f>'A) Base RI'!A14</f>
        <v>5408</v>
      </c>
      <c r="B12" s="33" t="str">
        <f>'A) Base RI'!B14</f>
        <v>Noville</v>
      </c>
      <c r="C12" s="311">
        <f>'B) D RI'!U14</f>
        <v>31735.72989384289</v>
      </c>
      <c r="D12" s="33">
        <f>'B) D RI'!AA14</f>
        <v>1055</v>
      </c>
      <c r="E12" s="211">
        <f t="shared" si="2"/>
        <v>30.081260562884257</v>
      </c>
      <c r="F12" s="409">
        <f t="shared" si="3"/>
        <v>0.66520725641527345</v>
      </c>
      <c r="G12" s="420">
        <f t="shared" si="4"/>
        <v>0</v>
      </c>
      <c r="H12" s="417">
        <f t="shared" si="5"/>
        <v>0</v>
      </c>
      <c r="I12" s="420">
        <f t="shared" si="6"/>
        <v>0</v>
      </c>
      <c r="J12" s="417">
        <f t="shared" si="7"/>
        <v>0</v>
      </c>
      <c r="K12" s="412">
        <f t="shared" si="8"/>
        <v>0</v>
      </c>
      <c r="L12" s="416">
        <f t="shared" si="9"/>
        <v>0</v>
      </c>
      <c r="M12" s="119">
        <f>L12*D12*'B) D RI'!S14</f>
        <v>0</v>
      </c>
    </row>
    <row r="13" spans="1:22" x14ac:dyDescent="0.25">
      <c r="A13" s="313">
        <f>'A) Base RI'!A15</f>
        <v>5409</v>
      </c>
      <c r="B13" s="33" t="str">
        <f>'A) Base RI'!B15</f>
        <v>Ollon</v>
      </c>
      <c r="C13" s="311">
        <f>'B) D RI'!U15</f>
        <v>367365.91906108597</v>
      </c>
      <c r="D13" s="33">
        <f>'B) D RI'!AA15</f>
        <v>7494</v>
      </c>
      <c r="E13" s="211">
        <f t="shared" si="2"/>
        <v>49.021339613168664</v>
      </c>
      <c r="F13" s="409">
        <f t="shared" si="3"/>
        <v>1.0840420321385174</v>
      </c>
      <c r="G13" s="420">
        <f t="shared" si="4"/>
        <v>3.8004550350467099</v>
      </c>
      <c r="H13" s="417">
        <f t="shared" si="5"/>
        <v>0</v>
      </c>
      <c r="I13" s="420">
        <f t="shared" si="6"/>
        <v>0</v>
      </c>
      <c r="J13" s="417">
        <f t="shared" si="7"/>
        <v>0</v>
      </c>
      <c r="K13" s="412">
        <f t="shared" si="8"/>
        <v>0</v>
      </c>
      <c r="L13" s="416">
        <f t="shared" si="9"/>
        <v>0.76009100700934207</v>
      </c>
      <c r="M13" s="119">
        <f>L13*D13*'B) D RI'!S15</f>
        <v>387336.29644390463</v>
      </c>
    </row>
    <row r="14" spans="1:22" x14ac:dyDescent="0.25">
      <c r="A14" s="313">
        <f>'A) Base RI'!A16</f>
        <v>5410</v>
      </c>
      <c r="B14" s="33" t="str">
        <f>'A) Base RI'!B16</f>
        <v>Ormont-Dessous</v>
      </c>
      <c r="C14" s="311">
        <f>'B) D RI'!U16</f>
        <v>37585.850743099792</v>
      </c>
      <c r="D14" s="33">
        <f>'B) D RI'!AA16</f>
        <v>1117</v>
      </c>
      <c r="E14" s="211">
        <f t="shared" si="2"/>
        <v>33.648926359086651</v>
      </c>
      <c r="F14" s="409">
        <f t="shared" si="3"/>
        <v>0.74410146269819188</v>
      </c>
      <c r="G14" s="420">
        <f t="shared" si="4"/>
        <v>0</v>
      </c>
      <c r="H14" s="417">
        <f t="shared" si="5"/>
        <v>0</v>
      </c>
      <c r="I14" s="420">
        <f t="shared" si="6"/>
        <v>0</v>
      </c>
      <c r="J14" s="417">
        <f t="shared" si="7"/>
        <v>0</v>
      </c>
      <c r="K14" s="412">
        <f t="shared" si="8"/>
        <v>0</v>
      </c>
      <c r="L14" s="416">
        <f t="shared" si="9"/>
        <v>0</v>
      </c>
      <c r="M14" s="119">
        <f>L14*D14*'B) D RI'!S16</f>
        <v>0</v>
      </c>
      <c r="V14" s="15"/>
    </row>
    <row r="15" spans="1:22" x14ac:dyDescent="0.25">
      <c r="A15" s="313">
        <f>'A) Base RI'!A17</f>
        <v>5411</v>
      </c>
      <c r="B15" s="33" t="str">
        <f>'A) Base RI'!B17</f>
        <v>Ormont-Dessus</v>
      </c>
      <c r="C15" s="311">
        <f>'B) D RI'!U17</f>
        <v>78533.565482456135</v>
      </c>
      <c r="D15" s="33">
        <f>'B) D RI'!AA17</f>
        <v>1467</v>
      </c>
      <c r="E15" s="211">
        <f t="shared" si="2"/>
        <v>53.533446136643583</v>
      </c>
      <c r="F15" s="409">
        <f t="shared" si="3"/>
        <v>1.1838212948745208</v>
      </c>
      <c r="G15" s="420">
        <f t="shared" si="4"/>
        <v>8.3125615585216295</v>
      </c>
      <c r="H15" s="417">
        <f t="shared" si="5"/>
        <v>0</v>
      </c>
      <c r="I15" s="420">
        <f t="shared" si="6"/>
        <v>0</v>
      </c>
      <c r="J15" s="417">
        <f t="shared" si="7"/>
        <v>0</v>
      </c>
      <c r="K15" s="412">
        <f t="shared" si="8"/>
        <v>0</v>
      </c>
      <c r="L15" s="416">
        <f t="shared" si="9"/>
        <v>1.6625123117043259</v>
      </c>
      <c r="M15" s="119">
        <f>L15*D15*'B) D RI'!S17</f>
        <v>185356.82265653869</v>
      </c>
      <c r="V15" s="15"/>
    </row>
    <row r="16" spans="1:22" x14ac:dyDescent="0.25">
      <c r="A16" s="313">
        <f>'A) Base RI'!A18</f>
        <v>5412</v>
      </c>
      <c r="B16" s="33" t="str">
        <f>'A) Base RI'!B18</f>
        <v>Rennaz</v>
      </c>
      <c r="C16" s="311">
        <f>'B) D RI'!U18</f>
        <v>30683.439407407404</v>
      </c>
      <c r="D16" s="33">
        <f>'B) D RI'!AA18</f>
        <v>839</v>
      </c>
      <c r="E16" s="211">
        <f t="shared" si="2"/>
        <v>36.571441486778788</v>
      </c>
      <c r="F16" s="409">
        <f t="shared" si="3"/>
        <v>0.80872901598373859</v>
      </c>
      <c r="G16" s="420">
        <f t="shared" si="4"/>
        <v>0</v>
      </c>
      <c r="H16" s="417">
        <f t="shared" si="5"/>
        <v>0</v>
      </c>
      <c r="I16" s="420">
        <f t="shared" si="6"/>
        <v>0</v>
      </c>
      <c r="J16" s="417">
        <f t="shared" si="7"/>
        <v>0</v>
      </c>
      <c r="K16" s="412">
        <f t="shared" si="8"/>
        <v>0</v>
      </c>
      <c r="L16" s="416">
        <f t="shared" si="9"/>
        <v>0</v>
      </c>
      <c r="M16" s="119">
        <f>L16*D16*'B) D RI'!S18</f>
        <v>0</v>
      </c>
      <c r="V16" s="15"/>
    </row>
    <row r="17" spans="1:22" x14ac:dyDescent="0.25">
      <c r="A17" s="313">
        <f>'A) Base RI'!A19</f>
        <v>5413</v>
      </c>
      <c r="B17" s="33" t="str">
        <f>'A) Base RI'!B19</f>
        <v>Roche</v>
      </c>
      <c r="C17" s="311">
        <f>'B) D RI'!U19</f>
        <v>36754.028088235296</v>
      </c>
      <c r="D17" s="33">
        <f>'B) D RI'!AA19</f>
        <v>1650</v>
      </c>
      <c r="E17" s="211">
        <f t="shared" si="2"/>
        <v>22.275168538324422</v>
      </c>
      <c r="F17" s="409">
        <f t="shared" si="3"/>
        <v>0.49258586483072114</v>
      </c>
      <c r="G17" s="420">
        <f t="shared" si="4"/>
        <v>0</v>
      </c>
      <c r="H17" s="417">
        <f t="shared" si="5"/>
        <v>0</v>
      </c>
      <c r="I17" s="420">
        <f t="shared" si="6"/>
        <v>0</v>
      </c>
      <c r="J17" s="417">
        <f t="shared" si="7"/>
        <v>0</v>
      </c>
      <c r="K17" s="412">
        <f t="shared" si="8"/>
        <v>0</v>
      </c>
      <c r="L17" s="416">
        <f t="shared" si="9"/>
        <v>0</v>
      </c>
      <c r="M17" s="119">
        <f>L17*D17*'B) D RI'!S19</f>
        <v>0</v>
      </c>
      <c r="V17" s="15"/>
    </row>
    <row r="18" spans="1:22" x14ac:dyDescent="0.25">
      <c r="A18" s="313">
        <f>'A) Base RI'!A20</f>
        <v>5414</v>
      </c>
      <c r="B18" s="33" t="str">
        <f>'A) Base RI'!B20</f>
        <v>Villeneuve</v>
      </c>
      <c r="C18" s="311">
        <f>'B) D RI'!U20</f>
        <v>161374.0856521739</v>
      </c>
      <c r="D18" s="33">
        <f>'B) D RI'!AA20</f>
        <v>5672</v>
      </c>
      <c r="E18" s="211">
        <f t="shared" si="2"/>
        <v>28.451002406941804</v>
      </c>
      <c r="F18" s="409">
        <f t="shared" si="3"/>
        <v>0.62915625539767772</v>
      </c>
      <c r="G18" s="420">
        <f t="shared" si="4"/>
        <v>0</v>
      </c>
      <c r="H18" s="417">
        <f t="shared" si="5"/>
        <v>0</v>
      </c>
      <c r="I18" s="420">
        <f t="shared" si="6"/>
        <v>0</v>
      </c>
      <c r="J18" s="417">
        <f t="shared" si="7"/>
        <v>0</v>
      </c>
      <c r="K18" s="412">
        <f t="shared" si="8"/>
        <v>0</v>
      </c>
      <c r="L18" s="416">
        <f t="shared" si="9"/>
        <v>0</v>
      </c>
      <c r="M18" s="119">
        <f>L18*D18*'B) D RI'!S20</f>
        <v>0</v>
      </c>
      <c r="V18" s="15"/>
    </row>
    <row r="19" spans="1:22" x14ac:dyDescent="0.25">
      <c r="A19" s="313">
        <f>'A) Base RI'!A21</f>
        <v>5415</v>
      </c>
      <c r="B19" s="33" t="str">
        <f>'A) Base RI'!B21</f>
        <v>Yvorne</v>
      </c>
      <c r="C19" s="311">
        <f>'B) D RI'!U21</f>
        <v>34416.914731934739</v>
      </c>
      <c r="D19" s="33">
        <f>'B) D RI'!AA21</f>
        <v>1057</v>
      </c>
      <c r="E19" s="211">
        <f t="shared" si="2"/>
        <v>32.560941089815266</v>
      </c>
      <c r="F19" s="409">
        <f t="shared" si="3"/>
        <v>0.7200421087200134</v>
      </c>
      <c r="G19" s="420">
        <f t="shared" si="4"/>
        <v>0</v>
      </c>
      <c r="H19" s="417">
        <f t="shared" si="5"/>
        <v>0</v>
      </c>
      <c r="I19" s="420">
        <f t="shared" si="6"/>
        <v>0</v>
      </c>
      <c r="J19" s="417">
        <f t="shared" si="7"/>
        <v>0</v>
      </c>
      <c r="K19" s="412">
        <f t="shared" si="8"/>
        <v>0</v>
      </c>
      <c r="L19" s="416">
        <f t="shared" si="9"/>
        <v>0</v>
      </c>
      <c r="M19" s="119">
        <f>L19*D19*'B) D RI'!S21</f>
        <v>0</v>
      </c>
      <c r="V19" s="15"/>
    </row>
    <row r="20" spans="1:22" x14ac:dyDescent="0.25">
      <c r="A20" s="313">
        <f>'A) Base RI'!A22</f>
        <v>5421</v>
      </c>
      <c r="B20" s="33" t="str">
        <f>'A) Base RI'!B22</f>
        <v>Apples</v>
      </c>
      <c r="C20" s="311">
        <f>'B) D RI'!U22</f>
        <v>58623.163421052632</v>
      </c>
      <c r="D20" s="33">
        <f>'B) D RI'!AA22</f>
        <v>1437</v>
      </c>
      <c r="E20" s="211">
        <f t="shared" si="2"/>
        <v>40.795520821887706</v>
      </c>
      <c r="F20" s="409">
        <f t="shared" si="3"/>
        <v>0.90213893873329365</v>
      </c>
      <c r="G20" s="420">
        <f t="shared" si="4"/>
        <v>0</v>
      </c>
      <c r="H20" s="417">
        <f t="shared" si="5"/>
        <v>0</v>
      </c>
      <c r="I20" s="420">
        <f t="shared" si="6"/>
        <v>0</v>
      </c>
      <c r="J20" s="417">
        <f t="shared" si="7"/>
        <v>0</v>
      </c>
      <c r="K20" s="412">
        <f t="shared" si="8"/>
        <v>0</v>
      </c>
      <c r="L20" s="416">
        <f t="shared" si="9"/>
        <v>0</v>
      </c>
      <c r="M20" s="119">
        <f>L20*D20*'B) D RI'!S22</f>
        <v>0</v>
      </c>
      <c r="V20" s="15"/>
    </row>
    <row r="21" spans="1:22" x14ac:dyDescent="0.25">
      <c r="A21" s="313">
        <f>'A) Base RI'!A23</f>
        <v>5422</v>
      </c>
      <c r="B21" s="33" t="str">
        <f>'A) Base RI'!B23</f>
        <v>Aubonne</v>
      </c>
      <c r="C21" s="311">
        <f>'B) D RI'!U23</f>
        <v>244308.18220588236</v>
      </c>
      <c r="D21" s="33">
        <f>'B) D RI'!AA23</f>
        <v>3269</v>
      </c>
      <c r="E21" s="211">
        <f t="shared" si="2"/>
        <v>74.734837016176925</v>
      </c>
      <c r="F21" s="409">
        <f t="shared" si="3"/>
        <v>1.652661988225103</v>
      </c>
      <c r="G21" s="420">
        <f t="shared" si="4"/>
        <v>29.513952438054972</v>
      </c>
      <c r="H21" s="417">
        <f t="shared" si="5"/>
        <v>20.469775522430581</v>
      </c>
      <c r="I21" s="420">
        <f t="shared" si="6"/>
        <v>6.9035101489940018</v>
      </c>
      <c r="J21" s="417">
        <f t="shared" si="7"/>
        <v>0</v>
      </c>
      <c r="K21" s="412">
        <f t="shared" si="8"/>
        <v>0</v>
      </c>
      <c r="L21" s="416">
        <f t="shared" si="9"/>
        <v>8.6401190547534519</v>
      </c>
      <c r="M21" s="119">
        <f>L21*D21*'B) D RI'!S23</f>
        <v>1920629.3449192543</v>
      </c>
      <c r="V21" s="15"/>
    </row>
    <row r="22" spans="1:22" x14ac:dyDescent="0.25">
      <c r="A22" s="313">
        <f>'A) Base RI'!A24</f>
        <v>5423</v>
      </c>
      <c r="B22" s="33" t="str">
        <f>'A) Base RI'!B24</f>
        <v>Ballens</v>
      </c>
      <c r="C22" s="311">
        <f>'B) D RI'!U24</f>
        <v>16828.247681159421</v>
      </c>
      <c r="D22" s="33">
        <f>'B) D RI'!AA24</f>
        <v>527</v>
      </c>
      <c r="E22" s="211">
        <f t="shared" si="2"/>
        <v>31.932158787778786</v>
      </c>
      <c r="F22" s="409">
        <f t="shared" si="3"/>
        <v>0.70613742047911399</v>
      </c>
      <c r="G22" s="420">
        <f t="shared" si="4"/>
        <v>0</v>
      </c>
      <c r="H22" s="417">
        <f t="shared" si="5"/>
        <v>0</v>
      </c>
      <c r="I22" s="420">
        <f t="shared" si="6"/>
        <v>0</v>
      </c>
      <c r="J22" s="417">
        <f t="shared" si="7"/>
        <v>0</v>
      </c>
      <c r="K22" s="412">
        <f t="shared" si="8"/>
        <v>0</v>
      </c>
      <c r="L22" s="416">
        <f t="shared" si="9"/>
        <v>0</v>
      </c>
      <c r="M22" s="119">
        <f>L22*D22*'B) D RI'!S24</f>
        <v>0</v>
      </c>
    </row>
    <row r="23" spans="1:22" x14ac:dyDescent="0.25">
      <c r="A23" s="313">
        <f>'A) Base RI'!A25</f>
        <v>5424</v>
      </c>
      <c r="B23" s="33" t="str">
        <f>'A) Base RI'!B25</f>
        <v>Berolle</v>
      </c>
      <c r="C23" s="311">
        <f>'B) D RI'!U25</f>
        <v>11334.098571428574</v>
      </c>
      <c r="D23" s="33">
        <f>'B) D RI'!AA25</f>
        <v>301</v>
      </c>
      <c r="E23" s="211">
        <f t="shared" si="2"/>
        <v>37.65481252966304</v>
      </c>
      <c r="F23" s="409">
        <f t="shared" si="3"/>
        <v>0.83268633245358037</v>
      </c>
      <c r="G23" s="420">
        <f t="shared" si="4"/>
        <v>0</v>
      </c>
      <c r="H23" s="417">
        <f t="shared" si="5"/>
        <v>0</v>
      </c>
      <c r="I23" s="420">
        <f t="shared" si="6"/>
        <v>0</v>
      </c>
      <c r="J23" s="417">
        <f t="shared" si="7"/>
        <v>0</v>
      </c>
      <c r="K23" s="412">
        <f t="shared" si="8"/>
        <v>0</v>
      </c>
      <c r="L23" s="416">
        <f t="shared" si="9"/>
        <v>0</v>
      </c>
      <c r="M23" s="119">
        <f>L23*D23*'B) D RI'!S25</f>
        <v>0</v>
      </c>
    </row>
    <row r="24" spans="1:22" x14ac:dyDescent="0.25">
      <c r="A24" s="313">
        <f>'A) Base RI'!A26</f>
        <v>5425</v>
      </c>
      <c r="B24" s="33" t="str">
        <f>'A) Base RI'!B26</f>
        <v>Bière</v>
      </c>
      <c r="C24" s="311">
        <f>'B) D RI'!U26</f>
        <v>40579.487849898578</v>
      </c>
      <c r="D24" s="33">
        <f>'B) D RI'!AA26</f>
        <v>1577</v>
      </c>
      <c r="E24" s="211">
        <f t="shared" si="2"/>
        <v>25.732078535129091</v>
      </c>
      <c r="F24" s="409">
        <f t="shared" si="3"/>
        <v>0.56903085322613023</v>
      </c>
      <c r="G24" s="420">
        <f t="shared" si="4"/>
        <v>0</v>
      </c>
      <c r="H24" s="417">
        <f t="shared" si="5"/>
        <v>0</v>
      </c>
      <c r="I24" s="420">
        <f t="shared" si="6"/>
        <v>0</v>
      </c>
      <c r="J24" s="417">
        <f t="shared" si="7"/>
        <v>0</v>
      </c>
      <c r="K24" s="412">
        <f t="shared" si="8"/>
        <v>0</v>
      </c>
      <c r="L24" s="416">
        <f t="shared" si="9"/>
        <v>0</v>
      </c>
      <c r="M24" s="119">
        <f>L24*D24*'B) D RI'!S26</f>
        <v>0</v>
      </c>
    </row>
    <row r="25" spans="1:22" x14ac:dyDescent="0.25">
      <c r="A25" s="313">
        <f>'A) Base RI'!A27</f>
        <v>5426</v>
      </c>
      <c r="B25" s="33" t="str">
        <f>'A) Base RI'!B27</f>
        <v>Bougy-Villars</v>
      </c>
      <c r="C25" s="311">
        <f>'B) D RI'!U27</f>
        <v>47833.150252525251</v>
      </c>
      <c r="D25" s="33">
        <f>'B) D RI'!AA27</f>
        <v>483</v>
      </c>
      <c r="E25" s="211">
        <f t="shared" si="2"/>
        <v>99.033437375828683</v>
      </c>
      <c r="F25" s="409">
        <f t="shared" si="3"/>
        <v>2.1899933692084708</v>
      </c>
      <c r="G25" s="420">
        <f t="shared" si="4"/>
        <v>53.812552797706729</v>
      </c>
      <c r="H25" s="417">
        <f t="shared" si="5"/>
        <v>44.768375882082339</v>
      </c>
      <c r="I25" s="420">
        <f t="shared" si="6"/>
        <v>31.20211050864576</v>
      </c>
      <c r="J25" s="417">
        <f t="shared" si="7"/>
        <v>8.5916682195847756</v>
      </c>
      <c r="K25" s="412">
        <f t="shared" si="8"/>
        <v>0</v>
      </c>
      <c r="L25" s="416">
        <f t="shared" si="9"/>
        <v>19.218726020572632</v>
      </c>
      <c r="M25" s="119">
        <f>L25*D25*'B) D RI'!S27</f>
        <v>612654.54808381444</v>
      </c>
    </row>
    <row r="26" spans="1:22" x14ac:dyDescent="0.25">
      <c r="A26" s="313">
        <f>'A) Base RI'!A28</f>
        <v>5427</v>
      </c>
      <c r="B26" s="33" t="str">
        <f>'A) Base RI'!B28</f>
        <v>Féchy</v>
      </c>
      <c r="C26" s="311">
        <f>'B) D RI'!U28</f>
        <v>79308.783786057698</v>
      </c>
      <c r="D26" s="33">
        <f>'B) D RI'!AA28</f>
        <v>895</v>
      </c>
      <c r="E26" s="211">
        <f t="shared" si="2"/>
        <v>88.613166241405253</v>
      </c>
      <c r="F26" s="409">
        <f t="shared" si="3"/>
        <v>1.9595628672039878</v>
      </c>
      <c r="G26" s="420">
        <f t="shared" si="4"/>
        <v>43.392281663283299</v>
      </c>
      <c r="H26" s="417">
        <f t="shared" si="5"/>
        <v>34.348104747658908</v>
      </c>
      <c r="I26" s="420">
        <f t="shared" si="6"/>
        <v>20.781839374222329</v>
      </c>
      <c r="J26" s="417">
        <f t="shared" si="7"/>
        <v>0</v>
      </c>
      <c r="K26" s="412">
        <f t="shared" si="8"/>
        <v>0</v>
      </c>
      <c r="L26" s="416">
        <f t="shared" si="9"/>
        <v>14.191450744844783</v>
      </c>
      <c r="M26" s="119">
        <f>L26*D26*'B) D RI'!S28</f>
        <v>812886.2986647092</v>
      </c>
    </row>
    <row r="27" spans="1:22" x14ac:dyDescent="0.25">
      <c r="A27" s="313">
        <f>'A) Base RI'!A29</f>
        <v>5428</v>
      </c>
      <c r="B27" s="33" t="str">
        <f>'A) Base RI'!B29</f>
        <v>Gimel</v>
      </c>
      <c r="C27" s="311">
        <f>'B) D RI'!U29</f>
        <v>61728.526853146868</v>
      </c>
      <c r="D27" s="33">
        <f>'B) D RI'!AA29</f>
        <v>2016</v>
      </c>
      <c r="E27" s="211">
        <f t="shared" si="2"/>
        <v>30.619308954933963</v>
      </c>
      <c r="F27" s="409">
        <f t="shared" si="3"/>
        <v>0.67710548434843554</v>
      </c>
      <c r="G27" s="420">
        <f t="shared" si="4"/>
        <v>0</v>
      </c>
      <c r="H27" s="417">
        <f t="shared" si="5"/>
        <v>0</v>
      </c>
      <c r="I27" s="420">
        <f t="shared" si="6"/>
        <v>0</v>
      </c>
      <c r="J27" s="417">
        <f t="shared" si="7"/>
        <v>0</v>
      </c>
      <c r="K27" s="412">
        <f t="shared" si="8"/>
        <v>0</v>
      </c>
      <c r="L27" s="416">
        <f t="shared" si="9"/>
        <v>0</v>
      </c>
      <c r="M27" s="119">
        <f>L27*D27*'B) D RI'!S29</f>
        <v>0</v>
      </c>
    </row>
    <row r="28" spans="1:22" x14ac:dyDescent="0.25">
      <c r="A28" s="313">
        <f>'A) Base RI'!A30</f>
        <v>5429</v>
      </c>
      <c r="B28" s="33" t="str">
        <f>'A) Base RI'!B30</f>
        <v>Longirod</v>
      </c>
      <c r="C28" s="311">
        <f>'B) D RI'!U30</f>
        <v>14939.782716049382</v>
      </c>
      <c r="D28" s="33">
        <f>'B) D RI'!AA30</f>
        <v>469</v>
      </c>
      <c r="E28" s="211">
        <f t="shared" si="2"/>
        <v>31.854547368975226</v>
      </c>
      <c r="F28" s="409">
        <f t="shared" si="3"/>
        <v>0.70442114669261879</v>
      </c>
      <c r="G28" s="420">
        <f t="shared" si="4"/>
        <v>0</v>
      </c>
      <c r="H28" s="417">
        <f t="shared" si="5"/>
        <v>0</v>
      </c>
      <c r="I28" s="420">
        <f t="shared" si="6"/>
        <v>0</v>
      </c>
      <c r="J28" s="417">
        <f t="shared" si="7"/>
        <v>0</v>
      </c>
      <c r="K28" s="412">
        <f t="shared" si="8"/>
        <v>0</v>
      </c>
      <c r="L28" s="416">
        <f t="shared" si="9"/>
        <v>0</v>
      </c>
      <c r="M28" s="119">
        <f>L28*D28*'B) D RI'!S30</f>
        <v>0</v>
      </c>
    </row>
    <row r="29" spans="1:22" x14ac:dyDescent="0.25">
      <c r="A29" s="313">
        <f>'A) Base RI'!A31</f>
        <v>5430</v>
      </c>
      <c r="B29" s="33" t="str">
        <f>'A) Base RI'!B31</f>
        <v>Marchissy</v>
      </c>
      <c r="C29" s="311">
        <f>'B) D RI'!U31</f>
        <v>13613.731392405061</v>
      </c>
      <c r="D29" s="33">
        <f>'B) D RI'!AA31</f>
        <v>455</v>
      </c>
      <c r="E29" s="211">
        <f t="shared" si="2"/>
        <v>29.920288774516617</v>
      </c>
      <c r="F29" s="409">
        <f t="shared" si="3"/>
        <v>0.66164757840655275</v>
      </c>
      <c r="G29" s="420">
        <f t="shared" si="4"/>
        <v>0</v>
      </c>
      <c r="H29" s="417">
        <f t="shared" si="5"/>
        <v>0</v>
      </c>
      <c r="I29" s="420">
        <f t="shared" si="6"/>
        <v>0</v>
      </c>
      <c r="J29" s="417">
        <f t="shared" si="7"/>
        <v>0</v>
      </c>
      <c r="K29" s="412">
        <f t="shared" si="8"/>
        <v>0</v>
      </c>
      <c r="L29" s="416">
        <f t="shared" si="9"/>
        <v>0</v>
      </c>
      <c r="M29" s="119">
        <f>L29*D29*'B) D RI'!S31</f>
        <v>0</v>
      </c>
    </row>
    <row r="30" spans="1:22" x14ac:dyDescent="0.25">
      <c r="A30" s="313">
        <f>'A) Base RI'!A32</f>
        <v>5431</v>
      </c>
      <c r="B30" s="33" t="str">
        <f>'A) Base RI'!B32</f>
        <v>Mollens</v>
      </c>
      <c r="C30" s="311">
        <f>'B) D RI'!U32</f>
        <v>8973.9812162162179</v>
      </c>
      <c r="D30" s="33">
        <f>'B) D RI'!AA32</f>
        <v>301</v>
      </c>
      <c r="E30" s="211">
        <f t="shared" si="2"/>
        <v>29.813891083774809</v>
      </c>
      <c r="F30" s="409">
        <f t="shared" si="3"/>
        <v>0.65929473432279762</v>
      </c>
      <c r="G30" s="420">
        <f t="shared" si="4"/>
        <v>0</v>
      </c>
      <c r="H30" s="417">
        <f t="shared" si="5"/>
        <v>0</v>
      </c>
      <c r="I30" s="420">
        <f t="shared" si="6"/>
        <v>0</v>
      </c>
      <c r="J30" s="417">
        <f t="shared" si="7"/>
        <v>0</v>
      </c>
      <c r="K30" s="412">
        <f t="shared" si="8"/>
        <v>0</v>
      </c>
      <c r="L30" s="416">
        <f t="shared" si="9"/>
        <v>0</v>
      </c>
      <c r="M30" s="119">
        <f>L30*D30*'B) D RI'!S32</f>
        <v>0</v>
      </c>
    </row>
    <row r="31" spans="1:22" x14ac:dyDescent="0.25">
      <c r="A31" s="313">
        <f>'A) Base RI'!A33</f>
        <v>5432</v>
      </c>
      <c r="B31" s="33" t="str">
        <f>'A) Base RI'!B33</f>
        <v>Montherod</v>
      </c>
      <c r="C31" s="311">
        <f>'B) D RI'!U33</f>
        <v>17887.262179487177</v>
      </c>
      <c r="D31" s="33">
        <f>'B) D RI'!AA33</f>
        <v>534</v>
      </c>
      <c r="E31" s="211">
        <f t="shared" si="2"/>
        <v>33.496745654470367</v>
      </c>
      <c r="F31" s="409">
        <f t="shared" si="3"/>
        <v>0.74073618786918261</v>
      </c>
      <c r="G31" s="420">
        <f t="shared" si="4"/>
        <v>0</v>
      </c>
      <c r="H31" s="417">
        <f t="shared" si="5"/>
        <v>0</v>
      </c>
      <c r="I31" s="420">
        <f t="shared" si="6"/>
        <v>0</v>
      </c>
      <c r="J31" s="417">
        <f t="shared" si="7"/>
        <v>0</v>
      </c>
      <c r="K31" s="412">
        <f t="shared" si="8"/>
        <v>0</v>
      </c>
      <c r="L31" s="416">
        <f t="shared" si="9"/>
        <v>0</v>
      </c>
      <c r="M31" s="119">
        <f>L31*D31*'B) D RI'!S33</f>
        <v>0</v>
      </c>
    </row>
    <row r="32" spans="1:22" x14ac:dyDescent="0.25">
      <c r="A32" s="313">
        <f>'A) Base RI'!A34</f>
        <v>5434</v>
      </c>
      <c r="B32" s="33" t="str">
        <f>'A) Base RI'!B34</f>
        <v>Saint-George</v>
      </c>
      <c r="C32" s="311">
        <f>'B) D RI'!U34</f>
        <v>37133.404507042258</v>
      </c>
      <c r="D32" s="33">
        <f>'B) D RI'!AA34</f>
        <v>1031</v>
      </c>
      <c r="E32" s="211">
        <f t="shared" si="2"/>
        <v>36.016881190147679</v>
      </c>
      <c r="F32" s="409">
        <f t="shared" si="3"/>
        <v>0.79646564913886697</v>
      </c>
      <c r="G32" s="420">
        <f t="shared" si="4"/>
        <v>0</v>
      </c>
      <c r="H32" s="417">
        <f t="shared" si="5"/>
        <v>0</v>
      </c>
      <c r="I32" s="420">
        <f t="shared" si="6"/>
        <v>0</v>
      </c>
      <c r="J32" s="417">
        <f t="shared" si="7"/>
        <v>0</v>
      </c>
      <c r="K32" s="412">
        <f t="shared" si="8"/>
        <v>0</v>
      </c>
      <c r="L32" s="416">
        <f t="shared" si="9"/>
        <v>0</v>
      </c>
      <c r="M32" s="119">
        <f>L32*D32*'B) D RI'!S34</f>
        <v>0</v>
      </c>
    </row>
    <row r="33" spans="1:13" x14ac:dyDescent="0.25">
      <c r="A33" s="313">
        <f>'A) Base RI'!A35</f>
        <v>5435</v>
      </c>
      <c r="B33" s="33" t="str">
        <f>'A) Base RI'!B35</f>
        <v>Saint-Livres</v>
      </c>
      <c r="C33" s="311">
        <f>'B) D RI'!U35</f>
        <v>25639.681014492751</v>
      </c>
      <c r="D33" s="33">
        <f>'B) D RI'!AA35</f>
        <v>683</v>
      </c>
      <c r="E33" s="211">
        <f t="shared" si="2"/>
        <v>37.539796507310029</v>
      </c>
      <c r="F33" s="409">
        <f t="shared" si="3"/>
        <v>0.83014290537500746</v>
      </c>
      <c r="G33" s="420">
        <f t="shared" si="4"/>
        <v>0</v>
      </c>
      <c r="H33" s="417">
        <f t="shared" si="5"/>
        <v>0</v>
      </c>
      <c r="I33" s="420">
        <f t="shared" si="6"/>
        <v>0</v>
      </c>
      <c r="J33" s="417">
        <f t="shared" si="7"/>
        <v>0</v>
      </c>
      <c r="K33" s="412">
        <f t="shared" si="8"/>
        <v>0</v>
      </c>
      <c r="L33" s="416">
        <f t="shared" si="9"/>
        <v>0</v>
      </c>
      <c r="M33" s="119">
        <f>L33*D33*'B) D RI'!S35</f>
        <v>0</v>
      </c>
    </row>
    <row r="34" spans="1:13" x14ac:dyDescent="0.25">
      <c r="A34" s="313">
        <f>'A) Base RI'!A36</f>
        <v>5436</v>
      </c>
      <c r="B34" s="33" t="str">
        <f>'A) Base RI'!B36</f>
        <v>Saint-Oyens</v>
      </c>
      <c r="C34" s="311">
        <f>'B) D RI'!U36</f>
        <v>11326.600185185187</v>
      </c>
      <c r="D34" s="33">
        <f>'B) D RI'!AA36</f>
        <v>366</v>
      </c>
      <c r="E34" s="211">
        <f t="shared" si="2"/>
        <v>30.946995041489583</v>
      </c>
      <c r="F34" s="409">
        <f t="shared" si="3"/>
        <v>0.68435182836874142</v>
      </c>
      <c r="G34" s="420">
        <f t="shared" si="4"/>
        <v>0</v>
      </c>
      <c r="H34" s="417">
        <f t="shared" si="5"/>
        <v>0</v>
      </c>
      <c r="I34" s="420">
        <f t="shared" si="6"/>
        <v>0</v>
      </c>
      <c r="J34" s="417">
        <f t="shared" si="7"/>
        <v>0</v>
      </c>
      <c r="K34" s="412">
        <f t="shared" si="8"/>
        <v>0</v>
      </c>
      <c r="L34" s="416">
        <f t="shared" si="9"/>
        <v>0</v>
      </c>
      <c r="M34" s="119">
        <f>L34*D34*'B) D RI'!S36</f>
        <v>0</v>
      </c>
    </row>
    <row r="35" spans="1:13" x14ac:dyDescent="0.25">
      <c r="A35" s="313">
        <f>'A) Base RI'!A37</f>
        <v>5437</v>
      </c>
      <c r="B35" s="33" t="str">
        <f>'A) Base RI'!B37</f>
        <v>Saubraz</v>
      </c>
      <c r="C35" s="311">
        <f>'B) D RI'!U37</f>
        <v>9913.9082500000004</v>
      </c>
      <c r="D35" s="33">
        <f>'B) D RI'!AA37</f>
        <v>420</v>
      </c>
      <c r="E35" s="211">
        <f t="shared" si="2"/>
        <v>23.604543452380952</v>
      </c>
      <c r="F35" s="409">
        <f t="shared" si="3"/>
        <v>0.52198323125684554</v>
      </c>
      <c r="G35" s="420">
        <f t="shared" si="4"/>
        <v>0</v>
      </c>
      <c r="H35" s="417">
        <f t="shared" si="5"/>
        <v>0</v>
      </c>
      <c r="I35" s="420">
        <f t="shared" si="6"/>
        <v>0</v>
      </c>
      <c r="J35" s="417">
        <f t="shared" si="7"/>
        <v>0</v>
      </c>
      <c r="K35" s="412">
        <f t="shared" si="8"/>
        <v>0</v>
      </c>
      <c r="L35" s="416">
        <f t="shared" si="9"/>
        <v>0</v>
      </c>
      <c r="M35" s="119">
        <f>L35*D35*'B) D RI'!S37</f>
        <v>0</v>
      </c>
    </row>
    <row r="36" spans="1:13" x14ac:dyDescent="0.25">
      <c r="A36" s="313">
        <f>'A) Base RI'!A38</f>
        <v>5451</v>
      </c>
      <c r="B36" s="33" t="str">
        <f>'A) Base RI'!B38</f>
        <v>Avenches</v>
      </c>
      <c r="C36" s="311">
        <f>'B) D RI'!U38</f>
        <v>95537.476225490187</v>
      </c>
      <c r="D36" s="33">
        <f>'B) D RI'!AA38</f>
        <v>4210</v>
      </c>
      <c r="E36" s="211">
        <f t="shared" si="2"/>
        <v>22.692987226957289</v>
      </c>
      <c r="F36" s="409">
        <f t="shared" si="3"/>
        <v>0.50182537203034383</v>
      </c>
      <c r="G36" s="420">
        <f t="shared" si="4"/>
        <v>0</v>
      </c>
      <c r="H36" s="417">
        <f t="shared" si="5"/>
        <v>0</v>
      </c>
      <c r="I36" s="420">
        <f t="shared" si="6"/>
        <v>0</v>
      </c>
      <c r="J36" s="417">
        <f t="shared" si="7"/>
        <v>0</v>
      </c>
      <c r="K36" s="412">
        <f t="shared" si="8"/>
        <v>0</v>
      </c>
      <c r="L36" s="416">
        <f t="shared" si="9"/>
        <v>0</v>
      </c>
      <c r="M36" s="119">
        <f>L36*D36*'B) D RI'!S38</f>
        <v>0</v>
      </c>
    </row>
    <row r="37" spans="1:13" x14ac:dyDescent="0.25">
      <c r="A37" s="313">
        <f>'A) Base RI'!A39</f>
        <v>5456</v>
      </c>
      <c r="B37" s="33" t="str">
        <f>'A) Base RI'!B39</f>
        <v>Cudrefin</v>
      </c>
      <c r="C37" s="311">
        <f>'B) D RI'!U39</f>
        <v>54725.941638418088</v>
      </c>
      <c r="D37" s="33">
        <f>'B) D RI'!AA39</f>
        <v>1589</v>
      </c>
      <c r="E37" s="211">
        <f t="shared" si="2"/>
        <v>34.440491905864121</v>
      </c>
      <c r="F37" s="409">
        <f t="shared" si="3"/>
        <v>0.76160588690754116</v>
      </c>
      <c r="G37" s="420">
        <f t="shared" si="4"/>
        <v>0</v>
      </c>
      <c r="H37" s="417">
        <f t="shared" si="5"/>
        <v>0</v>
      </c>
      <c r="I37" s="420">
        <f t="shared" si="6"/>
        <v>0</v>
      </c>
      <c r="J37" s="417">
        <f t="shared" si="7"/>
        <v>0</v>
      </c>
      <c r="K37" s="412">
        <f t="shared" si="8"/>
        <v>0</v>
      </c>
      <c r="L37" s="416">
        <f t="shared" si="9"/>
        <v>0</v>
      </c>
      <c r="M37" s="119">
        <f>L37*D37*'B) D RI'!S39</f>
        <v>0</v>
      </c>
    </row>
    <row r="38" spans="1:13" x14ac:dyDescent="0.25">
      <c r="A38" s="313">
        <f>'A) Base RI'!A40</f>
        <v>5458</v>
      </c>
      <c r="B38" s="33" t="str">
        <f>'A) Base RI'!B40</f>
        <v>Faoug</v>
      </c>
      <c r="C38" s="311">
        <f>'B) D RI'!U40</f>
        <v>34607.593906250004</v>
      </c>
      <c r="D38" s="33">
        <f>'B) D RI'!AA40</f>
        <v>893</v>
      </c>
      <c r="E38" s="211">
        <f t="shared" si="2"/>
        <v>38.754304486282201</v>
      </c>
      <c r="F38" s="409">
        <f t="shared" si="3"/>
        <v>0.85700014159014681</v>
      </c>
      <c r="G38" s="420">
        <f t="shared" si="4"/>
        <v>0</v>
      </c>
      <c r="H38" s="417">
        <f t="shared" si="5"/>
        <v>0</v>
      </c>
      <c r="I38" s="420">
        <f t="shared" si="6"/>
        <v>0</v>
      </c>
      <c r="J38" s="417">
        <f t="shared" si="7"/>
        <v>0</v>
      </c>
      <c r="K38" s="412">
        <f t="shared" si="8"/>
        <v>0</v>
      </c>
      <c r="L38" s="416">
        <f t="shared" si="9"/>
        <v>0</v>
      </c>
      <c r="M38" s="119">
        <f>L38*D38*'B) D RI'!S40</f>
        <v>0</v>
      </c>
    </row>
    <row r="39" spans="1:13" x14ac:dyDescent="0.25">
      <c r="A39" s="313">
        <f>'A) Base RI'!A41</f>
        <v>5464</v>
      </c>
      <c r="B39" s="33" t="str">
        <f>'A) Base RI'!B41</f>
        <v>Vully-les-Lacs</v>
      </c>
      <c r="C39" s="311">
        <f>'B) D RI'!U41</f>
        <v>98727.295671641783</v>
      </c>
      <c r="D39" s="33">
        <f>'B) D RI'!AA41</f>
        <v>3080</v>
      </c>
      <c r="E39" s="211">
        <f t="shared" si="2"/>
        <v>32.054316776507072</v>
      </c>
      <c r="F39" s="409">
        <f t="shared" si="3"/>
        <v>0.70883878268969291</v>
      </c>
      <c r="G39" s="420">
        <f t="shared" si="4"/>
        <v>0</v>
      </c>
      <c r="H39" s="417">
        <f t="shared" si="5"/>
        <v>0</v>
      </c>
      <c r="I39" s="420">
        <f t="shared" si="6"/>
        <v>0</v>
      </c>
      <c r="J39" s="417">
        <f t="shared" si="7"/>
        <v>0</v>
      </c>
      <c r="K39" s="412">
        <f t="shared" si="8"/>
        <v>0</v>
      </c>
      <c r="L39" s="416">
        <f t="shared" si="9"/>
        <v>0</v>
      </c>
      <c r="M39" s="119">
        <f>L39*D39*'B) D RI'!S41</f>
        <v>0</v>
      </c>
    </row>
    <row r="40" spans="1:13" x14ac:dyDescent="0.25">
      <c r="A40" s="313">
        <f>'A) Base RI'!A42</f>
        <v>5471</v>
      </c>
      <c r="B40" s="33" t="str">
        <f>'A) Base RI'!B42</f>
        <v>Bettens</v>
      </c>
      <c r="C40" s="311">
        <f>'B) D RI'!U42</f>
        <v>19145.941571428568</v>
      </c>
      <c r="D40" s="33">
        <f>'B) D RI'!AA42</f>
        <v>574</v>
      </c>
      <c r="E40" s="211">
        <f t="shared" si="2"/>
        <v>33.355298904927821</v>
      </c>
      <c r="F40" s="409">
        <f t="shared" si="3"/>
        <v>0.73760828024724778</v>
      </c>
      <c r="G40" s="420">
        <f t="shared" si="4"/>
        <v>0</v>
      </c>
      <c r="H40" s="417">
        <f t="shared" si="5"/>
        <v>0</v>
      </c>
      <c r="I40" s="420">
        <f t="shared" si="6"/>
        <v>0</v>
      </c>
      <c r="J40" s="417">
        <f t="shared" si="7"/>
        <v>0</v>
      </c>
      <c r="K40" s="412">
        <f t="shared" si="8"/>
        <v>0</v>
      </c>
      <c r="L40" s="416">
        <f t="shared" si="9"/>
        <v>0</v>
      </c>
      <c r="M40" s="119">
        <f>L40*D40*'B) D RI'!S42</f>
        <v>0</v>
      </c>
    </row>
    <row r="41" spans="1:13" x14ac:dyDescent="0.25">
      <c r="A41" s="313">
        <f>'A) Base RI'!A43</f>
        <v>5472</v>
      </c>
      <c r="B41" s="33" t="str">
        <f>'A) Base RI'!B43</f>
        <v>Bournens</v>
      </c>
      <c r="C41" s="311">
        <f>'B) D RI'!U43</f>
        <v>14770.012375000002</v>
      </c>
      <c r="D41" s="33">
        <f>'B) D RI'!AA43</f>
        <v>419</v>
      </c>
      <c r="E41" s="211">
        <f t="shared" si="2"/>
        <v>35.25062619331743</v>
      </c>
      <c r="F41" s="409">
        <f t="shared" si="3"/>
        <v>0.77952093423603275</v>
      </c>
      <c r="G41" s="420">
        <f t="shared" si="4"/>
        <v>0</v>
      </c>
      <c r="H41" s="417">
        <f t="shared" si="5"/>
        <v>0</v>
      </c>
      <c r="I41" s="420">
        <f t="shared" si="6"/>
        <v>0</v>
      </c>
      <c r="J41" s="417">
        <f t="shared" si="7"/>
        <v>0</v>
      </c>
      <c r="K41" s="412">
        <f t="shared" si="8"/>
        <v>0</v>
      </c>
      <c r="L41" s="416">
        <f t="shared" si="9"/>
        <v>0</v>
      </c>
      <c r="M41" s="119">
        <f>L41*D41*'B) D RI'!S43</f>
        <v>0</v>
      </c>
    </row>
    <row r="42" spans="1:13" x14ac:dyDescent="0.25">
      <c r="A42" s="313">
        <f>'A) Base RI'!A44</f>
        <v>5473</v>
      </c>
      <c r="B42" s="33" t="str">
        <f>'A) Base RI'!B44</f>
        <v>Boussens</v>
      </c>
      <c r="C42" s="311">
        <f>'B) D RI'!U44</f>
        <v>33002.569420289859</v>
      </c>
      <c r="D42" s="33">
        <f>'B) D RI'!AA44</f>
        <v>982</v>
      </c>
      <c r="E42" s="211">
        <f t="shared" si="2"/>
        <v>33.6075045013135</v>
      </c>
      <c r="F42" s="409">
        <f t="shared" si="3"/>
        <v>0.74318547314691286</v>
      </c>
      <c r="G42" s="420">
        <f t="shared" si="4"/>
        <v>0</v>
      </c>
      <c r="H42" s="417">
        <f t="shared" si="5"/>
        <v>0</v>
      </c>
      <c r="I42" s="420">
        <f t="shared" si="6"/>
        <v>0</v>
      </c>
      <c r="J42" s="417">
        <f t="shared" si="7"/>
        <v>0</v>
      </c>
      <c r="K42" s="412">
        <f t="shared" si="8"/>
        <v>0</v>
      </c>
      <c r="L42" s="416">
        <f t="shared" si="9"/>
        <v>0</v>
      </c>
      <c r="M42" s="119">
        <f>L42*D42*'B) D RI'!S44</f>
        <v>0</v>
      </c>
    </row>
    <row r="43" spans="1:13" x14ac:dyDescent="0.25">
      <c r="A43" s="313">
        <f>'A) Base RI'!A45</f>
        <v>5474</v>
      </c>
      <c r="B43" s="33" t="str">
        <f>'A) Base RI'!B45</f>
        <v>La Chaux (Cossonay)</v>
      </c>
      <c r="C43" s="311">
        <f>'B) D RI'!U45</f>
        <v>13388.045367965367</v>
      </c>
      <c r="D43" s="33">
        <f>'B) D RI'!AA45</f>
        <v>420</v>
      </c>
      <c r="E43" s="211">
        <f t="shared" si="2"/>
        <v>31.876298495155638</v>
      </c>
      <c r="F43" s="409">
        <f t="shared" si="3"/>
        <v>0.70490214405442031</v>
      </c>
      <c r="G43" s="420">
        <f t="shared" si="4"/>
        <v>0</v>
      </c>
      <c r="H43" s="417">
        <f t="shared" si="5"/>
        <v>0</v>
      </c>
      <c r="I43" s="420">
        <f t="shared" si="6"/>
        <v>0</v>
      </c>
      <c r="J43" s="417">
        <f t="shared" si="7"/>
        <v>0</v>
      </c>
      <c r="K43" s="412">
        <f t="shared" si="8"/>
        <v>0</v>
      </c>
      <c r="L43" s="416">
        <f t="shared" si="9"/>
        <v>0</v>
      </c>
      <c r="M43" s="119">
        <f>L43*D43*'B) D RI'!S45</f>
        <v>0</v>
      </c>
    </row>
    <row r="44" spans="1:13" x14ac:dyDescent="0.25">
      <c r="A44" s="313">
        <f>'A) Base RI'!A46</f>
        <v>5475</v>
      </c>
      <c r="B44" s="33" t="str">
        <f>'A) Base RI'!B46</f>
        <v>Chavannes-le-Veyron</v>
      </c>
      <c r="C44" s="311">
        <f>'B) D RI'!U46</f>
        <v>3775.6794805194804</v>
      </c>
      <c r="D44" s="33">
        <f>'B) D RI'!AA46</f>
        <v>141</v>
      </c>
      <c r="E44" s="211">
        <f t="shared" si="2"/>
        <v>26.777868656166529</v>
      </c>
      <c r="F44" s="409">
        <f t="shared" si="3"/>
        <v>0.59215711735815468</v>
      </c>
      <c r="G44" s="420">
        <f t="shared" si="4"/>
        <v>0</v>
      </c>
      <c r="H44" s="417">
        <f t="shared" si="5"/>
        <v>0</v>
      </c>
      <c r="I44" s="420">
        <f t="shared" si="6"/>
        <v>0</v>
      </c>
      <c r="J44" s="417">
        <f t="shared" si="7"/>
        <v>0</v>
      </c>
      <c r="K44" s="412">
        <f t="shared" si="8"/>
        <v>0</v>
      </c>
      <c r="L44" s="416">
        <f t="shared" si="9"/>
        <v>0</v>
      </c>
      <c r="M44" s="119">
        <f>L44*D44*'B) D RI'!S46</f>
        <v>0</v>
      </c>
    </row>
    <row r="45" spans="1:13" x14ac:dyDescent="0.25">
      <c r="A45" s="313">
        <f>'A) Base RI'!A47</f>
        <v>5476</v>
      </c>
      <c r="B45" s="33" t="str">
        <f>'A) Base RI'!B47</f>
        <v>Chevilly</v>
      </c>
      <c r="C45" s="311">
        <f>'B) D RI'!U47</f>
        <v>10077.570765765768</v>
      </c>
      <c r="D45" s="33">
        <f>'B) D RI'!AA47</f>
        <v>298</v>
      </c>
      <c r="E45" s="211">
        <f t="shared" si="2"/>
        <v>33.817351562972377</v>
      </c>
      <c r="F45" s="409">
        <f t="shared" si="3"/>
        <v>0.74782596312442207</v>
      </c>
      <c r="G45" s="420">
        <f t="shared" si="4"/>
        <v>0</v>
      </c>
      <c r="H45" s="417">
        <f t="shared" si="5"/>
        <v>0</v>
      </c>
      <c r="I45" s="420">
        <f t="shared" si="6"/>
        <v>0</v>
      </c>
      <c r="J45" s="417">
        <f t="shared" si="7"/>
        <v>0</v>
      </c>
      <c r="K45" s="412">
        <f t="shared" si="8"/>
        <v>0</v>
      </c>
      <c r="L45" s="416">
        <f t="shared" si="9"/>
        <v>0</v>
      </c>
      <c r="M45" s="119">
        <f>L45*D45*'B) D RI'!S47</f>
        <v>0</v>
      </c>
    </row>
    <row r="46" spans="1:13" x14ac:dyDescent="0.25">
      <c r="A46" s="313">
        <f>'A) Base RI'!A48</f>
        <v>5477</v>
      </c>
      <c r="B46" s="33" t="str">
        <f>'A) Base RI'!B48</f>
        <v>Cossonay</v>
      </c>
      <c r="C46" s="311">
        <f>'B) D RI'!U48</f>
        <v>123540.83633802818</v>
      </c>
      <c r="D46" s="33">
        <f>'B) D RI'!AA48</f>
        <v>3808</v>
      </c>
      <c r="E46" s="211">
        <f t="shared" si="2"/>
        <v>32.442446517339334</v>
      </c>
      <c r="F46" s="409">
        <f t="shared" si="3"/>
        <v>0.71742175811030284</v>
      </c>
      <c r="G46" s="420">
        <f t="shared" si="4"/>
        <v>0</v>
      </c>
      <c r="H46" s="417">
        <f t="shared" si="5"/>
        <v>0</v>
      </c>
      <c r="I46" s="420">
        <f t="shared" si="6"/>
        <v>0</v>
      </c>
      <c r="J46" s="417">
        <f t="shared" si="7"/>
        <v>0</v>
      </c>
      <c r="K46" s="412">
        <f t="shared" si="8"/>
        <v>0</v>
      </c>
      <c r="L46" s="416">
        <f t="shared" si="9"/>
        <v>0</v>
      </c>
      <c r="M46" s="119">
        <f>L46*D46*'B) D RI'!S48</f>
        <v>0</v>
      </c>
    </row>
    <row r="47" spans="1:13" x14ac:dyDescent="0.25">
      <c r="A47" s="313">
        <f>'A) Base RI'!A49</f>
        <v>5478</v>
      </c>
      <c r="B47" s="33" t="str">
        <f>'A) Base RI'!B49</f>
        <v>Cottens</v>
      </c>
      <c r="C47" s="311">
        <f>'B) D RI'!U49</f>
        <v>16872.928378378379</v>
      </c>
      <c r="D47" s="33">
        <f>'B) D RI'!AA49</f>
        <v>477</v>
      </c>
      <c r="E47" s="211">
        <f t="shared" si="2"/>
        <v>35.37301546829849</v>
      </c>
      <c r="F47" s="409">
        <f t="shared" si="3"/>
        <v>0.78222741103591986</v>
      </c>
      <c r="G47" s="420">
        <f t="shared" si="4"/>
        <v>0</v>
      </c>
      <c r="H47" s="417">
        <f t="shared" si="5"/>
        <v>0</v>
      </c>
      <c r="I47" s="420">
        <f t="shared" si="6"/>
        <v>0</v>
      </c>
      <c r="J47" s="417">
        <f t="shared" si="7"/>
        <v>0</v>
      </c>
      <c r="K47" s="412">
        <f t="shared" si="8"/>
        <v>0</v>
      </c>
      <c r="L47" s="416">
        <f t="shared" si="9"/>
        <v>0</v>
      </c>
      <c r="M47" s="119">
        <f>L47*D47*'B) D RI'!S49</f>
        <v>0</v>
      </c>
    </row>
    <row r="48" spans="1:13" x14ac:dyDescent="0.25">
      <c r="A48" s="313">
        <f>'A) Base RI'!A50</f>
        <v>5479</v>
      </c>
      <c r="B48" s="33" t="str">
        <f>'A) Base RI'!B50</f>
        <v>Cuarnens</v>
      </c>
      <c r="C48" s="311">
        <f>'B) D RI'!U50</f>
        <v>15098.323116883119</v>
      </c>
      <c r="D48" s="33">
        <f>'B) D RI'!AA50</f>
        <v>479</v>
      </c>
      <c r="E48" s="211">
        <f t="shared" si="2"/>
        <v>31.520507550904213</v>
      </c>
      <c r="F48" s="409">
        <f t="shared" si="3"/>
        <v>0.69703429831078456</v>
      </c>
      <c r="G48" s="420">
        <f t="shared" si="4"/>
        <v>0</v>
      </c>
      <c r="H48" s="417">
        <f t="shared" si="5"/>
        <v>0</v>
      </c>
      <c r="I48" s="420">
        <f t="shared" si="6"/>
        <v>0</v>
      </c>
      <c r="J48" s="417">
        <f t="shared" si="7"/>
        <v>0</v>
      </c>
      <c r="K48" s="412">
        <f t="shared" si="8"/>
        <v>0</v>
      </c>
      <c r="L48" s="416">
        <f t="shared" si="9"/>
        <v>0</v>
      </c>
      <c r="M48" s="119">
        <f>L48*D48*'B) D RI'!S50</f>
        <v>0</v>
      </c>
    </row>
    <row r="49" spans="1:13" x14ac:dyDescent="0.25">
      <c r="A49" s="313">
        <f>'A) Base RI'!A51</f>
        <v>5480</v>
      </c>
      <c r="B49" s="33" t="str">
        <f>'A) Base RI'!B51</f>
        <v>Daillens</v>
      </c>
      <c r="C49" s="311">
        <f>'B) D RI'!U51</f>
        <v>41105.758873239436</v>
      </c>
      <c r="D49" s="33">
        <f>'B) D RI'!AA51</f>
        <v>998</v>
      </c>
      <c r="E49" s="211">
        <f t="shared" si="2"/>
        <v>41.188135143526488</v>
      </c>
      <c r="F49" s="409">
        <f t="shared" si="3"/>
        <v>0.9108210847218472</v>
      </c>
      <c r="G49" s="420">
        <f t="shared" si="4"/>
        <v>0</v>
      </c>
      <c r="H49" s="417">
        <f t="shared" si="5"/>
        <v>0</v>
      </c>
      <c r="I49" s="420">
        <f t="shared" si="6"/>
        <v>0</v>
      </c>
      <c r="J49" s="417">
        <f t="shared" si="7"/>
        <v>0</v>
      </c>
      <c r="K49" s="412">
        <f t="shared" si="8"/>
        <v>0</v>
      </c>
      <c r="L49" s="416">
        <f t="shared" si="9"/>
        <v>0</v>
      </c>
      <c r="M49" s="119">
        <f>L49*D49*'B) D RI'!S51</f>
        <v>0</v>
      </c>
    </row>
    <row r="50" spans="1:13" x14ac:dyDescent="0.25">
      <c r="A50" s="313">
        <f>'A) Base RI'!A52</f>
        <v>5481</v>
      </c>
      <c r="B50" s="33" t="str">
        <f>'A) Base RI'!B52</f>
        <v>Dizy</v>
      </c>
      <c r="C50" s="311">
        <f>'B) D RI'!U52</f>
        <v>8417.6035443037963</v>
      </c>
      <c r="D50" s="33">
        <f>'B) D RI'!AA52</f>
        <v>229</v>
      </c>
      <c r="E50" s="211">
        <f t="shared" si="2"/>
        <v>36.758094079929243</v>
      </c>
      <c r="F50" s="409">
        <f t="shared" si="3"/>
        <v>0.81285659099452812</v>
      </c>
      <c r="G50" s="420">
        <f t="shared" si="4"/>
        <v>0</v>
      </c>
      <c r="H50" s="417">
        <f t="shared" si="5"/>
        <v>0</v>
      </c>
      <c r="I50" s="420">
        <f t="shared" si="6"/>
        <v>0</v>
      </c>
      <c r="J50" s="417">
        <f t="shared" si="7"/>
        <v>0</v>
      </c>
      <c r="K50" s="412">
        <f t="shared" si="8"/>
        <v>0</v>
      </c>
      <c r="L50" s="416">
        <f t="shared" si="9"/>
        <v>0</v>
      </c>
      <c r="M50" s="119">
        <f>L50*D50*'B) D RI'!S52</f>
        <v>0</v>
      </c>
    </row>
    <row r="51" spans="1:13" x14ac:dyDescent="0.25">
      <c r="A51" s="313">
        <f>'A) Base RI'!A53</f>
        <v>5482</v>
      </c>
      <c r="B51" s="33" t="str">
        <f>'A) Base RI'!B53</f>
        <v>Eclépens</v>
      </c>
      <c r="C51" s="311">
        <f>'B) D RI'!U53</f>
        <v>48921.463913043473</v>
      </c>
      <c r="D51" s="33">
        <f>'B) D RI'!AA53</f>
        <v>1091</v>
      </c>
      <c r="E51" s="211">
        <f t="shared" si="2"/>
        <v>44.840938508747456</v>
      </c>
      <c r="F51" s="409">
        <f t="shared" si="3"/>
        <v>0.99159799564030826</v>
      </c>
      <c r="G51" s="420">
        <f t="shared" si="4"/>
        <v>0</v>
      </c>
      <c r="H51" s="417">
        <f t="shared" si="5"/>
        <v>0</v>
      </c>
      <c r="I51" s="420">
        <f t="shared" si="6"/>
        <v>0</v>
      </c>
      <c r="J51" s="417">
        <f t="shared" si="7"/>
        <v>0</v>
      </c>
      <c r="K51" s="412">
        <f t="shared" si="8"/>
        <v>0</v>
      </c>
      <c r="L51" s="416">
        <f t="shared" si="9"/>
        <v>0</v>
      </c>
      <c r="M51" s="119">
        <f>L51*D51*'B) D RI'!S53</f>
        <v>0</v>
      </c>
    </row>
    <row r="52" spans="1:13" x14ac:dyDescent="0.25">
      <c r="A52" s="313">
        <f>'A) Base RI'!A54</f>
        <v>5483</v>
      </c>
      <c r="B52" s="33" t="str">
        <f>'A) Base RI'!B54</f>
        <v>Ferreyres</v>
      </c>
      <c r="C52" s="311">
        <f>'B) D RI'!U54</f>
        <v>12338.918289473684</v>
      </c>
      <c r="D52" s="33">
        <f>'B) D RI'!AA54</f>
        <v>322</v>
      </c>
      <c r="E52" s="211">
        <f t="shared" si="2"/>
        <v>38.31962201699902</v>
      </c>
      <c r="F52" s="409">
        <f t="shared" si="3"/>
        <v>0.84738771420535652</v>
      </c>
      <c r="G52" s="420">
        <f t="shared" si="4"/>
        <v>0</v>
      </c>
      <c r="H52" s="417">
        <f t="shared" si="5"/>
        <v>0</v>
      </c>
      <c r="I52" s="420">
        <f t="shared" si="6"/>
        <v>0</v>
      </c>
      <c r="J52" s="417">
        <f t="shared" si="7"/>
        <v>0</v>
      </c>
      <c r="K52" s="412">
        <f t="shared" si="8"/>
        <v>0</v>
      </c>
      <c r="L52" s="416">
        <f t="shared" si="9"/>
        <v>0</v>
      </c>
      <c r="M52" s="119">
        <f>L52*D52*'B) D RI'!S54</f>
        <v>0</v>
      </c>
    </row>
    <row r="53" spans="1:13" x14ac:dyDescent="0.25">
      <c r="A53" s="313">
        <f>'A) Base RI'!A55</f>
        <v>5484</v>
      </c>
      <c r="B53" s="33" t="str">
        <f>'A) Base RI'!B55</f>
        <v>Gollion</v>
      </c>
      <c r="C53" s="311">
        <f>'B) D RI'!U55</f>
        <v>33965.841756756759</v>
      </c>
      <c r="D53" s="33">
        <f>'B) D RI'!AA55</f>
        <v>918</v>
      </c>
      <c r="E53" s="211">
        <f t="shared" si="2"/>
        <v>36.999827621739392</v>
      </c>
      <c r="F53" s="409">
        <f t="shared" si="3"/>
        <v>0.81820220826993861</v>
      </c>
      <c r="G53" s="420">
        <f t="shared" si="4"/>
        <v>0</v>
      </c>
      <c r="H53" s="417">
        <f t="shared" si="5"/>
        <v>0</v>
      </c>
      <c r="I53" s="420">
        <f t="shared" si="6"/>
        <v>0</v>
      </c>
      <c r="J53" s="417">
        <f t="shared" si="7"/>
        <v>0</v>
      </c>
      <c r="K53" s="412">
        <f t="shared" si="8"/>
        <v>0</v>
      </c>
      <c r="L53" s="416">
        <f t="shared" si="9"/>
        <v>0</v>
      </c>
      <c r="M53" s="119">
        <f>L53*D53*'B) D RI'!S55</f>
        <v>0</v>
      </c>
    </row>
    <row r="54" spans="1:13" x14ac:dyDescent="0.25">
      <c r="A54" s="313">
        <f>'A) Base RI'!A56</f>
        <v>5485</v>
      </c>
      <c r="B54" s="33" t="str">
        <f>'A) Base RI'!B56</f>
        <v>Grancy</v>
      </c>
      <c r="C54" s="311">
        <f>'B) D RI'!U56</f>
        <v>17740.37528571429</v>
      </c>
      <c r="D54" s="33">
        <f>'B) D RI'!AA56</f>
        <v>403</v>
      </c>
      <c r="E54" s="211">
        <f t="shared" si="2"/>
        <v>44.020782346685586</v>
      </c>
      <c r="F54" s="409">
        <f t="shared" si="3"/>
        <v>0.97346132782159278</v>
      </c>
      <c r="G54" s="420">
        <f t="shared" si="4"/>
        <v>0</v>
      </c>
      <c r="H54" s="417">
        <f t="shared" si="5"/>
        <v>0</v>
      </c>
      <c r="I54" s="420">
        <f t="shared" si="6"/>
        <v>0</v>
      </c>
      <c r="J54" s="417">
        <f t="shared" si="7"/>
        <v>0</v>
      </c>
      <c r="K54" s="412">
        <f t="shared" si="8"/>
        <v>0</v>
      </c>
      <c r="L54" s="416">
        <f t="shared" si="9"/>
        <v>0</v>
      </c>
      <c r="M54" s="119">
        <f>L54*D54*'B) D RI'!S56</f>
        <v>0</v>
      </c>
    </row>
    <row r="55" spans="1:13" x14ac:dyDescent="0.25">
      <c r="A55" s="313">
        <f>'A) Base RI'!A57</f>
        <v>5486</v>
      </c>
      <c r="B55" s="33" t="str">
        <f>'A) Base RI'!B57</f>
        <v>L'Isle</v>
      </c>
      <c r="C55" s="311">
        <f>'B) D RI'!U57</f>
        <v>25696.695921052633</v>
      </c>
      <c r="D55" s="33">
        <f>'B) D RI'!AA57</f>
        <v>1005</v>
      </c>
      <c r="E55" s="211">
        <f t="shared" si="2"/>
        <v>25.56885166273894</v>
      </c>
      <c r="F55" s="409">
        <f t="shared" si="3"/>
        <v>0.5654213070194839</v>
      </c>
      <c r="G55" s="420">
        <f t="shared" si="4"/>
        <v>0</v>
      </c>
      <c r="H55" s="417">
        <f t="shared" si="5"/>
        <v>0</v>
      </c>
      <c r="I55" s="420">
        <f t="shared" si="6"/>
        <v>0</v>
      </c>
      <c r="J55" s="417">
        <f t="shared" si="7"/>
        <v>0</v>
      </c>
      <c r="K55" s="412">
        <f t="shared" si="8"/>
        <v>0</v>
      </c>
      <c r="L55" s="416">
        <f t="shared" si="9"/>
        <v>0</v>
      </c>
      <c r="M55" s="119">
        <f>L55*D55*'B) D RI'!S57</f>
        <v>0</v>
      </c>
    </row>
    <row r="56" spans="1:13" x14ac:dyDescent="0.25">
      <c r="A56" s="313">
        <f>'A) Base RI'!A58</f>
        <v>5487</v>
      </c>
      <c r="B56" s="33" t="str">
        <f>'A) Base RI'!B58</f>
        <v>Lussery-Villars</v>
      </c>
      <c r="C56" s="311">
        <f>'B) D RI'!U58</f>
        <v>14347.116805555555</v>
      </c>
      <c r="D56" s="33">
        <f>'B) D RI'!AA58</f>
        <v>459</v>
      </c>
      <c r="E56" s="211">
        <f t="shared" si="2"/>
        <v>31.257335088356331</v>
      </c>
      <c r="F56" s="409">
        <f t="shared" si="3"/>
        <v>0.69121458768364641</v>
      </c>
      <c r="G56" s="420">
        <f t="shared" si="4"/>
        <v>0</v>
      </c>
      <c r="H56" s="417">
        <f t="shared" si="5"/>
        <v>0</v>
      </c>
      <c r="I56" s="420">
        <f t="shared" si="6"/>
        <v>0</v>
      </c>
      <c r="J56" s="417">
        <f t="shared" si="7"/>
        <v>0</v>
      </c>
      <c r="K56" s="412">
        <f t="shared" si="8"/>
        <v>0</v>
      </c>
      <c r="L56" s="416">
        <f t="shared" si="9"/>
        <v>0</v>
      </c>
      <c r="M56" s="119">
        <f>L56*D56*'B) D RI'!S58</f>
        <v>0</v>
      </c>
    </row>
    <row r="57" spans="1:13" x14ac:dyDescent="0.25">
      <c r="A57" s="313">
        <f>'A) Base RI'!A59</f>
        <v>5488</v>
      </c>
      <c r="B57" s="33" t="str">
        <f>'A) Base RI'!B59</f>
        <v>Mauraz</v>
      </c>
      <c r="C57" s="311">
        <f>'B) D RI'!U59</f>
        <v>1636.236081081081</v>
      </c>
      <c r="D57" s="33">
        <f>'B) D RI'!AA59</f>
        <v>60</v>
      </c>
      <c r="E57" s="211">
        <f t="shared" si="2"/>
        <v>27.270601351351349</v>
      </c>
      <c r="F57" s="409">
        <f t="shared" si="3"/>
        <v>0.60305324864310539</v>
      </c>
      <c r="G57" s="420">
        <f t="shared" si="4"/>
        <v>0</v>
      </c>
      <c r="H57" s="417">
        <f t="shared" si="5"/>
        <v>0</v>
      </c>
      <c r="I57" s="420">
        <f t="shared" si="6"/>
        <v>0</v>
      </c>
      <c r="J57" s="417">
        <f t="shared" si="7"/>
        <v>0</v>
      </c>
      <c r="K57" s="412">
        <f t="shared" si="8"/>
        <v>0</v>
      </c>
      <c r="L57" s="416">
        <f t="shared" si="9"/>
        <v>0</v>
      </c>
      <c r="M57" s="119">
        <f>L57*D57*'B) D RI'!S59</f>
        <v>0</v>
      </c>
    </row>
    <row r="58" spans="1:13" x14ac:dyDescent="0.25">
      <c r="A58" s="313">
        <f>'A) Base RI'!A60</f>
        <v>5489</v>
      </c>
      <c r="B58" s="33" t="str">
        <f>'A) Base RI'!B60</f>
        <v>Mex</v>
      </c>
      <c r="C58" s="311">
        <f>'B) D RI'!U60</f>
        <v>52928.292459016397</v>
      </c>
      <c r="D58" s="33">
        <f>'B) D RI'!AA60</f>
        <v>718</v>
      </c>
      <c r="E58" s="211">
        <f t="shared" si="2"/>
        <v>73.716284761861274</v>
      </c>
      <c r="F58" s="409">
        <f t="shared" si="3"/>
        <v>1.6301380534587222</v>
      </c>
      <c r="G58" s="420">
        <f t="shared" si="4"/>
        <v>28.495400183739321</v>
      </c>
      <c r="H58" s="417">
        <f t="shared" si="5"/>
        <v>19.45122326811493</v>
      </c>
      <c r="I58" s="420">
        <f t="shared" si="6"/>
        <v>5.884957894678351</v>
      </c>
      <c r="J58" s="417">
        <f t="shared" si="7"/>
        <v>0</v>
      </c>
      <c r="K58" s="412">
        <f t="shared" si="8"/>
        <v>0</v>
      </c>
      <c r="L58" s="416">
        <f t="shared" si="9"/>
        <v>8.2326981530271919</v>
      </c>
      <c r="M58" s="119">
        <f>L58*D58*'B) D RI'!S60</f>
        <v>360575.71370628499</v>
      </c>
    </row>
    <row r="59" spans="1:13" x14ac:dyDescent="0.25">
      <c r="A59" s="313">
        <f>'A) Base RI'!A61</f>
        <v>5490</v>
      </c>
      <c r="B59" s="33" t="str">
        <f>'A) Base RI'!B61</f>
        <v>Moiry</v>
      </c>
      <c r="C59" s="311">
        <f>'B) D RI'!U61</f>
        <v>8175.9358024691346</v>
      </c>
      <c r="D59" s="33">
        <f>'B) D RI'!AA61</f>
        <v>316</v>
      </c>
      <c r="E59" s="211">
        <f t="shared" si="2"/>
        <v>25.873214564775743</v>
      </c>
      <c r="F59" s="409">
        <f t="shared" si="3"/>
        <v>0.57215188968889186</v>
      </c>
      <c r="G59" s="420">
        <f t="shared" si="4"/>
        <v>0</v>
      </c>
      <c r="H59" s="417">
        <f t="shared" si="5"/>
        <v>0</v>
      </c>
      <c r="I59" s="420">
        <f t="shared" si="6"/>
        <v>0</v>
      </c>
      <c r="J59" s="417">
        <f t="shared" si="7"/>
        <v>0</v>
      </c>
      <c r="K59" s="412">
        <f t="shared" si="8"/>
        <v>0</v>
      </c>
      <c r="L59" s="416">
        <f t="shared" si="9"/>
        <v>0</v>
      </c>
      <c r="M59" s="119">
        <f>L59*D59*'B) D RI'!S61</f>
        <v>0</v>
      </c>
    </row>
    <row r="60" spans="1:13" x14ac:dyDescent="0.25">
      <c r="A60" s="313">
        <f>'A) Base RI'!A62</f>
        <v>5491</v>
      </c>
      <c r="B60" s="33" t="str">
        <f>'A) Base RI'!B62</f>
        <v>Mont-la-Ville</v>
      </c>
      <c r="C60" s="311">
        <f>'B) D RI'!U62</f>
        <v>10544.805394736843</v>
      </c>
      <c r="D60" s="33">
        <f>'B) D RI'!AA62</f>
        <v>417</v>
      </c>
      <c r="E60" s="211">
        <f t="shared" si="2"/>
        <v>25.287303104884515</v>
      </c>
      <c r="F60" s="409">
        <f t="shared" si="3"/>
        <v>0.55919523337052579</v>
      </c>
      <c r="G60" s="420">
        <f t="shared" si="4"/>
        <v>0</v>
      </c>
      <c r="H60" s="417">
        <f t="shared" si="5"/>
        <v>0</v>
      </c>
      <c r="I60" s="420">
        <f t="shared" si="6"/>
        <v>0</v>
      </c>
      <c r="J60" s="417">
        <f t="shared" si="7"/>
        <v>0</v>
      </c>
      <c r="K60" s="412">
        <f t="shared" si="8"/>
        <v>0</v>
      </c>
      <c r="L60" s="416">
        <f t="shared" si="9"/>
        <v>0</v>
      </c>
      <c r="M60" s="119">
        <f>L60*D60*'B) D RI'!S62</f>
        <v>0</v>
      </c>
    </row>
    <row r="61" spans="1:13" x14ac:dyDescent="0.25">
      <c r="A61" s="313">
        <f>'A) Base RI'!A63</f>
        <v>5492</v>
      </c>
      <c r="B61" s="33" t="str">
        <f>'A) Base RI'!B63</f>
        <v>Montricher</v>
      </c>
      <c r="C61" s="311">
        <f>'B) D RI'!U63</f>
        <v>222873.70244791667</v>
      </c>
      <c r="D61" s="33">
        <f>'B) D RI'!AA63</f>
        <v>986</v>
      </c>
      <c r="E61" s="211">
        <f t="shared" si="2"/>
        <v>226.03823777679176</v>
      </c>
      <c r="F61" s="409">
        <f t="shared" si="3"/>
        <v>4.998536403822361</v>
      </c>
      <c r="G61" s="420">
        <f t="shared" si="4"/>
        <v>180.81735319866982</v>
      </c>
      <c r="H61" s="417">
        <f t="shared" si="5"/>
        <v>171.77317628304542</v>
      </c>
      <c r="I61" s="420">
        <f t="shared" si="6"/>
        <v>158.20691090960884</v>
      </c>
      <c r="J61" s="417">
        <f t="shared" si="7"/>
        <v>135.59646862054785</v>
      </c>
      <c r="K61" s="412">
        <f t="shared" si="8"/>
        <v>90.375584042425913</v>
      </c>
      <c r="L61" s="416">
        <f t="shared" si="9"/>
        <v>91.758684625296766</v>
      </c>
      <c r="M61" s="119">
        <f>L61*D61*'B) D RI'!S63</f>
        <v>5790340.0345947267</v>
      </c>
    </row>
    <row r="62" spans="1:13" x14ac:dyDescent="0.25">
      <c r="A62" s="313">
        <f>'A) Base RI'!A64</f>
        <v>5493</v>
      </c>
      <c r="B62" s="33" t="str">
        <f>'A) Base RI'!B64</f>
        <v>Orny</v>
      </c>
      <c r="C62" s="311">
        <f>'B) D RI'!U64</f>
        <v>9896.3592518440455</v>
      </c>
      <c r="D62" s="33">
        <f>'B) D RI'!AA64</f>
        <v>356</v>
      </c>
      <c r="E62" s="211">
        <f t="shared" si="2"/>
        <v>27.79876194338215</v>
      </c>
      <c r="F62" s="409">
        <f t="shared" si="3"/>
        <v>0.61473282096810866</v>
      </c>
      <c r="G62" s="420">
        <f t="shared" si="4"/>
        <v>0</v>
      </c>
      <c r="H62" s="417">
        <f t="shared" si="5"/>
        <v>0</v>
      </c>
      <c r="I62" s="420">
        <f t="shared" si="6"/>
        <v>0</v>
      </c>
      <c r="J62" s="417">
        <f t="shared" si="7"/>
        <v>0</v>
      </c>
      <c r="K62" s="412">
        <f t="shared" si="8"/>
        <v>0</v>
      </c>
      <c r="L62" s="416">
        <f t="shared" si="9"/>
        <v>0</v>
      </c>
      <c r="M62" s="119">
        <f>L62*D62*'B) D RI'!S64</f>
        <v>0</v>
      </c>
    </row>
    <row r="63" spans="1:13" x14ac:dyDescent="0.25">
      <c r="A63" s="313">
        <f>'A) Base RI'!A65</f>
        <v>5494</v>
      </c>
      <c r="B63" s="33" t="str">
        <f>'A) Base RI'!B65</f>
        <v>Pampigny</v>
      </c>
      <c r="C63" s="311">
        <f>'B) D RI'!U65</f>
        <v>36998.378139682543</v>
      </c>
      <c r="D63" s="33">
        <f>'B) D RI'!AA65</f>
        <v>1124</v>
      </c>
      <c r="E63" s="211">
        <f t="shared" si="2"/>
        <v>32.916706529966675</v>
      </c>
      <c r="F63" s="409">
        <f t="shared" si="3"/>
        <v>0.72790939047423919</v>
      </c>
      <c r="G63" s="420">
        <f t="shared" si="4"/>
        <v>0</v>
      </c>
      <c r="H63" s="417">
        <f t="shared" si="5"/>
        <v>0</v>
      </c>
      <c r="I63" s="420">
        <f t="shared" si="6"/>
        <v>0</v>
      </c>
      <c r="J63" s="417">
        <f t="shared" si="7"/>
        <v>0</v>
      </c>
      <c r="K63" s="412">
        <f t="shared" si="8"/>
        <v>0</v>
      </c>
      <c r="L63" s="416">
        <f t="shared" si="9"/>
        <v>0</v>
      </c>
      <c r="M63" s="119">
        <f>L63*D63*'B) D RI'!S65</f>
        <v>0</v>
      </c>
    </row>
    <row r="64" spans="1:13" x14ac:dyDescent="0.25">
      <c r="A64" s="313">
        <f>'A) Base RI'!A66</f>
        <v>5495</v>
      </c>
      <c r="B64" s="33" t="str">
        <f>'A) Base RI'!B66</f>
        <v>Penthalaz</v>
      </c>
      <c r="C64" s="311">
        <f>'B) D RI'!U66</f>
        <v>92865.132567567576</v>
      </c>
      <c r="D64" s="33">
        <f>'B) D RI'!AA66</f>
        <v>3282</v>
      </c>
      <c r="E64" s="211">
        <f t="shared" si="2"/>
        <v>28.295287193043137</v>
      </c>
      <c r="F64" s="409">
        <f t="shared" si="3"/>
        <v>0.62571281957479685</v>
      </c>
      <c r="G64" s="420">
        <f t="shared" si="4"/>
        <v>0</v>
      </c>
      <c r="H64" s="417">
        <f t="shared" si="5"/>
        <v>0</v>
      </c>
      <c r="I64" s="420">
        <f t="shared" si="6"/>
        <v>0</v>
      </c>
      <c r="J64" s="417">
        <f t="shared" si="7"/>
        <v>0</v>
      </c>
      <c r="K64" s="412">
        <f t="shared" si="8"/>
        <v>0</v>
      </c>
      <c r="L64" s="416">
        <f t="shared" si="9"/>
        <v>0</v>
      </c>
      <c r="M64" s="119">
        <f>L64*D64*'B) D RI'!S66</f>
        <v>0</v>
      </c>
    </row>
    <row r="65" spans="1:13" x14ac:dyDescent="0.25">
      <c r="A65" s="313">
        <f>'A) Base RI'!A67</f>
        <v>5496</v>
      </c>
      <c r="B65" s="33" t="str">
        <f>'A) Base RI'!B67</f>
        <v>Penthaz</v>
      </c>
      <c r="C65" s="311">
        <f>'B) D RI'!U67</f>
        <v>54824.850845070439</v>
      </c>
      <c r="D65" s="33">
        <f>'B) D RI'!AA67</f>
        <v>1726</v>
      </c>
      <c r="E65" s="211">
        <f t="shared" si="2"/>
        <v>31.76410825322737</v>
      </c>
      <c r="F65" s="409">
        <f t="shared" si="3"/>
        <v>0.70242120536923269</v>
      </c>
      <c r="G65" s="420">
        <f t="shared" si="4"/>
        <v>0</v>
      </c>
      <c r="H65" s="417">
        <f t="shared" si="5"/>
        <v>0</v>
      </c>
      <c r="I65" s="420">
        <f t="shared" si="6"/>
        <v>0</v>
      </c>
      <c r="J65" s="417">
        <f t="shared" si="7"/>
        <v>0</v>
      </c>
      <c r="K65" s="412">
        <f t="shared" si="8"/>
        <v>0</v>
      </c>
      <c r="L65" s="416">
        <f t="shared" si="9"/>
        <v>0</v>
      </c>
      <c r="M65" s="119">
        <f>L65*D65*'B) D RI'!S67</f>
        <v>0</v>
      </c>
    </row>
    <row r="66" spans="1:13" x14ac:dyDescent="0.25">
      <c r="A66" s="313">
        <f>'A) Base RI'!A68</f>
        <v>5497</v>
      </c>
      <c r="B66" s="33" t="str">
        <f>'A) Base RI'!B68</f>
        <v>Pompaples</v>
      </c>
      <c r="C66" s="311">
        <f>'B) D RI'!U68</f>
        <v>21718.90772727273</v>
      </c>
      <c r="D66" s="33">
        <f>'B) D RI'!AA68</f>
        <v>854</v>
      </c>
      <c r="E66" s="211">
        <f t="shared" si="2"/>
        <v>25.431976261443477</v>
      </c>
      <c r="F66" s="409">
        <f t="shared" si="3"/>
        <v>0.56239448871257969</v>
      </c>
      <c r="G66" s="420">
        <f t="shared" si="4"/>
        <v>0</v>
      </c>
      <c r="H66" s="417">
        <f t="shared" si="5"/>
        <v>0</v>
      </c>
      <c r="I66" s="420">
        <f t="shared" si="6"/>
        <v>0</v>
      </c>
      <c r="J66" s="417">
        <f t="shared" si="7"/>
        <v>0</v>
      </c>
      <c r="K66" s="412">
        <f t="shared" si="8"/>
        <v>0</v>
      </c>
      <c r="L66" s="416">
        <f t="shared" si="9"/>
        <v>0</v>
      </c>
      <c r="M66" s="119">
        <f>L66*D66*'B) D RI'!S68</f>
        <v>0</v>
      </c>
    </row>
    <row r="67" spans="1:13" x14ac:dyDescent="0.25">
      <c r="A67" s="313">
        <f>'A) Base RI'!A69</f>
        <v>5498</v>
      </c>
      <c r="B67" s="33" t="str">
        <f>'A) Base RI'!B69</f>
        <v>La Sarraz</v>
      </c>
      <c r="C67" s="311">
        <f>'B) D RI'!U69</f>
        <v>70914.560303030303</v>
      </c>
      <c r="D67" s="33">
        <f>'B) D RI'!AA69</f>
        <v>2609</v>
      </c>
      <c r="E67" s="211">
        <f t="shared" si="2"/>
        <v>27.180743696063743</v>
      </c>
      <c r="F67" s="409">
        <f t="shared" si="3"/>
        <v>0.60106616554807279</v>
      </c>
      <c r="G67" s="420">
        <f t="shared" si="4"/>
        <v>0</v>
      </c>
      <c r="H67" s="417">
        <f t="shared" si="5"/>
        <v>0</v>
      </c>
      <c r="I67" s="420">
        <f t="shared" si="6"/>
        <v>0</v>
      </c>
      <c r="J67" s="417">
        <f t="shared" si="7"/>
        <v>0</v>
      </c>
      <c r="K67" s="412">
        <f t="shared" si="8"/>
        <v>0</v>
      </c>
      <c r="L67" s="416">
        <f t="shared" si="9"/>
        <v>0</v>
      </c>
      <c r="M67" s="119">
        <f>L67*D67*'B) D RI'!S69</f>
        <v>0</v>
      </c>
    </row>
    <row r="68" spans="1:13" x14ac:dyDescent="0.25">
      <c r="A68" s="313">
        <f>'A) Base RI'!A70</f>
        <v>5499</v>
      </c>
      <c r="B68" s="33" t="str">
        <f>'A) Base RI'!B70</f>
        <v>Senarclens</v>
      </c>
      <c r="C68" s="311">
        <f>'B) D RI'!U70</f>
        <v>20155.097956204383</v>
      </c>
      <c r="D68" s="33">
        <f>'B) D RI'!AA70</f>
        <v>505</v>
      </c>
      <c r="E68" s="211">
        <f t="shared" si="2"/>
        <v>39.911085061790857</v>
      </c>
      <c r="F68" s="409">
        <f t="shared" si="3"/>
        <v>0.88258081269599931</v>
      </c>
      <c r="G68" s="420">
        <f t="shared" si="4"/>
        <v>0</v>
      </c>
      <c r="H68" s="417">
        <f t="shared" si="5"/>
        <v>0</v>
      </c>
      <c r="I68" s="420">
        <f t="shared" si="6"/>
        <v>0</v>
      </c>
      <c r="J68" s="417">
        <f t="shared" si="7"/>
        <v>0</v>
      </c>
      <c r="K68" s="412">
        <f t="shared" si="8"/>
        <v>0</v>
      </c>
      <c r="L68" s="416">
        <f t="shared" si="9"/>
        <v>0</v>
      </c>
      <c r="M68" s="119">
        <f>L68*D68*'B) D RI'!S70</f>
        <v>0</v>
      </c>
    </row>
    <row r="69" spans="1:13" x14ac:dyDescent="0.25">
      <c r="A69" s="313">
        <f>'A) Base RI'!A71</f>
        <v>5500</v>
      </c>
      <c r="B69" s="33" t="str">
        <f>'A) Base RI'!B71</f>
        <v>Sévery</v>
      </c>
      <c r="C69" s="311">
        <f>'B) D RI'!U71</f>
        <v>8930.8127555555548</v>
      </c>
      <c r="D69" s="33">
        <f>'B) D RI'!AA71</f>
        <v>233</v>
      </c>
      <c r="E69" s="211">
        <f t="shared" si="2"/>
        <v>38.329668478779205</v>
      </c>
      <c r="F69" s="409">
        <f t="shared" si="3"/>
        <v>0.84760987840833291</v>
      </c>
      <c r="G69" s="420">
        <f t="shared" si="4"/>
        <v>0</v>
      </c>
      <c r="H69" s="417">
        <f t="shared" si="5"/>
        <v>0</v>
      </c>
      <c r="I69" s="420">
        <f t="shared" si="6"/>
        <v>0</v>
      </c>
      <c r="J69" s="417">
        <f t="shared" si="7"/>
        <v>0</v>
      </c>
      <c r="K69" s="412">
        <f t="shared" si="8"/>
        <v>0</v>
      </c>
      <c r="L69" s="416">
        <f t="shared" si="9"/>
        <v>0</v>
      </c>
      <c r="M69" s="119">
        <f>L69*D69*'B) D RI'!S71</f>
        <v>0</v>
      </c>
    </row>
    <row r="70" spans="1:13" x14ac:dyDescent="0.25">
      <c r="A70" s="313">
        <f>'A) Base RI'!A72</f>
        <v>5501</v>
      </c>
      <c r="B70" s="33" t="str">
        <f>'A) Base RI'!B72</f>
        <v>Sullens</v>
      </c>
      <c r="C70" s="311">
        <f>'B) D RI'!U72</f>
        <v>34225.937428571429</v>
      </c>
      <c r="D70" s="33">
        <f>'B) D RI'!AA72</f>
        <v>1005</v>
      </c>
      <c r="E70" s="211">
        <f t="shared" ref="E70:E133" si="10">C70/D70</f>
        <v>34.055659132906897</v>
      </c>
      <c r="F70" s="409">
        <f t="shared" ref="F70:F133" si="11">E70/$E$314</f>
        <v>0.75309581956703164</v>
      </c>
      <c r="G70" s="420">
        <f t="shared" ref="G70:G133" si="12">IF(E70-$G$2&lt;0,0,E70-$G$2)</f>
        <v>0</v>
      </c>
      <c r="H70" s="417">
        <f t="shared" ref="H70:H133" si="13">IF(E70-$H$2&lt;0,0,E70-$H$2)</f>
        <v>0</v>
      </c>
      <c r="I70" s="420">
        <f t="shared" ref="I70:I133" si="14">IF(E70-$I$2&lt;0,0,E70-$I$2)</f>
        <v>0</v>
      </c>
      <c r="J70" s="417">
        <f t="shared" ref="J70:J133" si="15">IF(E70-$J$2&lt;0,0,E70-$J$2)</f>
        <v>0</v>
      </c>
      <c r="K70" s="412">
        <f t="shared" ref="K70:K133" si="16">IF(E70-$K$2&lt;0,0,E70-$K$2)</f>
        <v>0</v>
      </c>
      <c r="L70" s="416">
        <f t="shared" ref="L70:L133" si="17">(G70-H70)*$G$3+(H70-I70)*$H$3+(I70-J70)*$I$3+(J70-K70)*$J$3+(K70*$K$3)</f>
        <v>0</v>
      </c>
      <c r="M70" s="119">
        <f>L70*D70*'B) D RI'!S72</f>
        <v>0</v>
      </c>
    </row>
    <row r="71" spans="1:13" x14ac:dyDescent="0.25">
      <c r="A71" s="313">
        <f>'A) Base RI'!A73</f>
        <v>5503</v>
      </c>
      <c r="B71" s="33" t="str">
        <f>'A) Base RI'!B73</f>
        <v>Vufflens-la-Ville</v>
      </c>
      <c r="C71" s="311">
        <f>'B) D RI'!U73</f>
        <v>64516.192437810947</v>
      </c>
      <c r="D71" s="33">
        <f>'B) D RI'!AA73</f>
        <v>1284</v>
      </c>
      <c r="E71" s="211">
        <f t="shared" si="10"/>
        <v>50.246255792687656</v>
      </c>
      <c r="F71" s="409">
        <f t="shared" si="11"/>
        <v>1.1111294319305951</v>
      </c>
      <c r="G71" s="420">
        <f t="shared" si="12"/>
        <v>5.0253712145657019</v>
      </c>
      <c r="H71" s="417">
        <f t="shared" si="13"/>
        <v>0</v>
      </c>
      <c r="I71" s="420">
        <f t="shared" si="14"/>
        <v>0</v>
      </c>
      <c r="J71" s="417">
        <f t="shared" si="15"/>
        <v>0</v>
      </c>
      <c r="K71" s="412">
        <f t="shared" si="16"/>
        <v>0</v>
      </c>
      <c r="L71" s="416">
        <f t="shared" si="17"/>
        <v>1.0050742429131405</v>
      </c>
      <c r="M71" s="119">
        <f>L71*D71*'B) D RI'!S73</f>
        <v>86464.526969331651</v>
      </c>
    </row>
    <row r="72" spans="1:13" x14ac:dyDescent="0.25">
      <c r="A72" s="313">
        <f>'A) Base RI'!A74</f>
        <v>5511</v>
      </c>
      <c r="B72" s="33" t="str">
        <f>'A) Base RI'!B74</f>
        <v>Assens</v>
      </c>
      <c r="C72" s="311">
        <f>'B) D RI'!U74</f>
        <v>48081.721857142853</v>
      </c>
      <c r="D72" s="33">
        <f>'B) D RI'!AA74</f>
        <v>1070</v>
      </c>
      <c r="E72" s="211">
        <f t="shared" si="10"/>
        <v>44.936188651535375</v>
      </c>
      <c r="F72" s="409">
        <f t="shared" si="11"/>
        <v>0.99370432645795004</v>
      </c>
      <c r="G72" s="420">
        <f t="shared" si="12"/>
        <v>0</v>
      </c>
      <c r="H72" s="417">
        <f t="shared" si="13"/>
        <v>0</v>
      </c>
      <c r="I72" s="420">
        <f t="shared" si="14"/>
        <v>0</v>
      </c>
      <c r="J72" s="417">
        <f t="shared" si="15"/>
        <v>0</v>
      </c>
      <c r="K72" s="412">
        <f t="shared" si="16"/>
        <v>0</v>
      </c>
      <c r="L72" s="416">
        <f t="shared" si="17"/>
        <v>0</v>
      </c>
      <c r="M72" s="119">
        <f>L72*D72*'B) D RI'!S74</f>
        <v>0</v>
      </c>
    </row>
    <row r="73" spans="1:13" x14ac:dyDescent="0.25">
      <c r="A73" s="313">
        <f>'A) Base RI'!A75</f>
        <v>5512</v>
      </c>
      <c r="B73" s="33" t="str">
        <f>'A) Base RI'!B75</f>
        <v>Bercher</v>
      </c>
      <c r="C73" s="311">
        <f>'B) D RI'!U75</f>
        <v>37529.742911392401</v>
      </c>
      <c r="D73" s="33">
        <f>'B) D RI'!AA75</f>
        <v>1221</v>
      </c>
      <c r="E73" s="211">
        <f t="shared" si="10"/>
        <v>30.736890181320558</v>
      </c>
      <c r="F73" s="409">
        <f t="shared" si="11"/>
        <v>0.67970563751844848</v>
      </c>
      <c r="G73" s="420">
        <f t="shared" si="12"/>
        <v>0</v>
      </c>
      <c r="H73" s="417">
        <f t="shared" si="13"/>
        <v>0</v>
      </c>
      <c r="I73" s="420">
        <f t="shared" si="14"/>
        <v>0</v>
      </c>
      <c r="J73" s="417">
        <f t="shared" si="15"/>
        <v>0</v>
      </c>
      <c r="K73" s="412">
        <f t="shared" si="16"/>
        <v>0</v>
      </c>
      <c r="L73" s="416">
        <f t="shared" si="17"/>
        <v>0</v>
      </c>
      <c r="M73" s="119">
        <f>L73*D73*'B) D RI'!S75</f>
        <v>0</v>
      </c>
    </row>
    <row r="74" spans="1:13" x14ac:dyDescent="0.25">
      <c r="A74" s="313">
        <f>'A) Base RI'!A76</f>
        <v>5513</v>
      </c>
      <c r="B74" s="33" t="str">
        <f>'A) Base RI'!B76</f>
        <v>Bioley-Orjulaz</v>
      </c>
      <c r="C74" s="311">
        <f>'B) D RI'!U76</f>
        <v>21045.596470588232</v>
      </c>
      <c r="D74" s="33">
        <f>'B) D RI'!AA76</f>
        <v>499</v>
      </c>
      <c r="E74" s="211">
        <f t="shared" si="10"/>
        <v>42.175544029234935</v>
      </c>
      <c r="F74" s="409">
        <f t="shared" si="11"/>
        <v>0.93265632511840857</v>
      </c>
      <c r="G74" s="420">
        <f t="shared" si="12"/>
        <v>0</v>
      </c>
      <c r="H74" s="417">
        <f t="shared" si="13"/>
        <v>0</v>
      </c>
      <c r="I74" s="420">
        <f t="shared" si="14"/>
        <v>0</v>
      </c>
      <c r="J74" s="417">
        <f t="shared" si="15"/>
        <v>0</v>
      </c>
      <c r="K74" s="412">
        <f t="shared" si="16"/>
        <v>0</v>
      </c>
      <c r="L74" s="416">
        <f t="shared" si="17"/>
        <v>0</v>
      </c>
      <c r="M74" s="119">
        <f>L74*D74*'B) D RI'!S76</f>
        <v>0</v>
      </c>
    </row>
    <row r="75" spans="1:13" x14ac:dyDescent="0.25">
      <c r="A75" s="313">
        <f>'A) Base RI'!A77</f>
        <v>5514</v>
      </c>
      <c r="B75" s="33" t="str">
        <f>'A) Base RI'!B77</f>
        <v>Bottens</v>
      </c>
      <c r="C75" s="311">
        <f>'B) D RI'!U77</f>
        <v>40912.963623188407</v>
      </c>
      <c r="D75" s="33">
        <f>'B) D RI'!AA77</f>
        <v>1263</v>
      </c>
      <c r="E75" s="211">
        <f t="shared" si="10"/>
        <v>32.393478719864142</v>
      </c>
      <c r="F75" s="409">
        <f t="shared" si="11"/>
        <v>0.71633890009166779</v>
      </c>
      <c r="G75" s="420">
        <f t="shared" si="12"/>
        <v>0</v>
      </c>
      <c r="H75" s="417">
        <f t="shared" si="13"/>
        <v>0</v>
      </c>
      <c r="I75" s="420">
        <f t="shared" si="14"/>
        <v>0</v>
      </c>
      <c r="J75" s="417">
        <f t="shared" si="15"/>
        <v>0</v>
      </c>
      <c r="K75" s="412">
        <f t="shared" si="16"/>
        <v>0</v>
      </c>
      <c r="L75" s="416">
        <f t="shared" si="17"/>
        <v>0</v>
      </c>
      <c r="M75" s="119">
        <f>L75*D75*'B) D RI'!S77</f>
        <v>0</v>
      </c>
    </row>
    <row r="76" spans="1:13" x14ac:dyDescent="0.25">
      <c r="A76" s="313">
        <f>'A) Base RI'!A78</f>
        <v>5515</v>
      </c>
      <c r="B76" s="33" t="str">
        <f>'A) Base RI'!B78</f>
        <v>Bretigny-sur-Morrens</v>
      </c>
      <c r="C76" s="311">
        <f>'B) D RI'!U78</f>
        <v>27693.425342465755</v>
      </c>
      <c r="D76" s="33">
        <f>'B) D RI'!AA78</f>
        <v>825</v>
      </c>
      <c r="E76" s="211">
        <f t="shared" si="10"/>
        <v>33.567788293897884</v>
      </c>
      <c r="F76" s="409">
        <f t="shared" si="11"/>
        <v>0.74230720179538712</v>
      </c>
      <c r="G76" s="420">
        <f t="shared" si="12"/>
        <v>0</v>
      </c>
      <c r="H76" s="417">
        <f t="shared" si="13"/>
        <v>0</v>
      </c>
      <c r="I76" s="420">
        <f t="shared" si="14"/>
        <v>0</v>
      </c>
      <c r="J76" s="417">
        <f t="shared" si="15"/>
        <v>0</v>
      </c>
      <c r="K76" s="412">
        <f t="shared" si="16"/>
        <v>0</v>
      </c>
      <c r="L76" s="416">
        <f t="shared" si="17"/>
        <v>0</v>
      </c>
      <c r="M76" s="119">
        <f>L76*D76*'B) D RI'!S78</f>
        <v>0</v>
      </c>
    </row>
    <row r="77" spans="1:13" x14ac:dyDescent="0.25">
      <c r="A77" s="313">
        <f>'A) Base RI'!A79</f>
        <v>5516</v>
      </c>
      <c r="B77" s="33" t="str">
        <f>'A) Base RI'!B79</f>
        <v>Cugy</v>
      </c>
      <c r="C77" s="311">
        <f>'B) D RI'!U79</f>
        <v>110018.3817142857</v>
      </c>
      <c r="D77" s="33">
        <f>'B) D RI'!AA79</f>
        <v>2744</v>
      </c>
      <c r="E77" s="211">
        <f t="shared" si="10"/>
        <v>40.094162432319862</v>
      </c>
      <c r="F77" s="409">
        <f t="shared" si="11"/>
        <v>0.88662932639131919</v>
      </c>
      <c r="G77" s="420">
        <f t="shared" si="12"/>
        <v>0</v>
      </c>
      <c r="H77" s="417">
        <f t="shared" si="13"/>
        <v>0</v>
      </c>
      <c r="I77" s="420">
        <f t="shared" si="14"/>
        <v>0</v>
      </c>
      <c r="J77" s="417">
        <f t="shared" si="15"/>
        <v>0</v>
      </c>
      <c r="K77" s="412">
        <f t="shared" si="16"/>
        <v>0</v>
      </c>
      <c r="L77" s="416">
        <f t="shared" si="17"/>
        <v>0</v>
      </c>
      <c r="M77" s="119">
        <f>L77*D77*'B) D RI'!S79</f>
        <v>0</v>
      </c>
    </row>
    <row r="78" spans="1:13" x14ac:dyDescent="0.25">
      <c r="A78" s="313">
        <f>'A) Base RI'!A80</f>
        <v>5518</v>
      </c>
      <c r="B78" s="33" t="str">
        <f>'A) Base RI'!B80</f>
        <v>Echallens</v>
      </c>
      <c r="C78" s="311">
        <f>'B) D RI'!U80</f>
        <v>186251.15094594596</v>
      </c>
      <c r="D78" s="33">
        <f>'B) D RI'!AA80</f>
        <v>5728</v>
      </c>
      <c r="E78" s="211">
        <f t="shared" si="10"/>
        <v>32.515913223803416</v>
      </c>
      <c r="F78" s="409">
        <f t="shared" si="11"/>
        <v>0.71904637707009267</v>
      </c>
      <c r="G78" s="420">
        <f t="shared" si="12"/>
        <v>0</v>
      </c>
      <c r="H78" s="417">
        <f t="shared" si="13"/>
        <v>0</v>
      </c>
      <c r="I78" s="420">
        <f t="shared" si="14"/>
        <v>0</v>
      </c>
      <c r="J78" s="417">
        <f t="shared" si="15"/>
        <v>0</v>
      </c>
      <c r="K78" s="412">
        <f t="shared" si="16"/>
        <v>0</v>
      </c>
      <c r="L78" s="416">
        <f t="shared" si="17"/>
        <v>0</v>
      </c>
      <c r="M78" s="119">
        <f>L78*D78*'B) D RI'!S80</f>
        <v>0</v>
      </c>
    </row>
    <row r="79" spans="1:13" x14ac:dyDescent="0.25">
      <c r="A79" s="313">
        <f>'A) Base RI'!A81</f>
        <v>5520</v>
      </c>
      <c r="B79" s="33" t="str">
        <f>'A) Base RI'!B81</f>
        <v>Essertines-sur-Yverdon</v>
      </c>
      <c r="C79" s="311">
        <f>'B) D RI'!U81</f>
        <v>32026.22082191781</v>
      </c>
      <c r="D79" s="33">
        <f>'B) D RI'!AA81</f>
        <v>981</v>
      </c>
      <c r="E79" s="211">
        <f t="shared" si="10"/>
        <v>32.646504405624682</v>
      </c>
      <c r="F79" s="409">
        <f t="shared" si="11"/>
        <v>0.72193422818224107</v>
      </c>
      <c r="G79" s="420">
        <f t="shared" si="12"/>
        <v>0</v>
      </c>
      <c r="H79" s="417">
        <f t="shared" si="13"/>
        <v>0</v>
      </c>
      <c r="I79" s="420">
        <f t="shared" si="14"/>
        <v>0</v>
      </c>
      <c r="J79" s="417">
        <f t="shared" si="15"/>
        <v>0</v>
      </c>
      <c r="K79" s="412">
        <f t="shared" si="16"/>
        <v>0</v>
      </c>
      <c r="L79" s="416">
        <f t="shared" si="17"/>
        <v>0</v>
      </c>
      <c r="M79" s="119">
        <f>L79*D79*'B) D RI'!S81</f>
        <v>0</v>
      </c>
    </row>
    <row r="80" spans="1:13" x14ac:dyDescent="0.25">
      <c r="A80" s="313">
        <f>'A) Base RI'!A82</f>
        <v>5521</v>
      </c>
      <c r="B80" s="33" t="str">
        <f>'A) Base RI'!B82</f>
        <v>Etagnières</v>
      </c>
      <c r="C80" s="311">
        <f>'B) D RI'!U82</f>
        <v>40939.440821917808</v>
      </c>
      <c r="D80" s="33">
        <f>'B) D RI'!AA82</f>
        <v>1119</v>
      </c>
      <c r="E80" s="211">
        <f t="shared" si="10"/>
        <v>36.58573799992655</v>
      </c>
      <c r="F80" s="409">
        <f t="shared" si="11"/>
        <v>0.80904516444658137</v>
      </c>
      <c r="G80" s="420">
        <f t="shared" si="12"/>
        <v>0</v>
      </c>
      <c r="H80" s="417">
        <f t="shared" si="13"/>
        <v>0</v>
      </c>
      <c r="I80" s="420">
        <f t="shared" si="14"/>
        <v>0</v>
      </c>
      <c r="J80" s="417">
        <f t="shared" si="15"/>
        <v>0</v>
      </c>
      <c r="K80" s="412">
        <f t="shared" si="16"/>
        <v>0</v>
      </c>
      <c r="L80" s="416">
        <f t="shared" si="17"/>
        <v>0</v>
      </c>
      <c r="M80" s="119">
        <f>L80*D80*'B) D RI'!S82</f>
        <v>0</v>
      </c>
    </row>
    <row r="81" spans="1:13" x14ac:dyDescent="0.25">
      <c r="A81" s="313">
        <f>'A) Base RI'!A83</f>
        <v>5522</v>
      </c>
      <c r="B81" s="33" t="str">
        <f>'A) Base RI'!B83</f>
        <v>Fey</v>
      </c>
      <c r="C81" s="311">
        <f>'B) D RI'!U83</f>
        <v>20215.813200000001</v>
      </c>
      <c r="D81" s="33">
        <f>'B) D RI'!AA83</f>
        <v>703</v>
      </c>
      <c r="E81" s="211">
        <f t="shared" si="10"/>
        <v>28.756491038406828</v>
      </c>
      <c r="F81" s="409">
        <f t="shared" si="11"/>
        <v>0.63591173208317409</v>
      </c>
      <c r="G81" s="420">
        <f t="shared" si="12"/>
        <v>0</v>
      </c>
      <c r="H81" s="417">
        <f t="shared" si="13"/>
        <v>0</v>
      </c>
      <c r="I81" s="420">
        <f t="shared" si="14"/>
        <v>0</v>
      </c>
      <c r="J81" s="417">
        <f t="shared" si="15"/>
        <v>0</v>
      </c>
      <c r="K81" s="412">
        <f t="shared" si="16"/>
        <v>0</v>
      </c>
      <c r="L81" s="416">
        <f t="shared" si="17"/>
        <v>0</v>
      </c>
      <c r="M81" s="119">
        <f>L81*D81*'B) D RI'!S83</f>
        <v>0</v>
      </c>
    </row>
    <row r="82" spans="1:13" x14ac:dyDescent="0.25">
      <c r="A82" s="313">
        <f>'A) Base RI'!A84</f>
        <v>5523</v>
      </c>
      <c r="B82" s="33" t="str">
        <f>'A) Base RI'!B84</f>
        <v>Froideville</v>
      </c>
      <c r="C82" s="311">
        <f>'B) D RI'!U84</f>
        <v>83831.156184210529</v>
      </c>
      <c r="D82" s="33">
        <f>'B) D RI'!AA84</f>
        <v>2561</v>
      </c>
      <c r="E82" s="211">
        <f t="shared" si="10"/>
        <v>32.733758759941637</v>
      </c>
      <c r="F82" s="409">
        <f t="shared" si="11"/>
        <v>0.7238637427225022</v>
      </c>
      <c r="G82" s="420">
        <f t="shared" si="12"/>
        <v>0</v>
      </c>
      <c r="H82" s="417">
        <f t="shared" si="13"/>
        <v>0</v>
      </c>
      <c r="I82" s="420">
        <f t="shared" si="14"/>
        <v>0</v>
      </c>
      <c r="J82" s="417">
        <f t="shared" si="15"/>
        <v>0</v>
      </c>
      <c r="K82" s="412">
        <f t="shared" si="16"/>
        <v>0</v>
      </c>
      <c r="L82" s="416">
        <f t="shared" si="17"/>
        <v>0</v>
      </c>
      <c r="M82" s="119">
        <f>L82*D82*'B) D RI'!S84</f>
        <v>0</v>
      </c>
    </row>
    <row r="83" spans="1:13" x14ac:dyDescent="0.25">
      <c r="A83" s="313">
        <f>'A) Base RI'!A85</f>
        <v>5527</v>
      </c>
      <c r="B83" s="33" t="str">
        <f>'A) Base RI'!B85</f>
        <v>Morrens</v>
      </c>
      <c r="C83" s="311">
        <f>'B) D RI'!U85</f>
        <v>39666.797042253522</v>
      </c>
      <c r="D83" s="33">
        <f>'B) D RI'!AA85</f>
        <v>1092</v>
      </c>
      <c r="E83" s="211">
        <f t="shared" si="10"/>
        <v>36.324905716349377</v>
      </c>
      <c r="F83" s="409">
        <f t="shared" si="11"/>
        <v>0.80327720377950129</v>
      </c>
      <c r="G83" s="420">
        <f t="shared" si="12"/>
        <v>0</v>
      </c>
      <c r="H83" s="417">
        <f t="shared" si="13"/>
        <v>0</v>
      </c>
      <c r="I83" s="420">
        <f t="shared" si="14"/>
        <v>0</v>
      </c>
      <c r="J83" s="417">
        <f t="shared" si="15"/>
        <v>0</v>
      </c>
      <c r="K83" s="412">
        <f t="shared" si="16"/>
        <v>0</v>
      </c>
      <c r="L83" s="416">
        <f t="shared" si="17"/>
        <v>0</v>
      </c>
      <c r="M83" s="119">
        <f>L83*D83*'B) D RI'!S85</f>
        <v>0</v>
      </c>
    </row>
    <row r="84" spans="1:13" x14ac:dyDescent="0.25">
      <c r="A84" s="313">
        <f>'A) Base RI'!A86</f>
        <v>5529</v>
      </c>
      <c r="B84" s="33" t="str">
        <f>'A) Base RI'!B86</f>
        <v>Oulens-sous-Echallens</v>
      </c>
      <c r="C84" s="311">
        <f>'B) D RI'!U86</f>
        <v>20224.362535211272</v>
      </c>
      <c r="D84" s="33">
        <f>'B) D RI'!AA86</f>
        <v>577</v>
      </c>
      <c r="E84" s="211">
        <f t="shared" si="10"/>
        <v>35.050888275929417</v>
      </c>
      <c r="F84" s="409">
        <f t="shared" si="11"/>
        <v>0.77510399460180346</v>
      </c>
      <c r="G84" s="420">
        <f t="shared" si="12"/>
        <v>0</v>
      </c>
      <c r="H84" s="417">
        <f t="shared" si="13"/>
        <v>0</v>
      </c>
      <c r="I84" s="420">
        <f t="shared" si="14"/>
        <v>0</v>
      </c>
      <c r="J84" s="417">
        <f t="shared" si="15"/>
        <v>0</v>
      </c>
      <c r="K84" s="412">
        <f t="shared" si="16"/>
        <v>0</v>
      </c>
      <c r="L84" s="416">
        <f t="shared" si="17"/>
        <v>0</v>
      </c>
      <c r="M84" s="119">
        <f>L84*D84*'B) D RI'!S86</f>
        <v>0</v>
      </c>
    </row>
    <row r="85" spans="1:13" x14ac:dyDescent="0.25">
      <c r="A85" s="313">
        <f>'A) Base RI'!A87</f>
        <v>5530</v>
      </c>
      <c r="B85" s="33" t="str">
        <f>'A) Base RI'!B87</f>
        <v>Pailly</v>
      </c>
      <c r="C85" s="311">
        <f>'B) D RI'!U87</f>
        <v>16275.145870967741</v>
      </c>
      <c r="D85" s="33">
        <f>'B) D RI'!AA87</f>
        <v>543</v>
      </c>
      <c r="E85" s="211">
        <f t="shared" si="10"/>
        <v>29.972644329590683</v>
      </c>
      <c r="F85" s="409">
        <f t="shared" si="11"/>
        <v>0.66280535219984549</v>
      </c>
      <c r="G85" s="420">
        <f t="shared" si="12"/>
        <v>0</v>
      </c>
      <c r="H85" s="417">
        <f t="shared" si="13"/>
        <v>0</v>
      </c>
      <c r="I85" s="420">
        <f t="shared" si="14"/>
        <v>0</v>
      </c>
      <c r="J85" s="417">
        <f t="shared" si="15"/>
        <v>0</v>
      </c>
      <c r="K85" s="412">
        <f t="shared" si="16"/>
        <v>0</v>
      </c>
      <c r="L85" s="416">
        <f t="shared" si="17"/>
        <v>0</v>
      </c>
      <c r="M85" s="119">
        <f>L85*D85*'B) D RI'!S87</f>
        <v>0</v>
      </c>
    </row>
    <row r="86" spans="1:13" x14ac:dyDescent="0.25">
      <c r="A86" s="313">
        <f>'A) Base RI'!A88</f>
        <v>5531</v>
      </c>
      <c r="B86" s="33" t="str">
        <f>'A) Base RI'!B88</f>
        <v>Penthéréaz</v>
      </c>
      <c r="C86" s="311">
        <f>'B) D RI'!U88</f>
        <v>13115.607307692309</v>
      </c>
      <c r="D86" s="33">
        <f>'B) D RI'!AA88</f>
        <v>418</v>
      </c>
      <c r="E86" s="211">
        <f t="shared" si="10"/>
        <v>31.377050975340453</v>
      </c>
      <c r="F86" s="409">
        <f t="shared" si="11"/>
        <v>0.69386194604695539</v>
      </c>
      <c r="G86" s="420">
        <f t="shared" si="12"/>
        <v>0</v>
      </c>
      <c r="H86" s="417">
        <f t="shared" si="13"/>
        <v>0</v>
      </c>
      <c r="I86" s="420">
        <f t="shared" si="14"/>
        <v>0</v>
      </c>
      <c r="J86" s="417">
        <f t="shared" si="15"/>
        <v>0</v>
      </c>
      <c r="K86" s="412">
        <f t="shared" si="16"/>
        <v>0</v>
      </c>
      <c r="L86" s="416">
        <f t="shared" si="17"/>
        <v>0</v>
      </c>
      <c r="M86" s="119">
        <f>L86*D86*'B) D RI'!S88</f>
        <v>0</v>
      </c>
    </row>
    <row r="87" spans="1:13" x14ac:dyDescent="0.25">
      <c r="A87" s="313">
        <f>'A) Base RI'!A89</f>
        <v>5533</v>
      </c>
      <c r="B87" s="33" t="str">
        <f>'A) Base RI'!B89</f>
        <v>Poliez-Pittet</v>
      </c>
      <c r="C87" s="311">
        <f>'B) D RI'!U89</f>
        <v>27509.250422535213</v>
      </c>
      <c r="D87" s="33">
        <f>'B) D RI'!AA89</f>
        <v>849</v>
      </c>
      <c r="E87" s="211">
        <f t="shared" si="10"/>
        <v>32.401943960583289</v>
      </c>
      <c r="F87" s="409">
        <f t="shared" si="11"/>
        <v>0.71652609768406605</v>
      </c>
      <c r="G87" s="420">
        <f t="shared" si="12"/>
        <v>0</v>
      </c>
      <c r="H87" s="417">
        <f t="shared" si="13"/>
        <v>0</v>
      </c>
      <c r="I87" s="420">
        <f t="shared" si="14"/>
        <v>0</v>
      </c>
      <c r="J87" s="417">
        <f t="shared" si="15"/>
        <v>0</v>
      </c>
      <c r="K87" s="412">
        <f t="shared" si="16"/>
        <v>0</v>
      </c>
      <c r="L87" s="416">
        <f t="shared" si="17"/>
        <v>0</v>
      </c>
      <c r="M87" s="119">
        <f>L87*D87*'B) D RI'!S89</f>
        <v>0</v>
      </c>
    </row>
    <row r="88" spans="1:13" x14ac:dyDescent="0.25">
      <c r="A88" s="313">
        <f>'A) Base RI'!A90</f>
        <v>5534</v>
      </c>
      <c r="B88" s="33" t="str">
        <f>'A) Base RI'!B90</f>
        <v>Rueyres</v>
      </c>
      <c r="C88" s="311">
        <f>'B) D RI'!U90</f>
        <v>9282.5224657534254</v>
      </c>
      <c r="D88" s="33">
        <f>'B) D RI'!AA90</f>
        <v>257</v>
      </c>
      <c r="E88" s="211">
        <f t="shared" si="10"/>
        <v>36.118764458184536</v>
      </c>
      <c r="F88" s="409">
        <f t="shared" si="11"/>
        <v>0.79871866274059888</v>
      </c>
      <c r="G88" s="420">
        <f t="shared" si="12"/>
        <v>0</v>
      </c>
      <c r="H88" s="417">
        <f t="shared" si="13"/>
        <v>0</v>
      </c>
      <c r="I88" s="420">
        <f t="shared" si="14"/>
        <v>0</v>
      </c>
      <c r="J88" s="417">
        <f t="shared" si="15"/>
        <v>0</v>
      </c>
      <c r="K88" s="412">
        <f t="shared" si="16"/>
        <v>0</v>
      </c>
      <c r="L88" s="416">
        <f t="shared" si="17"/>
        <v>0</v>
      </c>
      <c r="M88" s="119">
        <f>L88*D88*'B) D RI'!S90</f>
        <v>0</v>
      </c>
    </row>
    <row r="89" spans="1:13" x14ac:dyDescent="0.25">
      <c r="A89" s="313">
        <f>'A) Base RI'!A91</f>
        <v>5535</v>
      </c>
      <c r="B89" s="33" t="str">
        <f>'A) Base RI'!B91</f>
        <v>Saint-Barthélemy</v>
      </c>
      <c r="C89" s="311">
        <f>'B) D RI'!U91</f>
        <v>23206.167922077926</v>
      </c>
      <c r="D89" s="33">
        <f>'B) D RI'!AA91</f>
        <v>769</v>
      </c>
      <c r="E89" s="211">
        <f t="shared" si="10"/>
        <v>30.177071420127341</v>
      </c>
      <c r="F89" s="409">
        <f t="shared" si="11"/>
        <v>0.66732598669082932</v>
      </c>
      <c r="G89" s="420">
        <f t="shared" si="12"/>
        <v>0</v>
      </c>
      <c r="H89" s="417">
        <f t="shared" si="13"/>
        <v>0</v>
      </c>
      <c r="I89" s="420">
        <f t="shared" si="14"/>
        <v>0</v>
      </c>
      <c r="J89" s="417">
        <f t="shared" si="15"/>
        <v>0</v>
      </c>
      <c r="K89" s="412">
        <f t="shared" si="16"/>
        <v>0</v>
      </c>
      <c r="L89" s="416">
        <f t="shared" si="17"/>
        <v>0</v>
      </c>
      <c r="M89" s="119">
        <f>L89*D89*'B) D RI'!S91</f>
        <v>0</v>
      </c>
    </row>
    <row r="90" spans="1:13" x14ac:dyDescent="0.25">
      <c r="A90" s="313">
        <f>'A) Base RI'!A92</f>
        <v>5537</v>
      </c>
      <c r="B90" s="33" t="str">
        <f>'A) Base RI'!B92</f>
        <v>Villars-le-Terroir</v>
      </c>
      <c r="C90" s="311">
        <f>'B) D RI'!U92</f>
        <v>33504.625479452057</v>
      </c>
      <c r="D90" s="33">
        <f>'B) D RI'!AA92</f>
        <v>1150</v>
      </c>
      <c r="E90" s="211">
        <f t="shared" si="10"/>
        <v>29.134456938653962</v>
      </c>
      <c r="F90" s="409">
        <f t="shared" si="11"/>
        <v>0.64426994762391998</v>
      </c>
      <c r="G90" s="420">
        <f t="shared" si="12"/>
        <v>0</v>
      </c>
      <c r="H90" s="417">
        <f t="shared" si="13"/>
        <v>0</v>
      </c>
      <c r="I90" s="420">
        <f t="shared" si="14"/>
        <v>0</v>
      </c>
      <c r="J90" s="417">
        <f t="shared" si="15"/>
        <v>0</v>
      </c>
      <c r="K90" s="412">
        <f t="shared" si="16"/>
        <v>0</v>
      </c>
      <c r="L90" s="416">
        <f t="shared" si="17"/>
        <v>0</v>
      </c>
      <c r="M90" s="119">
        <f>L90*D90*'B) D RI'!S92</f>
        <v>0</v>
      </c>
    </row>
    <row r="91" spans="1:13" x14ac:dyDescent="0.25">
      <c r="A91" s="313">
        <f>'A) Base RI'!A93</f>
        <v>5539</v>
      </c>
      <c r="B91" s="33" t="str">
        <f>'A) Base RI'!B93</f>
        <v>Vuarrens</v>
      </c>
      <c r="C91" s="311">
        <f>'B) D RI'!U93</f>
        <v>26926.432233333333</v>
      </c>
      <c r="D91" s="33">
        <f>'B) D RI'!AA93</f>
        <v>1003</v>
      </c>
      <c r="E91" s="211">
        <f t="shared" si="10"/>
        <v>26.845894549684282</v>
      </c>
      <c r="F91" s="409">
        <f t="shared" si="11"/>
        <v>0.59366141994206889</v>
      </c>
      <c r="G91" s="420">
        <f t="shared" si="12"/>
        <v>0</v>
      </c>
      <c r="H91" s="417">
        <f t="shared" si="13"/>
        <v>0</v>
      </c>
      <c r="I91" s="420">
        <f t="shared" si="14"/>
        <v>0</v>
      </c>
      <c r="J91" s="417">
        <f t="shared" si="15"/>
        <v>0</v>
      </c>
      <c r="K91" s="412">
        <f t="shared" si="16"/>
        <v>0</v>
      </c>
      <c r="L91" s="416">
        <f t="shared" si="17"/>
        <v>0</v>
      </c>
      <c r="M91" s="119">
        <f>L91*D91*'B) D RI'!S93</f>
        <v>0</v>
      </c>
    </row>
    <row r="92" spans="1:13" x14ac:dyDescent="0.25">
      <c r="A92" s="313">
        <f>'A) Base RI'!A94</f>
        <v>5540</v>
      </c>
      <c r="B92" s="33" t="str">
        <f>'A) Base RI'!B94</f>
        <v>Montilliez</v>
      </c>
      <c r="C92" s="311">
        <f>'B) D RI'!U94</f>
        <v>56983.650067567571</v>
      </c>
      <c r="D92" s="33">
        <f>'B) D RI'!AA94</f>
        <v>1731</v>
      </c>
      <c r="E92" s="211">
        <f t="shared" si="10"/>
        <v>32.919497439380457</v>
      </c>
      <c r="F92" s="409">
        <f t="shared" si="11"/>
        <v>0.72797110774137852</v>
      </c>
      <c r="G92" s="420">
        <f t="shared" si="12"/>
        <v>0</v>
      </c>
      <c r="H92" s="417">
        <f t="shared" si="13"/>
        <v>0</v>
      </c>
      <c r="I92" s="420">
        <f t="shared" si="14"/>
        <v>0</v>
      </c>
      <c r="J92" s="417">
        <f t="shared" si="15"/>
        <v>0</v>
      </c>
      <c r="K92" s="412">
        <f t="shared" si="16"/>
        <v>0</v>
      </c>
      <c r="L92" s="416">
        <f t="shared" si="17"/>
        <v>0</v>
      </c>
      <c r="M92" s="119">
        <f>L92*D92*'B) D RI'!S94</f>
        <v>0</v>
      </c>
    </row>
    <row r="93" spans="1:13" x14ac:dyDescent="0.25">
      <c r="A93" s="313">
        <f>'A) Base RI'!A95</f>
        <v>5541</v>
      </c>
      <c r="B93" s="33" t="str">
        <f>'A) Base RI'!B95</f>
        <v>Goumoëns</v>
      </c>
      <c r="C93" s="311">
        <f>'B) D RI'!U95</f>
        <v>38548.273636363643</v>
      </c>
      <c r="D93" s="33">
        <f>'B) D RI'!AA95</f>
        <v>1110</v>
      </c>
      <c r="E93" s="211">
        <f t="shared" si="10"/>
        <v>34.728174447174453</v>
      </c>
      <c r="F93" s="409">
        <f t="shared" si="11"/>
        <v>0.76796760548058995</v>
      </c>
      <c r="G93" s="420">
        <f t="shared" si="12"/>
        <v>0</v>
      </c>
      <c r="H93" s="417">
        <f t="shared" si="13"/>
        <v>0</v>
      </c>
      <c r="I93" s="420">
        <f t="shared" si="14"/>
        <v>0</v>
      </c>
      <c r="J93" s="417">
        <f t="shared" si="15"/>
        <v>0</v>
      </c>
      <c r="K93" s="412">
        <f t="shared" si="16"/>
        <v>0</v>
      </c>
      <c r="L93" s="416">
        <f t="shared" si="17"/>
        <v>0</v>
      </c>
      <c r="M93" s="119">
        <f>L93*D93*'B) D RI'!S95</f>
        <v>0</v>
      </c>
    </row>
    <row r="94" spans="1:13" x14ac:dyDescent="0.25">
      <c r="A94" s="313">
        <f>'A) Base RI'!A96</f>
        <v>5551</v>
      </c>
      <c r="B94" s="33" t="str">
        <f>'A) Base RI'!B96</f>
        <v>Bonvillars</v>
      </c>
      <c r="C94" s="311">
        <f>'B) D RI'!U96</f>
        <v>18775.330727272729</v>
      </c>
      <c r="D94" s="33">
        <f>'B) D RI'!AA96</f>
        <v>495</v>
      </c>
      <c r="E94" s="211">
        <f t="shared" si="10"/>
        <v>37.929961065197432</v>
      </c>
      <c r="F94" s="409">
        <f t="shared" si="11"/>
        <v>0.83877087808114437</v>
      </c>
      <c r="G94" s="420">
        <f t="shared" si="12"/>
        <v>0</v>
      </c>
      <c r="H94" s="417">
        <f t="shared" si="13"/>
        <v>0</v>
      </c>
      <c r="I94" s="420">
        <f t="shared" si="14"/>
        <v>0</v>
      </c>
      <c r="J94" s="417">
        <f t="shared" si="15"/>
        <v>0</v>
      </c>
      <c r="K94" s="412">
        <f t="shared" si="16"/>
        <v>0</v>
      </c>
      <c r="L94" s="416">
        <f t="shared" si="17"/>
        <v>0</v>
      </c>
      <c r="M94" s="119">
        <f>L94*D94*'B) D RI'!S96</f>
        <v>0</v>
      </c>
    </row>
    <row r="95" spans="1:13" x14ac:dyDescent="0.25">
      <c r="A95" s="313">
        <f>'A) Base RI'!A97</f>
        <v>5552</v>
      </c>
      <c r="B95" s="33" t="str">
        <f>'A) Base RI'!B97</f>
        <v>Bullet</v>
      </c>
      <c r="C95" s="311">
        <f>'B) D RI'!U97</f>
        <v>17788.918428571429</v>
      </c>
      <c r="D95" s="33">
        <f>'B) D RI'!AA97</f>
        <v>644</v>
      </c>
      <c r="E95" s="211">
        <f t="shared" si="10"/>
        <v>27.622544143744456</v>
      </c>
      <c r="F95" s="409">
        <f t="shared" si="11"/>
        <v>0.61083599760249618</v>
      </c>
      <c r="G95" s="420">
        <f t="shared" si="12"/>
        <v>0</v>
      </c>
      <c r="H95" s="417">
        <f t="shared" si="13"/>
        <v>0</v>
      </c>
      <c r="I95" s="420">
        <f t="shared" si="14"/>
        <v>0</v>
      </c>
      <c r="J95" s="417">
        <f t="shared" si="15"/>
        <v>0</v>
      </c>
      <c r="K95" s="412">
        <f t="shared" si="16"/>
        <v>0</v>
      </c>
      <c r="L95" s="416">
        <f t="shared" si="17"/>
        <v>0</v>
      </c>
      <c r="M95" s="119">
        <f>L95*D95*'B) D RI'!S97</f>
        <v>0</v>
      </c>
    </row>
    <row r="96" spans="1:13" x14ac:dyDescent="0.25">
      <c r="A96" s="313">
        <f>'A) Base RI'!A98</f>
        <v>5553</v>
      </c>
      <c r="B96" s="33" t="str">
        <f>'A) Base RI'!B98</f>
        <v>Champagne</v>
      </c>
      <c r="C96" s="311">
        <f>'B) D RI'!U98</f>
        <v>34060.380307692314</v>
      </c>
      <c r="D96" s="33">
        <f>'B) D RI'!AA98</f>
        <v>1027</v>
      </c>
      <c r="E96" s="211">
        <f t="shared" si="10"/>
        <v>33.16492727136545</v>
      </c>
      <c r="F96" s="409">
        <f t="shared" si="11"/>
        <v>0.73339846358093519</v>
      </c>
      <c r="G96" s="420">
        <f t="shared" si="12"/>
        <v>0</v>
      </c>
      <c r="H96" s="417">
        <f t="shared" si="13"/>
        <v>0</v>
      </c>
      <c r="I96" s="420">
        <f t="shared" si="14"/>
        <v>0</v>
      </c>
      <c r="J96" s="417">
        <f t="shared" si="15"/>
        <v>0</v>
      </c>
      <c r="K96" s="412">
        <f t="shared" si="16"/>
        <v>0</v>
      </c>
      <c r="L96" s="416">
        <f t="shared" si="17"/>
        <v>0</v>
      </c>
      <c r="M96" s="119">
        <f>L96*D96*'B) D RI'!S98</f>
        <v>0</v>
      </c>
    </row>
    <row r="97" spans="1:13" x14ac:dyDescent="0.25">
      <c r="A97" s="313">
        <f>'A) Base RI'!A99</f>
        <v>5554</v>
      </c>
      <c r="B97" s="33" t="str">
        <f>'A) Base RI'!B99</f>
        <v>Concise</v>
      </c>
      <c r="C97" s="311">
        <f>'B) D RI'!U99</f>
        <v>31701.023466666669</v>
      </c>
      <c r="D97" s="33">
        <f>'B) D RI'!AA99</f>
        <v>969</v>
      </c>
      <c r="E97" s="211">
        <f t="shared" si="10"/>
        <v>32.715194496044035</v>
      </c>
      <c r="F97" s="409">
        <f t="shared" si="11"/>
        <v>0.72345321860138445</v>
      </c>
      <c r="G97" s="420">
        <f t="shared" si="12"/>
        <v>0</v>
      </c>
      <c r="H97" s="417">
        <f t="shared" si="13"/>
        <v>0</v>
      </c>
      <c r="I97" s="420">
        <f t="shared" si="14"/>
        <v>0</v>
      </c>
      <c r="J97" s="417">
        <f t="shared" si="15"/>
        <v>0</v>
      </c>
      <c r="K97" s="412">
        <f t="shared" si="16"/>
        <v>0</v>
      </c>
      <c r="L97" s="416">
        <f t="shared" si="17"/>
        <v>0</v>
      </c>
      <c r="M97" s="119">
        <f>L97*D97*'B) D RI'!S99</f>
        <v>0</v>
      </c>
    </row>
    <row r="98" spans="1:13" x14ac:dyDescent="0.25">
      <c r="A98" s="313">
        <f>'A) Base RI'!A100</f>
        <v>5555</v>
      </c>
      <c r="B98" s="33" t="str">
        <f>'A) Base RI'!B100</f>
        <v>Corcelles-près-Concise</v>
      </c>
      <c r="C98" s="311">
        <f>'B) D RI'!U100</f>
        <v>13631.876197183097</v>
      </c>
      <c r="D98" s="33">
        <f>'B) D RI'!AA100</f>
        <v>377</v>
      </c>
      <c r="E98" s="211">
        <f t="shared" si="10"/>
        <v>36.158822804199197</v>
      </c>
      <c r="F98" s="409">
        <f t="shared" si="11"/>
        <v>0.79960450003432659</v>
      </c>
      <c r="G98" s="420">
        <f t="shared" si="12"/>
        <v>0</v>
      </c>
      <c r="H98" s="417">
        <f t="shared" si="13"/>
        <v>0</v>
      </c>
      <c r="I98" s="420">
        <f t="shared" si="14"/>
        <v>0</v>
      </c>
      <c r="J98" s="417">
        <f t="shared" si="15"/>
        <v>0</v>
      </c>
      <c r="K98" s="412">
        <f t="shared" si="16"/>
        <v>0</v>
      </c>
      <c r="L98" s="416">
        <f t="shared" si="17"/>
        <v>0</v>
      </c>
      <c r="M98" s="119">
        <f>L98*D98*'B) D RI'!S100</f>
        <v>0</v>
      </c>
    </row>
    <row r="99" spans="1:13" x14ac:dyDescent="0.25">
      <c r="A99" s="313">
        <f>'A) Base RI'!A101</f>
        <v>5556</v>
      </c>
      <c r="B99" s="33" t="str">
        <f>'A) Base RI'!B101</f>
        <v>Fiez</v>
      </c>
      <c r="C99" s="311">
        <f>'B) D RI'!U101</f>
        <v>12908.608502415458</v>
      </c>
      <c r="D99" s="33">
        <f>'B) D RI'!AA101</f>
        <v>425</v>
      </c>
      <c r="E99" s="211">
        <f t="shared" si="10"/>
        <v>30.373196476271666</v>
      </c>
      <c r="F99" s="409">
        <f t="shared" si="11"/>
        <v>0.67166303268128325</v>
      </c>
      <c r="G99" s="420">
        <f t="shared" si="12"/>
        <v>0</v>
      </c>
      <c r="H99" s="417">
        <f t="shared" si="13"/>
        <v>0</v>
      </c>
      <c r="I99" s="420">
        <f t="shared" si="14"/>
        <v>0</v>
      </c>
      <c r="J99" s="417">
        <f t="shared" si="15"/>
        <v>0</v>
      </c>
      <c r="K99" s="412">
        <f t="shared" si="16"/>
        <v>0</v>
      </c>
      <c r="L99" s="416">
        <f t="shared" si="17"/>
        <v>0</v>
      </c>
      <c r="M99" s="119">
        <f>L99*D99*'B) D RI'!S101</f>
        <v>0</v>
      </c>
    </row>
    <row r="100" spans="1:13" x14ac:dyDescent="0.25">
      <c r="A100" s="313">
        <f>'A) Base RI'!A102</f>
        <v>5557</v>
      </c>
      <c r="B100" s="33" t="str">
        <f>'A) Base RI'!B102</f>
        <v>Fontaines-sur-Grandson</v>
      </c>
      <c r="C100" s="311">
        <f>'B) D RI'!U102</f>
        <v>4431.6020289855087</v>
      </c>
      <c r="D100" s="33">
        <f>'B) D RI'!AA102</f>
        <v>210</v>
      </c>
      <c r="E100" s="211">
        <f t="shared" si="10"/>
        <v>21.102866804692898</v>
      </c>
      <c r="F100" s="409">
        <f t="shared" si="11"/>
        <v>0.46666196385956038</v>
      </c>
      <c r="G100" s="420">
        <f t="shared" si="12"/>
        <v>0</v>
      </c>
      <c r="H100" s="417">
        <f t="shared" si="13"/>
        <v>0</v>
      </c>
      <c r="I100" s="420">
        <f t="shared" si="14"/>
        <v>0</v>
      </c>
      <c r="J100" s="417">
        <f t="shared" si="15"/>
        <v>0</v>
      </c>
      <c r="K100" s="412">
        <f t="shared" si="16"/>
        <v>0</v>
      </c>
      <c r="L100" s="416">
        <f t="shared" si="17"/>
        <v>0</v>
      </c>
      <c r="M100" s="119">
        <f>L100*D100*'B) D RI'!S102</f>
        <v>0</v>
      </c>
    </row>
    <row r="101" spans="1:13" x14ac:dyDescent="0.25">
      <c r="A101" s="313">
        <f>'A) Base RI'!A103</f>
        <v>5559</v>
      </c>
      <c r="B101" s="33" t="str">
        <f>'A) Base RI'!B103</f>
        <v>Giez</v>
      </c>
      <c r="C101" s="311">
        <f>'B) D RI'!U103</f>
        <v>15789.686212121214</v>
      </c>
      <c r="D101" s="33">
        <f>'B) D RI'!AA103</f>
        <v>421</v>
      </c>
      <c r="E101" s="211">
        <f t="shared" si="10"/>
        <v>37.505192902900745</v>
      </c>
      <c r="F101" s="409">
        <f t="shared" si="11"/>
        <v>0.82937769247101167</v>
      </c>
      <c r="G101" s="420">
        <f t="shared" si="12"/>
        <v>0</v>
      </c>
      <c r="H101" s="417">
        <f t="shared" si="13"/>
        <v>0</v>
      </c>
      <c r="I101" s="420">
        <f t="shared" si="14"/>
        <v>0</v>
      </c>
      <c r="J101" s="417">
        <f t="shared" si="15"/>
        <v>0</v>
      </c>
      <c r="K101" s="412">
        <f t="shared" si="16"/>
        <v>0</v>
      </c>
      <c r="L101" s="416">
        <f t="shared" si="17"/>
        <v>0</v>
      </c>
      <c r="M101" s="119">
        <f>L101*D101*'B) D RI'!S103</f>
        <v>0</v>
      </c>
    </row>
    <row r="102" spans="1:13" x14ac:dyDescent="0.25">
      <c r="A102" s="313">
        <f>'A) Base RI'!A104</f>
        <v>5560</v>
      </c>
      <c r="B102" s="33" t="str">
        <f>'A) Base RI'!B104</f>
        <v>Grandevent</v>
      </c>
      <c r="C102" s="311">
        <f>'B) D RI'!U104</f>
        <v>6263.3176470588232</v>
      </c>
      <c r="D102" s="33">
        <f>'B) D RI'!AA104</f>
        <v>229</v>
      </c>
      <c r="E102" s="211">
        <f t="shared" si="10"/>
        <v>27.350732083226301</v>
      </c>
      <c r="F102" s="409">
        <f t="shared" si="11"/>
        <v>0.60482523370316144</v>
      </c>
      <c r="G102" s="420">
        <f t="shared" si="12"/>
        <v>0</v>
      </c>
      <c r="H102" s="417">
        <f t="shared" si="13"/>
        <v>0</v>
      </c>
      <c r="I102" s="420">
        <f t="shared" si="14"/>
        <v>0</v>
      </c>
      <c r="J102" s="417">
        <f t="shared" si="15"/>
        <v>0</v>
      </c>
      <c r="K102" s="412">
        <f t="shared" si="16"/>
        <v>0</v>
      </c>
      <c r="L102" s="416">
        <f t="shared" si="17"/>
        <v>0</v>
      </c>
      <c r="M102" s="119">
        <f>L102*D102*'B) D RI'!S104</f>
        <v>0</v>
      </c>
    </row>
    <row r="103" spans="1:13" x14ac:dyDescent="0.25">
      <c r="A103" s="313">
        <f>'A) Base RI'!A105</f>
        <v>5561</v>
      </c>
      <c r="B103" s="33" t="str">
        <f>'A) Base RI'!B105</f>
        <v>Grandson</v>
      </c>
      <c r="C103" s="311">
        <f>'B) D RI'!U105</f>
        <v>115658.41101449275</v>
      </c>
      <c r="D103" s="33">
        <f>'B) D RI'!AA105</f>
        <v>3284</v>
      </c>
      <c r="E103" s="211">
        <f t="shared" si="10"/>
        <v>35.218760966654308</v>
      </c>
      <c r="F103" s="409">
        <f t="shared" si="11"/>
        <v>0.77881627693088706</v>
      </c>
      <c r="G103" s="420">
        <f t="shared" si="12"/>
        <v>0</v>
      </c>
      <c r="H103" s="417">
        <f t="shared" si="13"/>
        <v>0</v>
      </c>
      <c r="I103" s="420">
        <f t="shared" si="14"/>
        <v>0</v>
      </c>
      <c r="J103" s="417">
        <f t="shared" si="15"/>
        <v>0</v>
      </c>
      <c r="K103" s="412">
        <f t="shared" si="16"/>
        <v>0</v>
      </c>
      <c r="L103" s="416">
        <f t="shared" si="17"/>
        <v>0</v>
      </c>
      <c r="M103" s="119">
        <f>L103*D103*'B) D RI'!S105</f>
        <v>0</v>
      </c>
    </row>
    <row r="104" spans="1:13" x14ac:dyDescent="0.25">
      <c r="A104" s="313">
        <f>'A) Base RI'!A106</f>
        <v>5562</v>
      </c>
      <c r="B104" s="33" t="str">
        <f>'A) Base RI'!B106</f>
        <v>Mauborget</v>
      </c>
      <c r="C104" s="311">
        <f>'B) D RI'!U106</f>
        <v>5902.7637857142863</v>
      </c>
      <c r="D104" s="33">
        <f>'B) D RI'!AA106</f>
        <v>119</v>
      </c>
      <c r="E104" s="211">
        <f t="shared" si="10"/>
        <v>49.603057022809132</v>
      </c>
      <c r="F104" s="409">
        <f t="shared" si="11"/>
        <v>1.0969059425875824</v>
      </c>
      <c r="G104" s="420">
        <f t="shared" si="12"/>
        <v>4.3821724446871784</v>
      </c>
      <c r="H104" s="417">
        <f t="shared" si="13"/>
        <v>0</v>
      </c>
      <c r="I104" s="420">
        <f t="shared" si="14"/>
        <v>0</v>
      </c>
      <c r="J104" s="417">
        <f t="shared" si="15"/>
        <v>0</v>
      </c>
      <c r="K104" s="412">
        <f t="shared" si="16"/>
        <v>0</v>
      </c>
      <c r="L104" s="416">
        <f t="shared" si="17"/>
        <v>0.8764344889374357</v>
      </c>
      <c r="M104" s="119">
        <f>L104*D104*'B) D RI'!S106</f>
        <v>7300.6992928488389</v>
      </c>
    </row>
    <row r="105" spans="1:13" x14ac:dyDescent="0.25">
      <c r="A105" s="313">
        <f>'A) Base RI'!A107</f>
        <v>5563</v>
      </c>
      <c r="B105" s="33" t="str">
        <f>'A) Base RI'!B107</f>
        <v>Mutrux</v>
      </c>
      <c r="C105" s="311">
        <f>'B) D RI'!U107</f>
        <v>3109.2766878980892</v>
      </c>
      <c r="D105" s="33">
        <f>'B) D RI'!AA107</f>
        <v>163</v>
      </c>
      <c r="E105" s="211">
        <f t="shared" si="10"/>
        <v>19.07531710366926</v>
      </c>
      <c r="F105" s="409">
        <f t="shared" si="11"/>
        <v>0.42182538624859134</v>
      </c>
      <c r="G105" s="420">
        <f t="shared" si="12"/>
        <v>0</v>
      </c>
      <c r="H105" s="417">
        <f t="shared" si="13"/>
        <v>0</v>
      </c>
      <c r="I105" s="420">
        <f t="shared" si="14"/>
        <v>0</v>
      </c>
      <c r="J105" s="417">
        <f t="shared" si="15"/>
        <v>0</v>
      </c>
      <c r="K105" s="412">
        <f t="shared" si="16"/>
        <v>0</v>
      </c>
      <c r="L105" s="416">
        <f t="shared" si="17"/>
        <v>0</v>
      </c>
      <c r="M105" s="119">
        <f>L105*D105*'B) D RI'!S107</f>
        <v>0</v>
      </c>
    </row>
    <row r="106" spans="1:13" x14ac:dyDescent="0.25">
      <c r="A106" s="313">
        <f>'A) Base RI'!A108</f>
        <v>5564</v>
      </c>
      <c r="B106" s="33" t="str">
        <f>'A) Base RI'!B108</f>
        <v>Novalles</v>
      </c>
      <c r="C106" s="311">
        <f>'B) D RI'!U108</f>
        <v>2625.7898355263155</v>
      </c>
      <c r="D106" s="33">
        <f>'B) D RI'!AA108</f>
        <v>101</v>
      </c>
      <c r="E106" s="211">
        <f t="shared" si="10"/>
        <v>25.997919163626886</v>
      </c>
      <c r="F106" s="409">
        <f t="shared" si="11"/>
        <v>0.57490956681118932</v>
      </c>
      <c r="G106" s="420">
        <f t="shared" si="12"/>
        <v>0</v>
      </c>
      <c r="H106" s="417">
        <f t="shared" si="13"/>
        <v>0</v>
      </c>
      <c r="I106" s="420">
        <f t="shared" si="14"/>
        <v>0</v>
      </c>
      <c r="J106" s="417">
        <f t="shared" si="15"/>
        <v>0</v>
      </c>
      <c r="K106" s="412">
        <f t="shared" si="16"/>
        <v>0</v>
      </c>
      <c r="L106" s="416">
        <f t="shared" si="17"/>
        <v>0</v>
      </c>
      <c r="M106" s="119">
        <f>L106*D106*'B) D RI'!S108</f>
        <v>0</v>
      </c>
    </row>
    <row r="107" spans="1:13" x14ac:dyDescent="0.25">
      <c r="A107" s="313">
        <f>'A) Base RI'!A109</f>
        <v>5565</v>
      </c>
      <c r="B107" s="33" t="str">
        <f>'A) Base RI'!B109</f>
        <v>Onnens</v>
      </c>
      <c r="C107" s="311">
        <f>'B) D RI'!U109</f>
        <v>18487.846307692304</v>
      </c>
      <c r="D107" s="33">
        <f>'B) D RI'!AA109</f>
        <v>477</v>
      </c>
      <c r="E107" s="211">
        <f t="shared" si="10"/>
        <v>38.758587647153675</v>
      </c>
      <c r="F107" s="409">
        <f t="shared" si="11"/>
        <v>0.85709485802286223</v>
      </c>
      <c r="G107" s="420">
        <f t="shared" si="12"/>
        <v>0</v>
      </c>
      <c r="H107" s="417">
        <f t="shared" si="13"/>
        <v>0</v>
      </c>
      <c r="I107" s="420">
        <f t="shared" si="14"/>
        <v>0</v>
      </c>
      <c r="J107" s="417">
        <f t="shared" si="15"/>
        <v>0</v>
      </c>
      <c r="K107" s="412">
        <f t="shared" si="16"/>
        <v>0</v>
      </c>
      <c r="L107" s="416">
        <f t="shared" si="17"/>
        <v>0</v>
      </c>
      <c r="M107" s="119">
        <f>L107*D107*'B) D RI'!S109</f>
        <v>0</v>
      </c>
    </row>
    <row r="108" spans="1:13" x14ac:dyDescent="0.25">
      <c r="A108" s="313">
        <f>'A) Base RI'!A110</f>
        <v>5566</v>
      </c>
      <c r="B108" s="33" t="str">
        <f>'A) Base RI'!B110</f>
        <v>Provence</v>
      </c>
      <c r="C108" s="311">
        <f>'B) D RI'!U110</f>
        <v>7938.210164609055</v>
      </c>
      <c r="D108" s="33">
        <f>'B) D RI'!AA110</f>
        <v>388</v>
      </c>
      <c r="E108" s="211">
        <f t="shared" si="10"/>
        <v>20.459304547961484</v>
      </c>
      <c r="F108" s="409">
        <f t="shared" si="11"/>
        <v>0.4524304364859722</v>
      </c>
      <c r="G108" s="420">
        <f t="shared" si="12"/>
        <v>0</v>
      </c>
      <c r="H108" s="417">
        <f t="shared" si="13"/>
        <v>0</v>
      </c>
      <c r="I108" s="420">
        <f t="shared" si="14"/>
        <v>0</v>
      </c>
      <c r="J108" s="417">
        <f t="shared" si="15"/>
        <v>0</v>
      </c>
      <c r="K108" s="412">
        <f t="shared" si="16"/>
        <v>0</v>
      </c>
      <c r="L108" s="416">
        <f t="shared" si="17"/>
        <v>0</v>
      </c>
      <c r="M108" s="119">
        <f>L108*D108*'B) D RI'!S110</f>
        <v>0</v>
      </c>
    </row>
    <row r="109" spans="1:13" x14ac:dyDescent="0.25">
      <c r="A109" s="313">
        <f>'A) Base RI'!A111</f>
        <v>5568</v>
      </c>
      <c r="B109" s="33" t="str">
        <f>'A) Base RI'!B111</f>
        <v>Sainte-Croix</v>
      </c>
      <c r="C109" s="311">
        <f>'B) D RI'!U111</f>
        <v>99640.524428571414</v>
      </c>
      <c r="D109" s="33">
        <f>'B) D RI'!AA111</f>
        <v>4919</v>
      </c>
      <c r="E109" s="211">
        <f t="shared" si="10"/>
        <v>20.256256236749628</v>
      </c>
      <c r="F109" s="409">
        <f t="shared" si="11"/>
        <v>0.44794029187455758</v>
      </c>
      <c r="G109" s="420">
        <f t="shared" si="12"/>
        <v>0</v>
      </c>
      <c r="H109" s="417">
        <f t="shared" si="13"/>
        <v>0</v>
      </c>
      <c r="I109" s="420">
        <f t="shared" si="14"/>
        <v>0</v>
      </c>
      <c r="J109" s="417">
        <f t="shared" si="15"/>
        <v>0</v>
      </c>
      <c r="K109" s="412">
        <f t="shared" si="16"/>
        <v>0</v>
      </c>
      <c r="L109" s="416">
        <f t="shared" si="17"/>
        <v>0</v>
      </c>
      <c r="M109" s="119">
        <f>L109*D109*'B) D RI'!S111</f>
        <v>0</v>
      </c>
    </row>
    <row r="110" spans="1:13" x14ac:dyDescent="0.25">
      <c r="A110" s="313">
        <f>'A) Base RI'!A112</f>
        <v>5571</v>
      </c>
      <c r="B110" s="33" t="str">
        <f>'A) Base RI'!B112</f>
        <v>Tévenon</v>
      </c>
      <c r="C110" s="311">
        <f>'B) D RI'!U112</f>
        <v>21324.629931506846</v>
      </c>
      <c r="D110" s="33">
        <f>'B) D RI'!AA112</f>
        <v>843</v>
      </c>
      <c r="E110" s="211">
        <f t="shared" si="10"/>
        <v>25.296120915191988</v>
      </c>
      <c r="F110" s="409">
        <f t="shared" si="11"/>
        <v>0.55939022757264578</v>
      </c>
      <c r="G110" s="420">
        <f t="shared" si="12"/>
        <v>0</v>
      </c>
      <c r="H110" s="417">
        <f t="shared" si="13"/>
        <v>0</v>
      </c>
      <c r="I110" s="420">
        <f t="shared" si="14"/>
        <v>0</v>
      </c>
      <c r="J110" s="417">
        <f t="shared" si="15"/>
        <v>0</v>
      </c>
      <c r="K110" s="412">
        <f t="shared" si="16"/>
        <v>0</v>
      </c>
      <c r="L110" s="416">
        <f t="shared" si="17"/>
        <v>0</v>
      </c>
      <c r="M110" s="119">
        <f>L110*D110*'B) D RI'!S112</f>
        <v>0</v>
      </c>
    </row>
    <row r="111" spans="1:13" x14ac:dyDescent="0.25">
      <c r="A111" s="313">
        <f>'A) Base RI'!A113</f>
        <v>5581</v>
      </c>
      <c r="B111" s="33" t="str">
        <f>'A) Base RI'!B113</f>
        <v>Belmont-sur-Lausanne</v>
      </c>
      <c r="C111" s="311">
        <f>'B) D RI'!U113</f>
        <v>192051.94455635498</v>
      </c>
      <c r="D111" s="33">
        <f>'B) D RI'!AA113</f>
        <v>3662</v>
      </c>
      <c r="E111" s="211">
        <f t="shared" si="10"/>
        <v>52.444550670768699</v>
      </c>
      <c r="F111" s="409">
        <f t="shared" si="11"/>
        <v>1.159741813103355</v>
      </c>
      <c r="G111" s="420">
        <f t="shared" si="12"/>
        <v>7.2236660926467451</v>
      </c>
      <c r="H111" s="417">
        <f t="shared" si="13"/>
        <v>0</v>
      </c>
      <c r="I111" s="420">
        <f t="shared" si="14"/>
        <v>0</v>
      </c>
      <c r="J111" s="417">
        <f t="shared" si="15"/>
        <v>0</v>
      </c>
      <c r="K111" s="412">
        <f t="shared" si="16"/>
        <v>0</v>
      </c>
      <c r="L111" s="416">
        <f t="shared" si="17"/>
        <v>1.4447332185293491</v>
      </c>
      <c r="M111" s="119">
        <f>L111*D111*'B) D RI'!S113</f>
        <v>367697.60671468609</v>
      </c>
    </row>
    <row r="112" spans="1:13" x14ac:dyDescent="0.25">
      <c r="A112" s="313">
        <f>'A) Base RI'!A114</f>
        <v>5582</v>
      </c>
      <c r="B112" s="33" t="str">
        <f>'A) Base RI'!B114</f>
        <v>Cheseaux-sur-Lausanne</v>
      </c>
      <c r="C112" s="311">
        <f>'B) D RI'!U114</f>
        <v>179002.65087248324</v>
      </c>
      <c r="D112" s="33">
        <f>'B) D RI'!AA114</f>
        <v>4357</v>
      </c>
      <c r="E112" s="211">
        <f t="shared" si="10"/>
        <v>41.08392262393464</v>
      </c>
      <c r="F112" s="409">
        <f t="shared" si="11"/>
        <v>0.90851656280539028</v>
      </c>
      <c r="G112" s="420">
        <f t="shared" si="12"/>
        <v>0</v>
      </c>
      <c r="H112" s="417">
        <f t="shared" si="13"/>
        <v>0</v>
      </c>
      <c r="I112" s="420">
        <f t="shared" si="14"/>
        <v>0</v>
      </c>
      <c r="J112" s="417">
        <f t="shared" si="15"/>
        <v>0</v>
      </c>
      <c r="K112" s="412">
        <f t="shared" si="16"/>
        <v>0</v>
      </c>
      <c r="L112" s="416">
        <f t="shared" si="17"/>
        <v>0</v>
      </c>
      <c r="M112" s="119">
        <f>L112*D112*'B) D RI'!S114</f>
        <v>0</v>
      </c>
    </row>
    <row r="113" spans="1:13" x14ac:dyDescent="0.25">
      <c r="A113" s="313">
        <f>'A) Base RI'!A115</f>
        <v>5583</v>
      </c>
      <c r="B113" s="33" t="str">
        <f>'A) Base RI'!B115</f>
        <v>Crissier</v>
      </c>
      <c r="C113" s="311">
        <f>'B) D RI'!U115</f>
        <v>294545.40292307688</v>
      </c>
      <c r="D113" s="33">
        <f>'B) D RI'!AA115</f>
        <v>8008</v>
      </c>
      <c r="E113" s="211">
        <f t="shared" si="10"/>
        <v>36.781393971413195</v>
      </c>
      <c r="F113" s="409">
        <f t="shared" si="11"/>
        <v>0.81337183725079498</v>
      </c>
      <c r="G113" s="420">
        <f t="shared" si="12"/>
        <v>0</v>
      </c>
      <c r="H113" s="417">
        <f t="shared" si="13"/>
        <v>0</v>
      </c>
      <c r="I113" s="420">
        <f t="shared" si="14"/>
        <v>0</v>
      </c>
      <c r="J113" s="417">
        <f t="shared" si="15"/>
        <v>0</v>
      </c>
      <c r="K113" s="412">
        <f t="shared" si="16"/>
        <v>0</v>
      </c>
      <c r="L113" s="416">
        <f t="shared" si="17"/>
        <v>0</v>
      </c>
      <c r="M113" s="119">
        <f>L113*D113*'B) D RI'!S115</f>
        <v>0</v>
      </c>
    </row>
    <row r="114" spans="1:13" x14ac:dyDescent="0.25">
      <c r="A114" s="313">
        <f>'A) Base RI'!A116</f>
        <v>5584</v>
      </c>
      <c r="B114" s="33" t="str">
        <f>'A) Base RI'!B116</f>
        <v>Epalinges</v>
      </c>
      <c r="C114" s="311">
        <f>'B) D RI'!U116</f>
        <v>414398.09409090912</v>
      </c>
      <c r="D114" s="33">
        <f>'B) D RI'!AA116</f>
        <v>9335</v>
      </c>
      <c r="E114" s="211">
        <f t="shared" si="10"/>
        <v>44.391868676048112</v>
      </c>
      <c r="F114" s="409">
        <f t="shared" si="11"/>
        <v>0.98166741075925523</v>
      </c>
      <c r="G114" s="420">
        <f t="shared" si="12"/>
        <v>0</v>
      </c>
      <c r="H114" s="417">
        <f t="shared" si="13"/>
        <v>0</v>
      </c>
      <c r="I114" s="420">
        <f t="shared" si="14"/>
        <v>0</v>
      </c>
      <c r="J114" s="417">
        <f t="shared" si="15"/>
        <v>0</v>
      </c>
      <c r="K114" s="412">
        <f t="shared" si="16"/>
        <v>0</v>
      </c>
      <c r="L114" s="416">
        <f t="shared" si="17"/>
        <v>0</v>
      </c>
      <c r="M114" s="119">
        <f>L114*D114*'B) D RI'!S116</f>
        <v>0</v>
      </c>
    </row>
    <row r="115" spans="1:13" x14ac:dyDescent="0.25">
      <c r="A115" s="313">
        <f>'A) Base RI'!A117</f>
        <v>5585</v>
      </c>
      <c r="B115" s="33" t="str">
        <f>'A) Base RI'!B117</f>
        <v>Jouxtens-Mézery</v>
      </c>
      <c r="C115" s="311">
        <f>'B) D RI'!U117</f>
        <v>171586.66471698115</v>
      </c>
      <c r="D115" s="33">
        <f>'B) D RI'!AA117</f>
        <v>1469</v>
      </c>
      <c r="E115" s="211">
        <f t="shared" si="10"/>
        <v>116.80508149556239</v>
      </c>
      <c r="F115" s="409">
        <f t="shared" si="11"/>
        <v>2.5829897531918951</v>
      </c>
      <c r="G115" s="420">
        <f t="shared" si="12"/>
        <v>71.584196917440437</v>
      </c>
      <c r="H115" s="417">
        <f t="shared" si="13"/>
        <v>62.540020001816046</v>
      </c>
      <c r="I115" s="420">
        <f t="shared" si="14"/>
        <v>48.973754628379467</v>
      </c>
      <c r="J115" s="417">
        <f t="shared" si="15"/>
        <v>26.363312339318483</v>
      </c>
      <c r="K115" s="412">
        <f t="shared" si="16"/>
        <v>0</v>
      </c>
      <c r="L115" s="416">
        <f t="shared" si="17"/>
        <v>28.104548080439486</v>
      </c>
      <c r="M115" s="119">
        <f>L115*D115*'B) D RI'!S117</f>
        <v>2188135.7998987772</v>
      </c>
    </row>
    <row r="116" spans="1:13" x14ac:dyDescent="0.25">
      <c r="A116" s="313">
        <f>'A) Base RI'!A118</f>
        <v>5586</v>
      </c>
      <c r="B116" s="33" t="str">
        <f>'A) Base RI'!B118</f>
        <v>Lausanne</v>
      </c>
      <c r="C116" s="311">
        <f>'B) D RI'!U118</f>
        <v>5871810.1056962032</v>
      </c>
      <c r="D116" s="33">
        <f>'B) D RI'!AA118</f>
        <v>139624</v>
      </c>
      <c r="E116" s="211">
        <f t="shared" si="10"/>
        <v>42.054446984015662</v>
      </c>
      <c r="F116" s="409">
        <f t="shared" si="11"/>
        <v>0.92997842426907706</v>
      </c>
      <c r="G116" s="420">
        <f t="shared" si="12"/>
        <v>0</v>
      </c>
      <c r="H116" s="417">
        <f t="shared" si="13"/>
        <v>0</v>
      </c>
      <c r="I116" s="420">
        <f t="shared" si="14"/>
        <v>0</v>
      </c>
      <c r="J116" s="417">
        <f t="shared" si="15"/>
        <v>0</v>
      </c>
      <c r="K116" s="412">
        <f t="shared" si="16"/>
        <v>0</v>
      </c>
      <c r="L116" s="416">
        <f t="shared" si="17"/>
        <v>0</v>
      </c>
      <c r="M116" s="119">
        <f>L116*D116*'B) D RI'!S118</f>
        <v>0</v>
      </c>
    </row>
    <row r="117" spans="1:13" x14ac:dyDescent="0.25">
      <c r="A117" s="313">
        <f>'A) Base RI'!A119</f>
        <v>5587</v>
      </c>
      <c r="B117" s="33" t="str">
        <f>'A) Base RI'!B119</f>
        <v>Le Mont-sur-Lausanne</v>
      </c>
      <c r="C117" s="311">
        <f>'B) D RI'!U119</f>
        <v>415945.64633333334</v>
      </c>
      <c r="D117" s="33">
        <f>'B) D RI'!AA119</f>
        <v>8093</v>
      </c>
      <c r="E117" s="211">
        <f t="shared" si="10"/>
        <v>51.395730425470575</v>
      </c>
      <c r="F117" s="409">
        <f t="shared" si="11"/>
        <v>1.1365485417845196</v>
      </c>
      <c r="G117" s="420">
        <f t="shared" si="12"/>
        <v>6.174845847348621</v>
      </c>
      <c r="H117" s="417">
        <f t="shared" si="13"/>
        <v>0</v>
      </c>
      <c r="I117" s="420">
        <f t="shared" si="14"/>
        <v>0</v>
      </c>
      <c r="J117" s="417">
        <f t="shared" si="15"/>
        <v>0</v>
      </c>
      <c r="K117" s="412">
        <f t="shared" si="16"/>
        <v>0</v>
      </c>
      <c r="L117" s="416">
        <f t="shared" si="17"/>
        <v>1.2349691694697242</v>
      </c>
      <c r="M117" s="119">
        <f>L117*D117*'B) D RI'!S119</f>
        <v>749595.41163888585</v>
      </c>
    </row>
    <row r="118" spans="1:13" x14ac:dyDescent="0.25">
      <c r="A118" s="313">
        <f>'A) Base RI'!A120</f>
        <v>5588</v>
      </c>
      <c r="B118" s="33" t="str">
        <f>'A) Base RI'!B120</f>
        <v>Paudex</v>
      </c>
      <c r="C118" s="311">
        <f>'B) D RI'!U120</f>
        <v>147210.22826945415</v>
      </c>
      <c r="D118" s="33">
        <f>'B) D RI'!AA120</f>
        <v>1480</v>
      </c>
      <c r="E118" s="211">
        <f t="shared" si="10"/>
        <v>99.466370452333891</v>
      </c>
      <c r="F118" s="409">
        <f t="shared" si="11"/>
        <v>2.1995671110877852</v>
      </c>
      <c r="G118" s="420">
        <f t="shared" si="12"/>
        <v>54.245485874211937</v>
      </c>
      <c r="H118" s="417">
        <f t="shared" si="13"/>
        <v>45.201308958587546</v>
      </c>
      <c r="I118" s="420">
        <f t="shared" si="14"/>
        <v>31.635043585150967</v>
      </c>
      <c r="J118" s="417">
        <f t="shared" si="15"/>
        <v>9.0246012960899833</v>
      </c>
      <c r="K118" s="412">
        <f t="shared" si="16"/>
        <v>0</v>
      </c>
      <c r="L118" s="416">
        <f t="shared" si="17"/>
        <v>19.435192558825236</v>
      </c>
      <c r="M118" s="119">
        <f>L118*D118*'B) D RI'!S120</f>
        <v>1768991.2267042729</v>
      </c>
    </row>
    <row r="119" spans="1:13" x14ac:dyDescent="0.25">
      <c r="A119" s="313">
        <f>'A) Base RI'!A121</f>
        <v>5589</v>
      </c>
      <c r="B119" s="33" t="str">
        <f>'A) Base RI'!B121</f>
        <v>Prilly</v>
      </c>
      <c r="C119" s="311">
        <f>'B) D RI'!U121</f>
        <v>397261.42585034011</v>
      </c>
      <c r="D119" s="33">
        <f>'B) D RI'!AA121</f>
        <v>12105</v>
      </c>
      <c r="E119" s="211">
        <f t="shared" si="10"/>
        <v>32.817961656368453</v>
      </c>
      <c r="F119" s="409">
        <f t="shared" si="11"/>
        <v>0.72572577831097795</v>
      </c>
      <c r="G119" s="420">
        <f t="shared" si="12"/>
        <v>0</v>
      </c>
      <c r="H119" s="417">
        <f t="shared" si="13"/>
        <v>0</v>
      </c>
      <c r="I119" s="420">
        <f t="shared" si="14"/>
        <v>0</v>
      </c>
      <c r="J119" s="417">
        <f t="shared" si="15"/>
        <v>0</v>
      </c>
      <c r="K119" s="412">
        <f t="shared" si="16"/>
        <v>0</v>
      </c>
      <c r="L119" s="416">
        <f t="shared" si="17"/>
        <v>0</v>
      </c>
      <c r="M119" s="119">
        <f>L119*D119*'B) D RI'!S121</f>
        <v>0</v>
      </c>
    </row>
    <row r="120" spans="1:13" x14ac:dyDescent="0.25">
      <c r="A120" s="313">
        <f>'A) Base RI'!A122</f>
        <v>5590</v>
      </c>
      <c r="B120" s="33" t="str">
        <f>'A) Base RI'!B122</f>
        <v>Pully</v>
      </c>
      <c r="C120" s="311">
        <f>'B) D RI'!U122</f>
        <v>1436103.5918735364</v>
      </c>
      <c r="D120" s="33">
        <f>'B) D RI'!AA122</f>
        <v>18194</v>
      </c>
      <c r="E120" s="211">
        <f t="shared" si="10"/>
        <v>78.932812568623518</v>
      </c>
      <c r="F120" s="409">
        <f t="shared" si="11"/>
        <v>1.745494660376713</v>
      </c>
      <c r="G120" s="420">
        <f t="shared" si="12"/>
        <v>33.711927990501565</v>
      </c>
      <c r="H120" s="417">
        <f t="shared" si="13"/>
        <v>24.667751074877174</v>
      </c>
      <c r="I120" s="420">
        <f t="shared" si="14"/>
        <v>11.101485701440595</v>
      </c>
      <c r="J120" s="417">
        <f t="shared" si="15"/>
        <v>0</v>
      </c>
      <c r="K120" s="412">
        <f t="shared" si="16"/>
        <v>0</v>
      </c>
      <c r="L120" s="416">
        <f t="shared" si="17"/>
        <v>10.319309275732088</v>
      </c>
      <c r="M120" s="119">
        <f>L120*D120*'B) D RI'!S122</f>
        <v>11452720.290722847</v>
      </c>
    </row>
    <row r="121" spans="1:13" x14ac:dyDescent="0.25">
      <c r="A121" s="313">
        <f>'A) Base RI'!A123</f>
        <v>5591</v>
      </c>
      <c r="B121" s="33" t="str">
        <f>'A) Base RI'!B123</f>
        <v>Renens</v>
      </c>
      <c r="C121" s="311">
        <f>'B) D RI'!U123</f>
        <v>526209.31525022746</v>
      </c>
      <c r="D121" s="33">
        <f>'B) D RI'!AA123</f>
        <v>21114</v>
      </c>
      <c r="E121" s="211">
        <f t="shared" si="10"/>
        <v>24.922293987412498</v>
      </c>
      <c r="F121" s="409">
        <f t="shared" si="11"/>
        <v>0.55112353992893814</v>
      </c>
      <c r="G121" s="420">
        <f t="shared" si="12"/>
        <v>0</v>
      </c>
      <c r="H121" s="417">
        <f t="shared" si="13"/>
        <v>0</v>
      </c>
      <c r="I121" s="420">
        <f t="shared" si="14"/>
        <v>0</v>
      </c>
      <c r="J121" s="417">
        <f t="shared" si="15"/>
        <v>0</v>
      </c>
      <c r="K121" s="412">
        <f t="shared" si="16"/>
        <v>0</v>
      </c>
      <c r="L121" s="416">
        <f t="shared" si="17"/>
        <v>0</v>
      </c>
      <c r="M121" s="119">
        <f>L121*D121*'B) D RI'!S123</f>
        <v>0</v>
      </c>
    </row>
    <row r="122" spans="1:13" x14ac:dyDescent="0.25">
      <c r="A122" s="313">
        <f>'A) Base RI'!A124</f>
        <v>5592</v>
      </c>
      <c r="B122" s="33" t="str">
        <f>'A) Base RI'!B124</f>
        <v>Romanel-sur-Lausanne</v>
      </c>
      <c r="C122" s="311">
        <f>'B) D RI'!U124</f>
        <v>111498.54042857142</v>
      </c>
      <c r="D122" s="33">
        <f>'B) D RI'!AA124</f>
        <v>3300</v>
      </c>
      <c r="E122" s="211">
        <f t="shared" si="10"/>
        <v>33.78743649350649</v>
      </c>
      <c r="F122" s="409">
        <f t="shared" si="11"/>
        <v>0.74716443096411667</v>
      </c>
      <c r="G122" s="420">
        <f t="shared" si="12"/>
        <v>0</v>
      </c>
      <c r="H122" s="417">
        <f t="shared" si="13"/>
        <v>0</v>
      </c>
      <c r="I122" s="420">
        <f t="shared" si="14"/>
        <v>0</v>
      </c>
      <c r="J122" s="417">
        <f t="shared" si="15"/>
        <v>0</v>
      </c>
      <c r="K122" s="412">
        <f t="shared" si="16"/>
        <v>0</v>
      </c>
      <c r="L122" s="416">
        <f t="shared" si="17"/>
        <v>0</v>
      </c>
      <c r="M122" s="119">
        <f>L122*D122*'B) D RI'!S124</f>
        <v>0</v>
      </c>
    </row>
    <row r="123" spans="1:13" x14ac:dyDescent="0.25">
      <c r="A123" s="313">
        <f>'A) Base RI'!A125</f>
        <v>5601</v>
      </c>
      <c r="B123" s="33" t="str">
        <f>'A) Base RI'!B125</f>
        <v>Chexbres</v>
      </c>
      <c r="C123" s="311">
        <f>'B) D RI'!U125</f>
        <v>116832.8703125</v>
      </c>
      <c r="D123" s="33">
        <f>'B) D RI'!AA125</f>
        <v>2250</v>
      </c>
      <c r="E123" s="211">
        <f t="shared" si="10"/>
        <v>51.925720138888892</v>
      </c>
      <c r="F123" s="409">
        <f t="shared" si="11"/>
        <v>1.1482685627076556</v>
      </c>
      <c r="G123" s="420">
        <f t="shared" si="12"/>
        <v>6.7048355607669379</v>
      </c>
      <c r="H123" s="417">
        <f t="shared" si="13"/>
        <v>0</v>
      </c>
      <c r="I123" s="420">
        <f t="shared" si="14"/>
        <v>0</v>
      </c>
      <c r="J123" s="417">
        <f t="shared" si="15"/>
        <v>0</v>
      </c>
      <c r="K123" s="412">
        <f t="shared" si="16"/>
        <v>0</v>
      </c>
      <c r="L123" s="416">
        <f t="shared" si="17"/>
        <v>1.3409671121533877</v>
      </c>
      <c r="M123" s="119">
        <f>L123*D123*'B) D RI'!S125</f>
        <v>193099.26415008784</v>
      </c>
    </row>
    <row r="124" spans="1:13" x14ac:dyDescent="0.25">
      <c r="A124" s="313">
        <f>'A) Base RI'!A126</f>
        <v>5604</v>
      </c>
      <c r="B124" s="33" t="str">
        <f>'A) Base RI'!B126</f>
        <v>Forel (Lavaux)</v>
      </c>
      <c r="C124" s="311">
        <f>'B) D RI'!U126</f>
        <v>69144.285441176457</v>
      </c>
      <c r="D124" s="33">
        <f>'B) D RI'!AA126</f>
        <v>2084</v>
      </c>
      <c r="E124" s="211">
        <f t="shared" si="10"/>
        <v>33.178639847013656</v>
      </c>
      <c r="F124" s="409">
        <f t="shared" si="11"/>
        <v>0.7337016990389793</v>
      </c>
      <c r="G124" s="420">
        <f t="shared" si="12"/>
        <v>0</v>
      </c>
      <c r="H124" s="417">
        <f t="shared" si="13"/>
        <v>0</v>
      </c>
      <c r="I124" s="420">
        <f t="shared" si="14"/>
        <v>0</v>
      </c>
      <c r="J124" s="417">
        <f t="shared" si="15"/>
        <v>0</v>
      </c>
      <c r="K124" s="412">
        <f t="shared" si="16"/>
        <v>0</v>
      </c>
      <c r="L124" s="416">
        <f t="shared" si="17"/>
        <v>0</v>
      </c>
      <c r="M124" s="119">
        <f>L124*D124*'B) D RI'!S126</f>
        <v>0</v>
      </c>
    </row>
    <row r="125" spans="1:13" x14ac:dyDescent="0.25">
      <c r="A125" s="313">
        <f>'A) Base RI'!A127</f>
        <v>5606</v>
      </c>
      <c r="B125" s="33" t="str">
        <f>'A) Base RI'!B127</f>
        <v>Lutry</v>
      </c>
      <c r="C125" s="311">
        <f>'B) D RI'!U127</f>
        <v>819312.37389961397</v>
      </c>
      <c r="D125" s="33">
        <f>'B) D RI'!AA127</f>
        <v>10001</v>
      </c>
      <c r="E125" s="211">
        <f t="shared" si="10"/>
        <v>81.923045085452856</v>
      </c>
      <c r="F125" s="409">
        <f t="shared" si="11"/>
        <v>1.8116196940801896</v>
      </c>
      <c r="G125" s="420">
        <f t="shared" si="12"/>
        <v>36.702160507330902</v>
      </c>
      <c r="H125" s="417">
        <f t="shared" si="13"/>
        <v>27.657983591706511</v>
      </c>
      <c r="I125" s="420">
        <f t="shared" si="14"/>
        <v>14.091718218269932</v>
      </c>
      <c r="J125" s="417">
        <f t="shared" si="15"/>
        <v>0</v>
      </c>
      <c r="K125" s="412">
        <f t="shared" si="16"/>
        <v>0</v>
      </c>
      <c r="L125" s="416">
        <f t="shared" si="17"/>
        <v>11.515402282463825</v>
      </c>
      <c r="M125" s="119">
        <f>L125*D125*'B) D RI'!S127</f>
        <v>6391687.3715940993</v>
      </c>
    </row>
    <row r="126" spans="1:13" x14ac:dyDescent="0.25">
      <c r="A126" s="313">
        <f>'A) Base RI'!A128</f>
        <v>5607</v>
      </c>
      <c r="B126" s="33" t="str">
        <f>'A) Base RI'!B128</f>
        <v>Puidoux</v>
      </c>
      <c r="C126" s="311">
        <f>'B) D RI'!U128</f>
        <v>104767.98296273292</v>
      </c>
      <c r="D126" s="33">
        <f>'B) D RI'!AA128</f>
        <v>2904</v>
      </c>
      <c r="E126" s="211">
        <f t="shared" si="10"/>
        <v>36.077129119398386</v>
      </c>
      <c r="F126" s="409">
        <f t="shared" si="11"/>
        <v>0.79779795233931905</v>
      </c>
      <c r="G126" s="420">
        <f t="shared" si="12"/>
        <v>0</v>
      </c>
      <c r="H126" s="417">
        <f t="shared" si="13"/>
        <v>0</v>
      </c>
      <c r="I126" s="420">
        <f t="shared" si="14"/>
        <v>0</v>
      </c>
      <c r="J126" s="417">
        <f t="shared" si="15"/>
        <v>0</v>
      </c>
      <c r="K126" s="412">
        <f t="shared" si="16"/>
        <v>0</v>
      </c>
      <c r="L126" s="416">
        <f t="shared" si="17"/>
        <v>0</v>
      </c>
      <c r="M126" s="119">
        <f>L126*D126*'B) D RI'!S128</f>
        <v>0</v>
      </c>
    </row>
    <row r="127" spans="1:13" x14ac:dyDescent="0.25">
      <c r="A127" s="313">
        <f>'A) Base RI'!A129</f>
        <v>5609</v>
      </c>
      <c r="B127" s="33" t="str">
        <f>'A) Base RI'!B129</f>
        <v>Rivaz</v>
      </c>
      <c r="C127" s="311">
        <f>'B) D RI'!U129</f>
        <v>15550.240157480319</v>
      </c>
      <c r="D127" s="33">
        <f>'B) D RI'!AA129</f>
        <v>351</v>
      </c>
      <c r="E127" s="211">
        <f t="shared" si="10"/>
        <v>44.302678511339941</v>
      </c>
      <c r="F127" s="409">
        <f t="shared" si="11"/>
        <v>0.97969508833477692</v>
      </c>
      <c r="G127" s="420">
        <f t="shared" si="12"/>
        <v>0</v>
      </c>
      <c r="H127" s="417">
        <f t="shared" si="13"/>
        <v>0</v>
      </c>
      <c r="I127" s="420">
        <f t="shared" si="14"/>
        <v>0</v>
      </c>
      <c r="J127" s="417">
        <f t="shared" si="15"/>
        <v>0</v>
      </c>
      <c r="K127" s="412">
        <f t="shared" si="16"/>
        <v>0</v>
      </c>
      <c r="L127" s="416">
        <f t="shared" si="17"/>
        <v>0</v>
      </c>
      <c r="M127" s="119">
        <f>L127*D127*'B) D RI'!S129</f>
        <v>0</v>
      </c>
    </row>
    <row r="128" spans="1:13" x14ac:dyDescent="0.25">
      <c r="A128" s="313">
        <f>'A) Base RI'!A130</f>
        <v>5610</v>
      </c>
      <c r="B128" s="33" t="str">
        <f>'A) Base RI'!B130</f>
        <v>St-Saphorin (Lavaux)</v>
      </c>
      <c r="C128" s="311">
        <f>'B) D RI'!U130</f>
        <v>15345.496567164178</v>
      </c>
      <c r="D128" s="33">
        <f>'B) D RI'!AA130</f>
        <v>389</v>
      </c>
      <c r="E128" s="211">
        <f t="shared" si="10"/>
        <v>39.448577293481179</v>
      </c>
      <c r="F128" s="409">
        <f t="shared" si="11"/>
        <v>0.87235306565777704</v>
      </c>
      <c r="G128" s="420">
        <f t="shared" si="12"/>
        <v>0</v>
      </c>
      <c r="H128" s="417">
        <f t="shared" si="13"/>
        <v>0</v>
      </c>
      <c r="I128" s="420">
        <f t="shared" si="14"/>
        <v>0</v>
      </c>
      <c r="J128" s="417">
        <f t="shared" si="15"/>
        <v>0</v>
      </c>
      <c r="K128" s="412">
        <f t="shared" si="16"/>
        <v>0</v>
      </c>
      <c r="L128" s="416">
        <f t="shared" si="17"/>
        <v>0</v>
      </c>
      <c r="M128" s="119">
        <f>L128*D128*'B) D RI'!S130</f>
        <v>0</v>
      </c>
    </row>
    <row r="129" spans="1:13" x14ac:dyDescent="0.25">
      <c r="A129" s="313">
        <f>'A) Base RI'!A131</f>
        <v>5611</v>
      </c>
      <c r="B129" s="33" t="str">
        <f>'A) Base RI'!B131</f>
        <v>Savigny</v>
      </c>
      <c r="C129" s="311">
        <f>'B) D RI'!U131</f>
        <v>131982.7743236715</v>
      </c>
      <c r="D129" s="33">
        <f>'B) D RI'!AA131</f>
        <v>3352</v>
      </c>
      <c r="E129" s="211">
        <f t="shared" si="10"/>
        <v>39.374336015415125</v>
      </c>
      <c r="F129" s="409">
        <f t="shared" si="11"/>
        <v>0.87071131807237112</v>
      </c>
      <c r="G129" s="420">
        <f t="shared" si="12"/>
        <v>0</v>
      </c>
      <c r="H129" s="417">
        <f t="shared" si="13"/>
        <v>0</v>
      </c>
      <c r="I129" s="420">
        <f t="shared" si="14"/>
        <v>0</v>
      </c>
      <c r="J129" s="417">
        <f t="shared" si="15"/>
        <v>0</v>
      </c>
      <c r="K129" s="412">
        <f t="shared" si="16"/>
        <v>0</v>
      </c>
      <c r="L129" s="416">
        <f t="shared" si="17"/>
        <v>0</v>
      </c>
      <c r="M129" s="119">
        <f>L129*D129*'B) D RI'!S131</f>
        <v>0</v>
      </c>
    </row>
    <row r="130" spans="1:13" x14ac:dyDescent="0.25">
      <c r="A130" s="313">
        <f>'A) Base RI'!A132</f>
        <v>5613</v>
      </c>
      <c r="B130" s="33" t="str">
        <f>'A) Base RI'!B132</f>
        <v>Bourg-en-Lavaux</v>
      </c>
      <c r="C130" s="311">
        <f>'B) D RI'!U132</f>
        <v>329819.74420765025</v>
      </c>
      <c r="D130" s="33">
        <f>'B) D RI'!AA132</f>
        <v>5288</v>
      </c>
      <c r="E130" s="211">
        <f t="shared" si="10"/>
        <v>62.371358586923272</v>
      </c>
      <c r="F130" s="409">
        <f t="shared" si="11"/>
        <v>1.3792600292719348</v>
      </c>
      <c r="G130" s="420">
        <f t="shared" si="12"/>
        <v>17.150474008801318</v>
      </c>
      <c r="H130" s="417">
        <f t="shared" si="13"/>
        <v>8.1062970931769271</v>
      </c>
      <c r="I130" s="420">
        <f t="shared" si="14"/>
        <v>0</v>
      </c>
      <c r="J130" s="417">
        <f t="shared" si="15"/>
        <v>0</v>
      </c>
      <c r="K130" s="412">
        <f t="shared" si="16"/>
        <v>0</v>
      </c>
      <c r="L130" s="416">
        <f t="shared" si="17"/>
        <v>4.2407245110779561</v>
      </c>
      <c r="M130" s="119">
        <f>L130*D130*'B) D RI'!S132</f>
        <v>1367922.0240893941</v>
      </c>
    </row>
    <row r="131" spans="1:13" x14ac:dyDescent="0.25">
      <c r="A131" s="313">
        <f>'A) Base RI'!A133</f>
        <v>5621</v>
      </c>
      <c r="B131" s="33" t="str">
        <f>'A) Base RI'!B133</f>
        <v>Aclens</v>
      </c>
      <c r="C131" s="311">
        <f>'B) D RI'!U133</f>
        <v>29752.054618768325</v>
      </c>
      <c r="D131" s="33">
        <f>'B) D RI'!AA133</f>
        <v>545</v>
      </c>
      <c r="E131" s="211">
        <f t="shared" si="10"/>
        <v>54.590925905996926</v>
      </c>
      <c r="F131" s="409">
        <f t="shared" si="11"/>
        <v>1.2072060601045438</v>
      </c>
      <c r="G131" s="420">
        <f t="shared" si="12"/>
        <v>9.3700413278749721</v>
      </c>
      <c r="H131" s="417">
        <f t="shared" si="13"/>
        <v>0.32586441225058138</v>
      </c>
      <c r="I131" s="420">
        <f t="shared" si="14"/>
        <v>0</v>
      </c>
      <c r="J131" s="417">
        <f t="shared" si="15"/>
        <v>0</v>
      </c>
      <c r="K131" s="412">
        <f t="shared" si="16"/>
        <v>0</v>
      </c>
      <c r="L131" s="416">
        <f t="shared" si="17"/>
        <v>1.9065947068000526</v>
      </c>
      <c r="M131" s="119">
        <f>L131*D131*'B) D RI'!S133</f>
        <v>64423.835142773773</v>
      </c>
    </row>
    <row r="132" spans="1:13" x14ac:dyDescent="0.25">
      <c r="A132" s="313">
        <f>'A) Base RI'!A134</f>
        <v>5622</v>
      </c>
      <c r="B132" s="33" t="str">
        <f>'A) Base RI'!B134</f>
        <v>Bremblens</v>
      </c>
      <c r="C132" s="311">
        <f>'B) D RI'!U134</f>
        <v>30065.565151515151</v>
      </c>
      <c r="D132" s="33">
        <f>'B) D RI'!AA134</f>
        <v>547</v>
      </c>
      <c r="E132" s="211">
        <f t="shared" si="10"/>
        <v>54.964470112459146</v>
      </c>
      <c r="F132" s="409">
        <f t="shared" si="11"/>
        <v>1.2154664957405805</v>
      </c>
      <c r="G132" s="420">
        <f t="shared" si="12"/>
        <v>9.7435855343371927</v>
      </c>
      <c r="H132" s="417">
        <f t="shared" si="13"/>
        <v>0.69940861871280191</v>
      </c>
      <c r="I132" s="420">
        <f t="shared" si="14"/>
        <v>0</v>
      </c>
      <c r="J132" s="417">
        <f t="shared" si="15"/>
        <v>0</v>
      </c>
      <c r="K132" s="412">
        <f t="shared" si="16"/>
        <v>0</v>
      </c>
      <c r="L132" s="416">
        <f t="shared" si="17"/>
        <v>2.0186579687387187</v>
      </c>
      <c r="M132" s="119">
        <f>L132*D132*'B) D RI'!S134</f>
        <v>72877.589987405212</v>
      </c>
    </row>
    <row r="133" spans="1:13" x14ac:dyDescent="0.25">
      <c r="A133" s="313">
        <f>'A) Base RI'!A135</f>
        <v>5623</v>
      </c>
      <c r="B133" s="33" t="str">
        <f>'A) Base RI'!B135</f>
        <v>Buchillon</v>
      </c>
      <c r="C133" s="311">
        <f>'B) D RI'!U135</f>
        <v>74720.547735849046</v>
      </c>
      <c r="D133" s="33">
        <f>'B) D RI'!AA135</f>
        <v>638</v>
      </c>
      <c r="E133" s="211">
        <f t="shared" si="10"/>
        <v>117.11684598095462</v>
      </c>
      <c r="F133" s="409">
        <f t="shared" si="11"/>
        <v>2.5898840120791493</v>
      </c>
      <c r="G133" s="420">
        <f t="shared" si="12"/>
        <v>71.895961402832668</v>
      </c>
      <c r="H133" s="417">
        <f t="shared" si="13"/>
        <v>62.851784487208278</v>
      </c>
      <c r="I133" s="420">
        <f t="shared" si="14"/>
        <v>49.285519113771699</v>
      </c>
      <c r="J133" s="417">
        <f t="shared" si="15"/>
        <v>26.675076824710715</v>
      </c>
      <c r="K133" s="412">
        <f t="shared" si="16"/>
        <v>0</v>
      </c>
      <c r="L133" s="416">
        <f t="shared" si="17"/>
        <v>28.260430323135601</v>
      </c>
      <c r="M133" s="119">
        <f>L133*D133*'B) D RI'!S135</f>
        <v>955598.19094650715</v>
      </c>
    </row>
    <row r="134" spans="1:13" x14ac:dyDescent="0.25">
      <c r="A134" s="313">
        <f>'A) Base RI'!A136</f>
        <v>5624</v>
      </c>
      <c r="B134" s="33" t="str">
        <f>'A) Base RI'!B136</f>
        <v>Bussigny</v>
      </c>
      <c r="C134" s="311">
        <f>'B) D RI'!U136</f>
        <v>313352.53032258071</v>
      </c>
      <c r="D134" s="33">
        <f>'B) D RI'!AA136</f>
        <v>8677</v>
      </c>
      <c r="E134" s="211">
        <f t="shared" ref="E134:E197" si="18">C134/D134</f>
        <v>36.113003379345479</v>
      </c>
      <c r="F134" s="409">
        <f t="shared" ref="F134:F197" si="19">E134/$E$314</f>
        <v>0.7985912641084667</v>
      </c>
      <c r="G134" s="420">
        <f t="shared" ref="G134:G197" si="20">IF(E134-$G$2&lt;0,0,E134-$G$2)</f>
        <v>0</v>
      </c>
      <c r="H134" s="417">
        <f t="shared" ref="H134:H197" si="21">IF(E134-$H$2&lt;0,0,E134-$H$2)</f>
        <v>0</v>
      </c>
      <c r="I134" s="420">
        <f t="shared" ref="I134:I197" si="22">IF(E134-$I$2&lt;0,0,E134-$I$2)</f>
        <v>0</v>
      </c>
      <c r="J134" s="417">
        <f t="shared" ref="J134:J197" si="23">IF(E134-$J$2&lt;0,0,E134-$J$2)</f>
        <v>0</v>
      </c>
      <c r="K134" s="412">
        <f t="shared" ref="K134:K197" si="24">IF(E134-$K$2&lt;0,0,E134-$K$2)</f>
        <v>0</v>
      </c>
      <c r="L134" s="416">
        <f t="shared" ref="L134:L197" si="25">(G134-H134)*$G$3+(H134-I134)*$H$3+(I134-J134)*$I$3+(J134-K134)*$J$3+(K134*$K$3)</f>
        <v>0</v>
      </c>
      <c r="M134" s="119">
        <f>L134*D134*'B) D RI'!S136</f>
        <v>0</v>
      </c>
    </row>
    <row r="135" spans="1:13" x14ac:dyDescent="0.25">
      <c r="A135" s="313">
        <f>'A) Base RI'!A137</f>
        <v>5625</v>
      </c>
      <c r="B135" s="33" t="str">
        <f>'A) Base RI'!B137</f>
        <v>Bussy-Chardonney</v>
      </c>
      <c r="C135" s="311">
        <f>'B) D RI'!U137</f>
        <v>13647.695555555556</v>
      </c>
      <c r="D135" s="33">
        <f>'B) D RI'!AA137</f>
        <v>371</v>
      </c>
      <c r="E135" s="211">
        <f t="shared" si="18"/>
        <v>36.786241389637617</v>
      </c>
      <c r="F135" s="409">
        <f t="shared" si="19"/>
        <v>0.81347903148791889</v>
      </c>
      <c r="G135" s="420">
        <f t="shared" si="20"/>
        <v>0</v>
      </c>
      <c r="H135" s="417">
        <f t="shared" si="21"/>
        <v>0</v>
      </c>
      <c r="I135" s="420">
        <f t="shared" si="22"/>
        <v>0</v>
      </c>
      <c r="J135" s="417">
        <f t="shared" si="23"/>
        <v>0</v>
      </c>
      <c r="K135" s="412">
        <f t="shared" si="24"/>
        <v>0</v>
      </c>
      <c r="L135" s="416">
        <f t="shared" si="25"/>
        <v>0</v>
      </c>
      <c r="M135" s="119">
        <f>L135*D135*'B) D RI'!S137</f>
        <v>0</v>
      </c>
    </row>
    <row r="136" spans="1:13" x14ac:dyDescent="0.25">
      <c r="A136" s="313">
        <f>'A) Base RI'!A138</f>
        <v>5627</v>
      </c>
      <c r="B136" s="33" t="str">
        <f>'A) Base RI'!B138</f>
        <v>Chavannes-près-Renens</v>
      </c>
      <c r="C136" s="311">
        <f>'B) D RI'!U138</f>
        <v>167740.14928270038</v>
      </c>
      <c r="D136" s="33">
        <f>'B) D RI'!AA138</f>
        <v>7653</v>
      </c>
      <c r="E136" s="211">
        <f t="shared" si="18"/>
        <v>21.918221518711665</v>
      </c>
      <c r="F136" s="409">
        <f t="shared" si="19"/>
        <v>0.48469245401085737</v>
      </c>
      <c r="G136" s="420">
        <f t="shared" si="20"/>
        <v>0</v>
      </c>
      <c r="H136" s="417">
        <f t="shared" si="21"/>
        <v>0</v>
      </c>
      <c r="I136" s="420">
        <f t="shared" si="22"/>
        <v>0</v>
      </c>
      <c r="J136" s="417">
        <f t="shared" si="23"/>
        <v>0</v>
      </c>
      <c r="K136" s="412">
        <f t="shared" si="24"/>
        <v>0</v>
      </c>
      <c r="L136" s="416">
        <f t="shared" si="25"/>
        <v>0</v>
      </c>
      <c r="M136" s="119">
        <f>L136*D136*'B) D RI'!S138</f>
        <v>0</v>
      </c>
    </row>
    <row r="137" spans="1:13" x14ac:dyDescent="0.25">
      <c r="A137" s="313">
        <f>'A) Base RI'!A139</f>
        <v>5628</v>
      </c>
      <c r="B137" s="33" t="str">
        <f>'A) Base RI'!B139</f>
        <v>Chigny</v>
      </c>
      <c r="C137" s="311">
        <f>'B) D RI'!U139</f>
        <v>19513.351129032257</v>
      </c>
      <c r="D137" s="33">
        <f>'B) D RI'!AA139</f>
        <v>338</v>
      </c>
      <c r="E137" s="211">
        <f t="shared" si="18"/>
        <v>57.731808074059934</v>
      </c>
      <c r="F137" s="409">
        <f t="shared" si="19"/>
        <v>1.2766625114182488</v>
      </c>
      <c r="G137" s="420">
        <f t="shared" si="20"/>
        <v>12.51092349593798</v>
      </c>
      <c r="H137" s="417">
        <f t="shared" si="21"/>
        <v>3.4667465803135897</v>
      </c>
      <c r="I137" s="420">
        <f t="shared" si="22"/>
        <v>0</v>
      </c>
      <c r="J137" s="417">
        <f t="shared" si="23"/>
        <v>0</v>
      </c>
      <c r="K137" s="412">
        <f t="shared" si="24"/>
        <v>0</v>
      </c>
      <c r="L137" s="416">
        <f t="shared" si="25"/>
        <v>2.8488593572189549</v>
      </c>
      <c r="M137" s="119">
        <f>L137*D137*'B) D RI'!S139</f>
        <v>59700.696689880424</v>
      </c>
    </row>
    <row r="138" spans="1:13" x14ac:dyDescent="0.25">
      <c r="A138" s="313">
        <f>'A) Base RI'!A140</f>
        <v>5629</v>
      </c>
      <c r="B138" s="33" t="str">
        <f>'A) Base RI'!B140</f>
        <v>Clarmont</v>
      </c>
      <c r="C138" s="311">
        <f>'B) D RI'!U140</f>
        <v>7442.8926666666675</v>
      </c>
      <c r="D138" s="33">
        <f>'B) D RI'!AA140</f>
        <v>189</v>
      </c>
      <c r="E138" s="211">
        <f t="shared" si="18"/>
        <v>39.380384479717819</v>
      </c>
      <c r="F138" s="409">
        <f t="shared" si="19"/>
        <v>0.87084507185359672</v>
      </c>
      <c r="G138" s="420">
        <f t="shared" si="20"/>
        <v>0</v>
      </c>
      <c r="H138" s="417">
        <f t="shared" si="21"/>
        <v>0</v>
      </c>
      <c r="I138" s="420">
        <f t="shared" si="22"/>
        <v>0</v>
      </c>
      <c r="J138" s="417">
        <f t="shared" si="23"/>
        <v>0</v>
      </c>
      <c r="K138" s="412">
        <f t="shared" si="24"/>
        <v>0</v>
      </c>
      <c r="L138" s="416">
        <f t="shared" si="25"/>
        <v>0</v>
      </c>
      <c r="M138" s="119">
        <f>L138*D138*'B) D RI'!S140</f>
        <v>0</v>
      </c>
    </row>
    <row r="139" spans="1:13" x14ac:dyDescent="0.25">
      <c r="A139" s="313">
        <f>'A) Base RI'!A141</f>
        <v>5631</v>
      </c>
      <c r="B139" s="33" t="str">
        <f>'A) Base RI'!B141</f>
        <v>Denens</v>
      </c>
      <c r="C139" s="311">
        <f>'B) D RI'!U141</f>
        <v>45367.235142857142</v>
      </c>
      <c r="D139" s="33">
        <f>'B) D RI'!AA141</f>
        <v>774</v>
      </c>
      <c r="E139" s="211">
        <f t="shared" si="18"/>
        <v>58.613998892580284</v>
      </c>
      <c r="F139" s="409">
        <f t="shared" si="19"/>
        <v>1.2961709935443848</v>
      </c>
      <c r="G139" s="420">
        <f t="shared" si="20"/>
        <v>13.39311431445833</v>
      </c>
      <c r="H139" s="417">
        <f t="shared" si="21"/>
        <v>4.3489373988339395</v>
      </c>
      <c r="I139" s="420">
        <f t="shared" si="22"/>
        <v>0</v>
      </c>
      <c r="J139" s="417">
        <f t="shared" si="23"/>
        <v>0</v>
      </c>
      <c r="K139" s="412">
        <f t="shared" si="24"/>
        <v>0</v>
      </c>
      <c r="L139" s="416">
        <f t="shared" si="25"/>
        <v>3.1135166027750598</v>
      </c>
      <c r="M139" s="119">
        <f>L139*D139*'B) D RI'!S141</f>
        <v>168690.32953835273</v>
      </c>
    </row>
    <row r="140" spans="1:13" x14ac:dyDescent="0.25">
      <c r="A140" s="313">
        <f>'A) Base RI'!A142</f>
        <v>5632</v>
      </c>
      <c r="B140" s="33" t="str">
        <f>'A) Base RI'!B142</f>
        <v>Denges</v>
      </c>
      <c r="C140" s="311">
        <f>'B) D RI'!U142</f>
        <v>67164.535483870975</v>
      </c>
      <c r="D140" s="33">
        <f>'B) D RI'!AA142</f>
        <v>1614</v>
      </c>
      <c r="E140" s="211">
        <f t="shared" si="18"/>
        <v>41.613714674021672</v>
      </c>
      <c r="F140" s="409">
        <f t="shared" si="19"/>
        <v>0.92023221266561772</v>
      </c>
      <c r="G140" s="420">
        <f t="shared" si="20"/>
        <v>0</v>
      </c>
      <c r="H140" s="417">
        <f t="shared" si="21"/>
        <v>0</v>
      </c>
      <c r="I140" s="420">
        <f t="shared" si="22"/>
        <v>0</v>
      </c>
      <c r="J140" s="417">
        <f t="shared" si="23"/>
        <v>0</v>
      </c>
      <c r="K140" s="412">
        <f t="shared" si="24"/>
        <v>0</v>
      </c>
      <c r="L140" s="416">
        <f t="shared" si="25"/>
        <v>0</v>
      </c>
      <c r="M140" s="119">
        <f>L140*D140*'B) D RI'!S142</f>
        <v>0</v>
      </c>
    </row>
    <row r="141" spans="1:13" x14ac:dyDescent="0.25">
      <c r="A141" s="313">
        <f>'A) Base RI'!A143</f>
        <v>5633</v>
      </c>
      <c r="B141" s="33" t="str">
        <f>'A) Base RI'!B143</f>
        <v>Echandens</v>
      </c>
      <c r="C141" s="311">
        <f>'B) D RI'!U143</f>
        <v>132114.82112903227</v>
      </c>
      <c r="D141" s="33">
        <f>'B) D RI'!AA143</f>
        <v>2757</v>
      </c>
      <c r="E141" s="211">
        <f t="shared" si="18"/>
        <v>47.919775527396538</v>
      </c>
      <c r="F141" s="409">
        <f t="shared" si="19"/>
        <v>1.0596824006087735</v>
      </c>
      <c r="G141" s="420">
        <f t="shared" si="20"/>
        <v>2.6988909492745847</v>
      </c>
      <c r="H141" s="417">
        <f t="shared" si="21"/>
        <v>0</v>
      </c>
      <c r="I141" s="420">
        <f t="shared" si="22"/>
        <v>0</v>
      </c>
      <c r="J141" s="417">
        <f t="shared" si="23"/>
        <v>0</v>
      </c>
      <c r="K141" s="412">
        <f t="shared" si="24"/>
        <v>0</v>
      </c>
      <c r="L141" s="416">
        <f t="shared" si="25"/>
        <v>0.53977818985491699</v>
      </c>
      <c r="M141" s="119">
        <f>L141*D141*'B) D RI'!S143</f>
        <v>92266.445104660379</v>
      </c>
    </row>
    <row r="142" spans="1:13" x14ac:dyDescent="0.25">
      <c r="A142" s="313">
        <f>'A) Base RI'!A144</f>
        <v>5634</v>
      </c>
      <c r="B142" s="33" t="str">
        <f>'A) Base RI'!B144</f>
        <v>Echichens</v>
      </c>
      <c r="C142" s="311">
        <f>'B) D RI'!U144</f>
        <v>126696.63529411763</v>
      </c>
      <c r="D142" s="33">
        <f>'B) D RI'!AA144</f>
        <v>2712</v>
      </c>
      <c r="E142" s="211">
        <f t="shared" si="18"/>
        <v>46.717048412285259</v>
      </c>
      <c r="F142" s="409">
        <f t="shared" si="19"/>
        <v>1.0330856826026609</v>
      </c>
      <c r="G142" s="420">
        <f t="shared" si="20"/>
        <v>1.4961638341633048</v>
      </c>
      <c r="H142" s="417">
        <f t="shared" si="21"/>
        <v>0</v>
      </c>
      <c r="I142" s="420">
        <f t="shared" si="22"/>
        <v>0</v>
      </c>
      <c r="J142" s="417">
        <f t="shared" si="23"/>
        <v>0</v>
      </c>
      <c r="K142" s="412">
        <f t="shared" si="24"/>
        <v>0</v>
      </c>
      <c r="L142" s="416">
        <f t="shared" si="25"/>
        <v>0.29923276683266098</v>
      </c>
      <c r="M142" s="119">
        <f>L142*D142*'B) D RI'!S144</f>
        <v>55183.309928212002</v>
      </c>
    </row>
    <row r="143" spans="1:13" x14ac:dyDescent="0.25">
      <c r="A143" s="313">
        <f>'A) Base RI'!A145</f>
        <v>5635</v>
      </c>
      <c r="B143" s="33" t="str">
        <f>'A) Base RI'!B145</f>
        <v>Ecublens</v>
      </c>
      <c r="C143" s="311">
        <f>'B) D RI'!U145</f>
        <v>448558.27357385395</v>
      </c>
      <c r="D143" s="33">
        <f>'B) D RI'!AA145</f>
        <v>12560</v>
      </c>
      <c r="E143" s="211">
        <f t="shared" si="18"/>
        <v>35.713238341867353</v>
      </c>
      <c r="F143" s="409">
        <f t="shared" si="19"/>
        <v>0.78975098950509171</v>
      </c>
      <c r="G143" s="420">
        <f t="shared" si="20"/>
        <v>0</v>
      </c>
      <c r="H143" s="417">
        <f t="shared" si="21"/>
        <v>0</v>
      </c>
      <c r="I143" s="420">
        <f t="shared" si="22"/>
        <v>0</v>
      </c>
      <c r="J143" s="417">
        <f t="shared" si="23"/>
        <v>0</v>
      </c>
      <c r="K143" s="412">
        <f t="shared" si="24"/>
        <v>0</v>
      </c>
      <c r="L143" s="416">
        <f t="shared" si="25"/>
        <v>0</v>
      </c>
      <c r="M143" s="119">
        <f>L143*D143*'B) D RI'!S145</f>
        <v>0</v>
      </c>
    </row>
    <row r="144" spans="1:13" x14ac:dyDescent="0.25">
      <c r="A144" s="313">
        <f>'A) Base RI'!A146</f>
        <v>5636</v>
      </c>
      <c r="B144" s="33" t="str">
        <f>'A) Base RI'!B146</f>
        <v>Etoy</v>
      </c>
      <c r="C144" s="311">
        <f>'B) D RI'!U146</f>
        <v>151105.62688524593</v>
      </c>
      <c r="D144" s="33">
        <f>'B) D RI'!AA146</f>
        <v>2908</v>
      </c>
      <c r="E144" s="211">
        <f t="shared" si="18"/>
        <v>51.962045008681542</v>
      </c>
      <c r="F144" s="409">
        <f t="shared" si="19"/>
        <v>1.1490718391170303</v>
      </c>
      <c r="G144" s="420">
        <f t="shared" si="20"/>
        <v>6.7411604305595887</v>
      </c>
      <c r="H144" s="417">
        <f t="shared" si="21"/>
        <v>0</v>
      </c>
      <c r="I144" s="420">
        <f t="shared" si="22"/>
        <v>0</v>
      </c>
      <c r="J144" s="417">
        <f t="shared" si="23"/>
        <v>0</v>
      </c>
      <c r="K144" s="412">
        <f t="shared" si="24"/>
        <v>0</v>
      </c>
      <c r="L144" s="416">
        <f t="shared" si="25"/>
        <v>1.3482320861119179</v>
      </c>
      <c r="M144" s="119">
        <f>L144*D144*'B) D RI'!S146</f>
        <v>239160.1932912209</v>
      </c>
    </row>
    <row r="145" spans="1:13" x14ac:dyDescent="0.25">
      <c r="A145" s="313">
        <f>'A) Base RI'!A147</f>
        <v>5637</v>
      </c>
      <c r="B145" s="33" t="str">
        <f>'A) Base RI'!B147</f>
        <v>Lavigny</v>
      </c>
      <c r="C145" s="311">
        <f>'B) D RI'!U147</f>
        <v>36088.085548098432</v>
      </c>
      <c r="D145" s="33">
        <f>'B) D RI'!AA147</f>
        <v>1007</v>
      </c>
      <c r="E145" s="211">
        <f t="shared" si="18"/>
        <v>35.837224973285437</v>
      </c>
      <c r="F145" s="409">
        <f t="shared" si="19"/>
        <v>0.79249278972803705</v>
      </c>
      <c r="G145" s="420">
        <f t="shared" si="20"/>
        <v>0</v>
      </c>
      <c r="H145" s="417">
        <f t="shared" si="21"/>
        <v>0</v>
      </c>
      <c r="I145" s="420">
        <f t="shared" si="22"/>
        <v>0</v>
      </c>
      <c r="J145" s="417">
        <f t="shared" si="23"/>
        <v>0</v>
      </c>
      <c r="K145" s="412">
        <f t="shared" si="24"/>
        <v>0</v>
      </c>
      <c r="L145" s="416">
        <f t="shared" si="25"/>
        <v>0</v>
      </c>
      <c r="M145" s="119">
        <f>L145*D145*'B) D RI'!S147</f>
        <v>0</v>
      </c>
    </row>
    <row r="146" spans="1:13" x14ac:dyDescent="0.25">
      <c r="A146" s="313">
        <f>'A) Base RI'!A148</f>
        <v>5638</v>
      </c>
      <c r="B146" s="33" t="str">
        <f>'A) Base RI'!B148</f>
        <v>Lonay</v>
      </c>
      <c r="C146" s="311">
        <f>'B) D RI'!U148</f>
        <v>147307.25563636364</v>
      </c>
      <c r="D146" s="33">
        <f>'B) D RI'!AA148</f>
        <v>2492</v>
      </c>
      <c r="E146" s="211">
        <f t="shared" si="18"/>
        <v>59.112060849263095</v>
      </c>
      <c r="F146" s="409">
        <f t="shared" si="19"/>
        <v>1.3071849743926007</v>
      </c>
      <c r="G146" s="420">
        <f t="shared" si="20"/>
        <v>13.891176271141141</v>
      </c>
      <c r="H146" s="417">
        <f t="shared" si="21"/>
        <v>4.8469993555167505</v>
      </c>
      <c r="I146" s="420">
        <f t="shared" si="22"/>
        <v>0</v>
      </c>
      <c r="J146" s="417">
        <f t="shared" si="23"/>
        <v>0</v>
      </c>
      <c r="K146" s="412">
        <f t="shared" si="24"/>
        <v>0</v>
      </c>
      <c r="L146" s="416">
        <f t="shared" si="25"/>
        <v>3.2629351897799035</v>
      </c>
      <c r="M146" s="119">
        <f>L146*D146*'B) D RI'!S148</f>
        <v>447217.89711123356</v>
      </c>
    </row>
    <row r="147" spans="1:13" x14ac:dyDescent="0.25">
      <c r="A147" s="313">
        <f>'A) Base RI'!A149</f>
        <v>5639</v>
      </c>
      <c r="B147" s="33" t="str">
        <f>'A) Base RI'!B149</f>
        <v>Lully</v>
      </c>
      <c r="C147" s="311">
        <f>'B) D RI'!U149</f>
        <v>51219.676393442627</v>
      </c>
      <c r="D147" s="33">
        <f>'B) D RI'!AA149</f>
        <v>795</v>
      </c>
      <c r="E147" s="211">
        <f t="shared" si="18"/>
        <v>64.427265903701411</v>
      </c>
      <c r="F147" s="409">
        <f t="shared" si="19"/>
        <v>1.424723698016106</v>
      </c>
      <c r="G147" s="420">
        <f t="shared" si="20"/>
        <v>19.206381325579457</v>
      </c>
      <c r="H147" s="417">
        <f t="shared" si="21"/>
        <v>10.162204409955066</v>
      </c>
      <c r="I147" s="420">
        <f t="shared" si="22"/>
        <v>0</v>
      </c>
      <c r="J147" s="417">
        <f t="shared" si="23"/>
        <v>0</v>
      </c>
      <c r="K147" s="412">
        <f t="shared" si="24"/>
        <v>0</v>
      </c>
      <c r="L147" s="416">
        <f t="shared" si="25"/>
        <v>4.8574967061113981</v>
      </c>
      <c r="M147" s="119">
        <f>L147*D147*'B) D RI'!S149</f>
        <v>235564.30276287225</v>
      </c>
    </row>
    <row r="148" spans="1:13" x14ac:dyDescent="0.25">
      <c r="A148" s="313">
        <f>'A) Base RI'!A150</f>
        <v>5640</v>
      </c>
      <c r="B148" s="33" t="str">
        <f>'A) Base RI'!B150</f>
        <v>Lussy-sur-Morges</v>
      </c>
      <c r="C148" s="311">
        <f>'B) D RI'!U150</f>
        <v>55173.413636363643</v>
      </c>
      <c r="D148" s="33">
        <f>'B) D RI'!AA150</f>
        <v>667</v>
      </c>
      <c r="E148" s="211">
        <f t="shared" si="18"/>
        <v>82.718761074008455</v>
      </c>
      <c r="F148" s="409">
        <f t="shared" si="19"/>
        <v>1.8292158998151957</v>
      </c>
      <c r="G148" s="420">
        <f t="shared" si="20"/>
        <v>37.497876495886501</v>
      </c>
      <c r="H148" s="417">
        <f t="shared" si="21"/>
        <v>28.453699580262111</v>
      </c>
      <c r="I148" s="420">
        <f t="shared" si="22"/>
        <v>14.887434206825532</v>
      </c>
      <c r="J148" s="417">
        <f t="shared" si="23"/>
        <v>0</v>
      </c>
      <c r="K148" s="412">
        <f t="shared" si="24"/>
        <v>0</v>
      </c>
      <c r="L148" s="416">
        <f t="shared" si="25"/>
        <v>11.833688677886064</v>
      </c>
      <c r="M148" s="119">
        <f>L148*D148*'B) D RI'!S150</f>
        <v>520942.64297790034</v>
      </c>
    </row>
    <row r="149" spans="1:13" x14ac:dyDescent="0.25">
      <c r="A149" s="313">
        <f>'A) Base RI'!A151</f>
        <v>5642</v>
      </c>
      <c r="B149" s="33" t="str">
        <f>'A) Base RI'!B151</f>
        <v>Morges</v>
      </c>
      <c r="C149" s="311">
        <f>'B) D RI'!U151</f>
        <v>737766.82978102157</v>
      </c>
      <c r="D149" s="33">
        <f>'B) D RI'!AA151</f>
        <v>15839</v>
      </c>
      <c r="E149" s="211">
        <f t="shared" si="18"/>
        <v>46.579129350402269</v>
      </c>
      <c r="F149" s="409">
        <f t="shared" si="19"/>
        <v>1.0300357851234392</v>
      </c>
      <c r="G149" s="420">
        <f t="shared" si="20"/>
        <v>1.3582447722803153</v>
      </c>
      <c r="H149" s="417">
        <f t="shared" si="21"/>
        <v>0</v>
      </c>
      <c r="I149" s="420">
        <f t="shared" si="22"/>
        <v>0</v>
      </c>
      <c r="J149" s="417">
        <f t="shared" si="23"/>
        <v>0</v>
      </c>
      <c r="K149" s="412">
        <f t="shared" si="24"/>
        <v>0</v>
      </c>
      <c r="L149" s="416">
        <f t="shared" si="25"/>
        <v>0.27164895445606307</v>
      </c>
      <c r="M149" s="119">
        <f>L149*D149*'B) D RI'!S151</f>
        <v>294731.3735896264</v>
      </c>
    </row>
    <row r="150" spans="1:13" x14ac:dyDescent="0.25">
      <c r="A150" s="313">
        <f>'A) Base RI'!A152</f>
        <v>5643</v>
      </c>
      <c r="B150" s="33" t="str">
        <f>'A) Base RI'!B152</f>
        <v>Préverenges</v>
      </c>
      <c r="C150" s="311">
        <f>'B) D RI'!U152</f>
        <v>261619.24140624996</v>
      </c>
      <c r="D150" s="33">
        <f>'B) D RI'!AA152</f>
        <v>5291</v>
      </c>
      <c r="E150" s="211">
        <f t="shared" si="18"/>
        <v>49.446086071867313</v>
      </c>
      <c r="F150" s="409">
        <f t="shared" si="19"/>
        <v>1.0934347378023102</v>
      </c>
      <c r="G150" s="420">
        <f t="shared" si="20"/>
        <v>4.2252014937453595</v>
      </c>
      <c r="H150" s="417">
        <f t="shared" si="21"/>
        <v>0</v>
      </c>
      <c r="I150" s="420">
        <f t="shared" si="22"/>
        <v>0</v>
      </c>
      <c r="J150" s="417">
        <f t="shared" si="23"/>
        <v>0</v>
      </c>
      <c r="K150" s="412">
        <f t="shared" si="24"/>
        <v>0</v>
      </c>
      <c r="L150" s="416">
        <f t="shared" si="25"/>
        <v>0.84504029874907194</v>
      </c>
      <c r="M150" s="119">
        <f>L150*D150*'B) D RI'!S152</f>
        <v>286150.92612360575</v>
      </c>
    </row>
    <row r="151" spans="1:13" x14ac:dyDescent="0.25">
      <c r="A151" s="313">
        <f>'A) Base RI'!A153</f>
        <v>5644</v>
      </c>
      <c r="B151" s="33" t="str">
        <f>'A) Base RI'!B153</f>
        <v>Reverolle</v>
      </c>
      <c r="C151" s="311">
        <f>'B) D RI'!U153</f>
        <v>14956.659078947367</v>
      </c>
      <c r="D151" s="33">
        <f>'B) D RI'!AA153</f>
        <v>382</v>
      </c>
      <c r="E151" s="211">
        <f t="shared" si="18"/>
        <v>39.153557798291537</v>
      </c>
      <c r="F151" s="409">
        <f t="shared" si="19"/>
        <v>0.86582910006219083</v>
      </c>
      <c r="G151" s="420">
        <f t="shared" si="20"/>
        <v>0</v>
      </c>
      <c r="H151" s="417">
        <f t="shared" si="21"/>
        <v>0</v>
      </c>
      <c r="I151" s="420">
        <f t="shared" si="22"/>
        <v>0</v>
      </c>
      <c r="J151" s="417">
        <f t="shared" si="23"/>
        <v>0</v>
      </c>
      <c r="K151" s="412">
        <f t="shared" si="24"/>
        <v>0</v>
      </c>
      <c r="L151" s="416">
        <f t="shared" si="25"/>
        <v>0</v>
      </c>
      <c r="M151" s="119">
        <f>L151*D151*'B) D RI'!S153</f>
        <v>0</v>
      </c>
    </row>
    <row r="152" spans="1:13" x14ac:dyDescent="0.25">
      <c r="A152" s="313">
        <f>'A) Base RI'!A154</f>
        <v>5645</v>
      </c>
      <c r="B152" s="33" t="str">
        <f>'A) Base RI'!B154</f>
        <v>Romanel-sur-Morges</v>
      </c>
      <c r="C152" s="311">
        <f>'B) D RI'!U154</f>
        <v>26019.982455357142</v>
      </c>
      <c r="D152" s="33">
        <f>'B) D RI'!AA154</f>
        <v>470</v>
      </c>
      <c r="E152" s="211">
        <f t="shared" si="18"/>
        <v>55.361664798632219</v>
      </c>
      <c r="F152" s="409">
        <f t="shared" si="19"/>
        <v>1.2242499304274206</v>
      </c>
      <c r="G152" s="420">
        <f t="shared" si="20"/>
        <v>10.140780220510266</v>
      </c>
      <c r="H152" s="417">
        <f t="shared" si="21"/>
        <v>1.0966033048858748</v>
      </c>
      <c r="I152" s="420">
        <f t="shared" si="22"/>
        <v>0</v>
      </c>
      <c r="J152" s="417">
        <f t="shared" si="23"/>
        <v>0</v>
      </c>
      <c r="K152" s="412">
        <f t="shared" si="24"/>
        <v>0</v>
      </c>
      <c r="L152" s="416">
        <f t="shared" si="25"/>
        <v>2.1378163745906407</v>
      </c>
      <c r="M152" s="119">
        <f>L152*D152*'B) D RI'!S154</f>
        <v>56267.326979225661</v>
      </c>
    </row>
    <row r="153" spans="1:13" x14ac:dyDescent="0.25">
      <c r="A153" s="313">
        <f>'A) Base RI'!A155</f>
        <v>5646</v>
      </c>
      <c r="B153" s="33" t="str">
        <f>'A) Base RI'!B155</f>
        <v>Saint-Prex</v>
      </c>
      <c r="C153" s="311">
        <f>'B) D RI'!U155</f>
        <v>564783.52799999982</v>
      </c>
      <c r="D153" s="33">
        <f>'B) D RI'!AA155</f>
        <v>5695</v>
      </c>
      <c r="E153" s="211">
        <f t="shared" si="18"/>
        <v>99.171822300263358</v>
      </c>
      <c r="F153" s="409">
        <f t="shared" si="19"/>
        <v>2.1930535686213242</v>
      </c>
      <c r="G153" s="420">
        <f t="shared" si="20"/>
        <v>53.950937722141404</v>
      </c>
      <c r="H153" s="417">
        <f t="shared" si="21"/>
        <v>44.906760806517013</v>
      </c>
      <c r="I153" s="420">
        <f t="shared" si="22"/>
        <v>31.340495433080434</v>
      </c>
      <c r="J153" s="417">
        <f t="shared" si="23"/>
        <v>8.7300531440194504</v>
      </c>
      <c r="K153" s="412">
        <f t="shared" si="24"/>
        <v>0</v>
      </c>
      <c r="L153" s="416">
        <f t="shared" si="25"/>
        <v>19.287918482789969</v>
      </c>
      <c r="M153" s="119">
        <f>L153*D153*'B) D RI'!S155</f>
        <v>6041458.2667718884</v>
      </c>
    </row>
    <row r="154" spans="1:13" x14ac:dyDescent="0.25">
      <c r="A154" s="313">
        <f>'A) Base RI'!A156</f>
        <v>5648</v>
      </c>
      <c r="B154" s="33" t="str">
        <f>'A) Base RI'!B156</f>
        <v>Saint-Sulpice</v>
      </c>
      <c r="C154" s="311">
        <f>'B) D RI'!U156</f>
        <v>360934.92836363643</v>
      </c>
      <c r="D154" s="33">
        <f>'B) D RI'!AA156</f>
        <v>4524</v>
      </c>
      <c r="E154" s="211">
        <f t="shared" si="18"/>
        <v>79.782256490635817</v>
      </c>
      <c r="F154" s="409">
        <f t="shared" si="19"/>
        <v>1.7642789882362184</v>
      </c>
      <c r="G154" s="420">
        <f t="shared" si="20"/>
        <v>34.561371912513863</v>
      </c>
      <c r="H154" s="417">
        <f t="shared" si="21"/>
        <v>25.517194996889472</v>
      </c>
      <c r="I154" s="420">
        <f t="shared" si="22"/>
        <v>11.950929623452893</v>
      </c>
      <c r="J154" s="417">
        <f t="shared" si="23"/>
        <v>0</v>
      </c>
      <c r="K154" s="412">
        <f t="shared" si="24"/>
        <v>0</v>
      </c>
      <c r="L154" s="416">
        <f t="shared" si="25"/>
        <v>10.659086844537008</v>
      </c>
      <c r="M154" s="119">
        <f>L154*D154*'B) D RI'!S156</f>
        <v>2652193.9886576985</v>
      </c>
    </row>
    <row r="155" spans="1:13" x14ac:dyDescent="0.25">
      <c r="A155" s="313">
        <f>'A) Base RI'!A157</f>
        <v>5649</v>
      </c>
      <c r="B155" s="33" t="str">
        <f>'A) Base RI'!B157</f>
        <v>Tolochenaz</v>
      </c>
      <c r="C155" s="311">
        <f>'B) D RI'!U157</f>
        <v>176105.76399999997</v>
      </c>
      <c r="D155" s="33">
        <f>'B) D RI'!AA157</f>
        <v>1883</v>
      </c>
      <c r="E155" s="211">
        <f t="shared" si="18"/>
        <v>93.524038236856057</v>
      </c>
      <c r="F155" s="409">
        <f t="shared" si="19"/>
        <v>2.0681603004754878</v>
      </c>
      <c r="G155" s="420">
        <f t="shared" si="20"/>
        <v>48.303153658734104</v>
      </c>
      <c r="H155" s="417">
        <f t="shared" si="21"/>
        <v>39.258976743109713</v>
      </c>
      <c r="I155" s="420">
        <f t="shared" si="22"/>
        <v>25.692711369673134</v>
      </c>
      <c r="J155" s="417">
        <f t="shared" si="23"/>
        <v>3.08226908061215</v>
      </c>
      <c r="K155" s="412">
        <f t="shared" si="24"/>
        <v>0</v>
      </c>
      <c r="L155" s="416">
        <f t="shared" si="25"/>
        <v>16.464026451086319</v>
      </c>
      <c r="M155" s="119">
        <f>L155*D155*'B) D RI'!S157</f>
        <v>2015114.5174807101</v>
      </c>
    </row>
    <row r="156" spans="1:13" x14ac:dyDescent="0.25">
      <c r="A156" s="313">
        <f>'A) Base RI'!A158</f>
        <v>5650</v>
      </c>
      <c r="B156" s="33" t="str">
        <f>'A) Base RI'!B158</f>
        <v>Vaux-sur-Morges</v>
      </c>
      <c r="C156" s="311">
        <f>'B) D RI'!U158</f>
        <v>169595.47750000004</v>
      </c>
      <c r="D156" s="33">
        <f>'B) D RI'!AA158</f>
        <v>199</v>
      </c>
      <c r="E156" s="211">
        <f t="shared" si="18"/>
        <v>852.23858040201026</v>
      </c>
      <c r="F156" s="409">
        <f t="shared" si="19"/>
        <v>18.846128030284632</v>
      </c>
      <c r="G156" s="420">
        <f t="shared" si="20"/>
        <v>807.01769582388829</v>
      </c>
      <c r="H156" s="417">
        <f t="shared" si="21"/>
        <v>797.97351890826394</v>
      </c>
      <c r="I156" s="420">
        <f t="shared" si="22"/>
        <v>784.4072535348273</v>
      </c>
      <c r="J156" s="417">
        <f t="shared" si="23"/>
        <v>761.79681124576632</v>
      </c>
      <c r="K156" s="412">
        <f t="shared" si="24"/>
        <v>716.57592666764435</v>
      </c>
      <c r="L156" s="416">
        <f t="shared" si="25"/>
        <v>467.47889020042783</v>
      </c>
      <c r="M156" s="119">
        <f>L156*D156*'B) D RI'!S158</f>
        <v>5209584.7523935679</v>
      </c>
    </row>
    <row r="157" spans="1:13" x14ac:dyDescent="0.25">
      <c r="A157" s="313">
        <f>'A) Base RI'!A159</f>
        <v>5651</v>
      </c>
      <c r="B157" s="33" t="str">
        <f>'A) Base RI'!B159</f>
        <v>Villars-Sainte-Croix</v>
      </c>
      <c r="C157" s="311">
        <f>'B) D RI'!U159</f>
        <v>47710.277796610164</v>
      </c>
      <c r="D157" s="33">
        <f>'B) D RI'!AA159</f>
        <v>935</v>
      </c>
      <c r="E157" s="211">
        <f t="shared" si="18"/>
        <v>51.027035076588412</v>
      </c>
      <c r="F157" s="409">
        <f t="shared" si="19"/>
        <v>1.1283953322150513</v>
      </c>
      <c r="G157" s="420">
        <f t="shared" si="20"/>
        <v>5.806150498466458</v>
      </c>
      <c r="H157" s="417">
        <f t="shared" si="21"/>
        <v>0</v>
      </c>
      <c r="I157" s="420">
        <f t="shared" si="22"/>
        <v>0</v>
      </c>
      <c r="J157" s="417">
        <f t="shared" si="23"/>
        <v>0</v>
      </c>
      <c r="K157" s="412">
        <f t="shared" si="24"/>
        <v>0</v>
      </c>
      <c r="L157" s="416">
        <f t="shared" si="25"/>
        <v>1.1612300996932916</v>
      </c>
      <c r="M157" s="119">
        <f>L157*D157*'B) D RI'!S159</f>
        <v>64059.258449580426</v>
      </c>
    </row>
    <row r="158" spans="1:13" x14ac:dyDescent="0.25">
      <c r="A158" s="313">
        <f>'A) Base RI'!A160</f>
        <v>5652</v>
      </c>
      <c r="B158" s="33" t="str">
        <f>'A) Base RI'!B160</f>
        <v>Villars-sous-Yens</v>
      </c>
      <c r="C158" s="311">
        <f>'B) D RI'!U160</f>
        <v>25794.085109649121</v>
      </c>
      <c r="D158" s="33">
        <f>'B) D RI'!AA160</f>
        <v>614</v>
      </c>
      <c r="E158" s="211">
        <f t="shared" si="18"/>
        <v>42.009910602034395</v>
      </c>
      <c r="F158" s="409">
        <f t="shared" si="19"/>
        <v>0.92899356113787657</v>
      </c>
      <c r="G158" s="420">
        <f t="shared" si="20"/>
        <v>0</v>
      </c>
      <c r="H158" s="417">
        <f t="shared" si="21"/>
        <v>0</v>
      </c>
      <c r="I158" s="420">
        <f t="shared" si="22"/>
        <v>0</v>
      </c>
      <c r="J158" s="417">
        <f t="shared" si="23"/>
        <v>0</v>
      </c>
      <c r="K158" s="412">
        <f t="shared" si="24"/>
        <v>0</v>
      </c>
      <c r="L158" s="416">
        <f t="shared" si="25"/>
        <v>0</v>
      </c>
      <c r="M158" s="119">
        <f>L158*D158*'B) D RI'!S160</f>
        <v>0</v>
      </c>
    </row>
    <row r="159" spans="1:13" x14ac:dyDescent="0.25">
      <c r="A159" s="313">
        <f>'A) Base RI'!A161</f>
        <v>5653</v>
      </c>
      <c r="B159" s="33" t="str">
        <f>'A) Base RI'!B161</f>
        <v>Vufflens-le-Château</v>
      </c>
      <c r="C159" s="311">
        <f>'B) D RI'!U161</f>
        <v>58104.710727272715</v>
      </c>
      <c r="D159" s="33">
        <f>'B) D RI'!AA161</f>
        <v>884</v>
      </c>
      <c r="E159" s="211">
        <f t="shared" si="18"/>
        <v>65.729310777457826</v>
      </c>
      <c r="F159" s="409">
        <f t="shared" si="19"/>
        <v>1.4535166967799196</v>
      </c>
      <c r="G159" s="420">
        <f t="shared" si="20"/>
        <v>20.508426199335872</v>
      </c>
      <c r="H159" s="417">
        <f t="shared" si="21"/>
        <v>11.464249283711482</v>
      </c>
      <c r="I159" s="420">
        <f t="shared" si="22"/>
        <v>0</v>
      </c>
      <c r="J159" s="417">
        <f t="shared" si="23"/>
        <v>0</v>
      </c>
      <c r="K159" s="412">
        <f t="shared" si="24"/>
        <v>0</v>
      </c>
      <c r="L159" s="416">
        <f t="shared" si="25"/>
        <v>5.2481101682383224</v>
      </c>
      <c r="M159" s="119">
        <f>L159*D159*'B) D RI'!S161</f>
        <v>255163.11637974725</v>
      </c>
    </row>
    <row r="160" spans="1:13" x14ac:dyDescent="0.25">
      <c r="A160" s="313">
        <f>'A) Base RI'!A162</f>
        <v>5654</v>
      </c>
      <c r="B160" s="33" t="str">
        <f>'A) Base RI'!B162</f>
        <v>Vullierens</v>
      </c>
      <c r="C160" s="311">
        <f>'B) D RI'!U162</f>
        <v>18548.379210526316</v>
      </c>
      <c r="D160" s="33">
        <f>'B) D RI'!AA162</f>
        <v>499</v>
      </c>
      <c r="E160" s="211">
        <f t="shared" si="18"/>
        <v>37.171100622297224</v>
      </c>
      <c r="F160" s="409">
        <f t="shared" si="19"/>
        <v>0.82198968394971983</v>
      </c>
      <c r="G160" s="420">
        <f t="shared" si="20"/>
        <v>0</v>
      </c>
      <c r="H160" s="417">
        <f t="shared" si="21"/>
        <v>0</v>
      </c>
      <c r="I160" s="420">
        <f t="shared" si="22"/>
        <v>0</v>
      </c>
      <c r="J160" s="417">
        <f t="shared" si="23"/>
        <v>0</v>
      </c>
      <c r="K160" s="412">
        <f t="shared" si="24"/>
        <v>0</v>
      </c>
      <c r="L160" s="416">
        <f t="shared" si="25"/>
        <v>0</v>
      </c>
      <c r="M160" s="119">
        <f>L160*D160*'B) D RI'!S162</f>
        <v>0</v>
      </c>
    </row>
    <row r="161" spans="1:13" x14ac:dyDescent="0.25">
      <c r="A161" s="313">
        <f>'A) Base RI'!A163</f>
        <v>5655</v>
      </c>
      <c r="B161" s="33" t="str">
        <f>'A) Base RI'!B163</f>
        <v>Yens</v>
      </c>
      <c r="C161" s="311">
        <f>'B) D RI'!U163</f>
        <v>71567.801506849311</v>
      </c>
      <c r="D161" s="33">
        <f>'B) D RI'!AA163</f>
        <v>1395</v>
      </c>
      <c r="E161" s="211">
        <f t="shared" si="18"/>
        <v>51.303083517454702</v>
      </c>
      <c r="F161" s="409">
        <f t="shared" si="19"/>
        <v>1.1344997780577548</v>
      </c>
      <c r="G161" s="420">
        <f t="shared" si="20"/>
        <v>6.0821989393327485</v>
      </c>
      <c r="H161" s="417">
        <f t="shared" si="21"/>
        <v>0</v>
      </c>
      <c r="I161" s="420">
        <f t="shared" si="22"/>
        <v>0</v>
      </c>
      <c r="J161" s="417">
        <f t="shared" si="23"/>
        <v>0</v>
      </c>
      <c r="K161" s="412">
        <f t="shared" si="24"/>
        <v>0</v>
      </c>
      <c r="L161" s="416">
        <f t="shared" si="25"/>
        <v>1.2164397878665498</v>
      </c>
      <c r="M161" s="119">
        <f>L161*D161*'B) D RI'!S163</f>
        <v>123876.1457973901</v>
      </c>
    </row>
    <row r="162" spans="1:13" x14ac:dyDescent="0.25">
      <c r="A162" s="313">
        <f>'A) Base RI'!A164</f>
        <v>5661</v>
      </c>
      <c r="B162" s="33" t="str">
        <f>'A) Base RI'!B164</f>
        <v>Boulens</v>
      </c>
      <c r="C162" s="311">
        <f>'B) D RI'!U164</f>
        <v>9056.8577215189871</v>
      </c>
      <c r="D162" s="33">
        <f>'B) D RI'!AA164</f>
        <v>377</v>
      </c>
      <c r="E162" s="211">
        <f t="shared" si="18"/>
        <v>24.023495282543731</v>
      </c>
      <c r="F162" s="409">
        <f t="shared" si="19"/>
        <v>0.53124779638137365</v>
      </c>
      <c r="G162" s="420">
        <f t="shared" si="20"/>
        <v>0</v>
      </c>
      <c r="H162" s="417">
        <f t="shared" si="21"/>
        <v>0</v>
      </c>
      <c r="I162" s="420">
        <f t="shared" si="22"/>
        <v>0</v>
      </c>
      <c r="J162" s="417">
        <f t="shared" si="23"/>
        <v>0</v>
      </c>
      <c r="K162" s="412">
        <f t="shared" si="24"/>
        <v>0</v>
      </c>
      <c r="L162" s="416">
        <f t="shared" si="25"/>
        <v>0</v>
      </c>
      <c r="M162" s="119">
        <f>L162*D162*'B) D RI'!S164</f>
        <v>0</v>
      </c>
    </row>
    <row r="163" spans="1:13" x14ac:dyDescent="0.25">
      <c r="A163" s="313">
        <f>'A) Base RI'!A165</f>
        <v>5663</v>
      </c>
      <c r="B163" s="33" t="str">
        <f>'A) Base RI'!B165</f>
        <v>Bussy-sur-Moudon</v>
      </c>
      <c r="C163" s="311">
        <f>'B) D RI'!U165</f>
        <v>5655.1166249999997</v>
      </c>
      <c r="D163" s="33">
        <f>'B) D RI'!AA165</f>
        <v>209</v>
      </c>
      <c r="E163" s="211">
        <f t="shared" si="18"/>
        <v>27.057974282296648</v>
      </c>
      <c r="F163" s="409">
        <f t="shared" si="19"/>
        <v>0.59835128248215219</v>
      </c>
      <c r="G163" s="420">
        <f t="shared" si="20"/>
        <v>0</v>
      </c>
      <c r="H163" s="417">
        <f t="shared" si="21"/>
        <v>0</v>
      </c>
      <c r="I163" s="420">
        <f t="shared" si="22"/>
        <v>0</v>
      </c>
      <c r="J163" s="417">
        <f t="shared" si="23"/>
        <v>0</v>
      </c>
      <c r="K163" s="412">
        <f t="shared" si="24"/>
        <v>0</v>
      </c>
      <c r="L163" s="416">
        <f t="shared" si="25"/>
        <v>0</v>
      </c>
      <c r="M163" s="119">
        <f>L163*D163*'B) D RI'!S165</f>
        <v>0</v>
      </c>
    </row>
    <row r="164" spans="1:13" x14ac:dyDescent="0.25">
      <c r="A164" s="313">
        <f>'A) Base RI'!A166</f>
        <v>5665</v>
      </c>
      <c r="B164" s="33" t="str">
        <f>'A) Base RI'!B166</f>
        <v>Chavannes-sur-Moudon</v>
      </c>
      <c r="C164" s="311">
        <f>'B) D RI'!U166</f>
        <v>5028.5345205479452</v>
      </c>
      <c r="D164" s="33">
        <f>'B) D RI'!AA166</f>
        <v>220</v>
      </c>
      <c r="E164" s="211">
        <f t="shared" si="18"/>
        <v>22.85697509339975</v>
      </c>
      <c r="F164" s="409">
        <f t="shared" si="19"/>
        <v>0.50545174661306924</v>
      </c>
      <c r="G164" s="420">
        <f t="shared" si="20"/>
        <v>0</v>
      </c>
      <c r="H164" s="417">
        <f t="shared" si="21"/>
        <v>0</v>
      </c>
      <c r="I164" s="420">
        <f t="shared" si="22"/>
        <v>0</v>
      </c>
      <c r="J164" s="417">
        <f t="shared" si="23"/>
        <v>0</v>
      </c>
      <c r="K164" s="412">
        <f t="shared" si="24"/>
        <v>0</v>
      </c>
      <c r="L164" s="416">
        <f t="shared" si="25"/>
        <v>0</v>
      </c>
      <c r="M164" s="119">
        <f>L164*D164*'B) D RI'!S166</f>
        <v>0</v>
      </c>
    </row>
    <row r="165" spans="1:13" x14ac:dyDescent="0.25">
      <c r="A165" s="313">
        <f>'A) Base RI'!A167</f>
        <v>5669</v>
      </c>
      <c r="B165" s="33" t="str">
        <f>'A) Base RI'!B167</f>
        <v>Curtilles</v>
      </c>
      <c r="C165" s="311">
        <f>'B) D RI'!U167</f>
        <v>9029.3026666666665</v>
      </c>
      <c r="D165" s="33">
        <f>'B) D RI'!AA167</f>
        <v>318</v>
      </c>
      <c r="E165" s="211">
        <f t="shared" si="18"/>
        <v>28.394033542976938</v>
      </c>
      <c r="F165" s="409">
        <f t="shared" si="19"/>
        <v>0.62789646438526514</v>
      </c>
      <c r="G165" s="420">
        <f t="shared" si="20"/>
        <v>0</v>
      </c>
      <c r="H165" s="417">
        <f t="shared" si="21"/>
        <v>0</v>
      </c>
      <c r="I165" s="420">
        <f t="shared" si="22"/>
        <v>0</v>
      </c>
      <c r="J165" s="417">
        <f t="shared" si="23"/>
        <v>0</v>
      </c>
      <c r="K165" s="412">
        <f t="shared" si="24"/>
        <v>0</v>
      </c>
      <c r="L165" s="416">
        <f t="shared" si="25"/>
        <v>0</v>
      </c>
      <c r="M165" s="119">
        <f>L165*D165*'B) D RI'!S167</f>
        <v>0</v>
      </c>
    </row>
    <row r="166" spans="1:13" x14ac:dyDescent="0.25">
      <c r="A166" s="313">
        <f>'A) Base RI'!A168</f>
        <v>5671</v>
      </c>
      <c r="B166" s="33" t="str">
        <f>'A) Base RI'!B168</f>
        <v>Dompierre</v>
      </c>
      <c r="C166" s="311">
        <f>'B) D RI'!U168</f>
        <v>6333.6785</v>
      </c>
      <c r="D166" s="33">
        <f>'B) D RI'!AA168</f>
        <v>259</v>
      </c>
      <c r="E166" s="211">
        <f t="shared" si="18"/>
        <v>24.454357142857141</v>
      </c>
      <c r="F166" s="409">
        <f t="shared" si="19"/>
        <v>0.54077573605643836</v>
      </c>
      <c r="G166" s="420">
        <f t="shared" si="20"/>
        <v>0</v>
      </c>
      <c r="H166" s="417">
        <f t="shared" si="21"/>
        <v>0</v>
      </c>
      <c r="I166" s="420">
        <f t="shared" si="22"/>
        <v>0</v>
      </c>
      <c r="J166" s="417">
        <f t="shared" si="23"/>
        <v>0</v>
      </c>
      <c r="K166" s="412">
        <f t="shared" si="24"/>
        <v>0</v>
      </c>
      <c r="L166" s="416">
        <f t="shared" si="25"/>
        <v>0</v>
      </c>
      <c r="M166" s="119">
        <f>L166*D166*'B) D RI'!S168</f>
        <v>0</v>
      </c>
    </row>
    <row r="167" spans="1:13" x14ac:dyDescent="0.25">
      <c r="A167" s="313">
        <f>'A) Base RI'!A169</f>
        <v>5673</v>
      </c>
      <c r="B167" s="33" t="str">
        <f>'A) Base RI'!B169</f>
        <v>Hermenches</v>
      </c>
      <c r="C167" s="311">
        <f>'B) D RI'!U169</f>
        <v>8912.655777777778</v>
      </c>
      <c r="D167" s="33">
        <f>'B) D RI'!AA169</f>
        <v>379</v>
      </c>
      <c r="E167" s="211">
        <f t="shared" si="18"/>
        <v>23.516242157725006</v>
      </c>
      <c r="F167" s="409">
        <f t="shared" si="19"/>
        <v>0.52003056501690503</v>
      </c>
      <c r="G167" s="420">
        <f t="shared" si="20"/>
        <v>0</v>
      </c>
      <c r="H167" s="417">
        <f t="shared" si="21"/>
        <v>0</v>
      </c>
      <c r="I167" s="420">
        <f t="shared" si="22"/>
        <v>0</v>
      </c>
      <c r="J167" s="417">
        <f t="shared" si="23"/>
        <v>0</v>
      </c>
      <c r="K167" s="412">
        <f t="shared" si="24"/>
        <v>0</v>
      </c>
      <c r="L167" s="416">
        <f t="shared" si="25"/>
        <v>0</v>
      </c>
      <c r="M167" s="119">
        <f>L167*D167*'B) D RI'!S169</f>
        <v>0</v>
      </c>
    </row>
    <row r="168" spans="1:13" x14ac:dyDescent="0.25">
      <c r="A168" s="313">
        <f>'A) Base RI'!A170</f>
        <v>5674</v>
      </c>
      <c r="B168" s="33" t="str">
        <f>'A) Base RI'!B170</f>
        <v>Lovatens</v>
      </c>
      <c r="C168" s="311">
        <f>'B) D RI'!U170</f>
        <v>3614.9058666666665</v>
      </c>
      <c r="D168" s="33">
        <f>'B) D RI'!AA170</f>
        <v>141</v>
      </c>
      <c r="E168" s="211">
        <f t="shared" si="18"/>
        <v>25.637630260047281</v>
      </c>
      <c r="F168" s="409">
        <f t="shared" si="19"/>
        <v>0.56694225465131365</v>
      </c>
      <c r="G168" s="420">
        <f t="shared" si="20"/>
        <v>0</v>
      </c>
      <c r="H168" s="417">
        <f t="shared" si="21"/>
        <v>0</v>
      </c>
      <c r="I168" s="420">
        <f t="shared" si="22"/>
        <v>0</v>
      </c>
      <c r="J168" s="417">
        <f t="shared" si="23"/>
        <v>0</v>
      </c>
      <c r="K168" s="412">
        <f t="shared" si="24"/>
        <v>0</v>
      </c>
      <c r="L168" s="416">
        <f t="shared" si="25"/>
        <v>0</v>
      </c>
      <c r="M168" s="119">
        <f>L168*D168*'B) D RI'!S170</f>
        <v>0</v>
      </c>
    </row>
    <row r="169" spans="1:13" x14ac:dyDescent="0.25">
      <c r="A169" s="313">
        <f>'A) Base RI'!A171</f>
        <v>5675</v>
      </c>
      <c r="B169" s="33" t="str">
        <f>'A) Base RI'!B171</f>
        <v>Lucens</v>
      </c>
      <c r="C169" s="311">
        <f>'B) D RI'!U171</f>
        <v>84285.039641873256</v>
      </c>
      <c r="D169" s="33">
        <f>'B) D RI'!AA171</f>
        <v>4157</v>
      </c>
      <c r="E169" s="211">
        <f t="shared" si="18"/>
        <v>20.275448554696478</v>
      </c>
      <c r="F169" s="409">
        <f t="shared" si="19"/>
        <v>0.44836470457956989</v>
      </c>
      <c r="G169" s="420">
        <f t="shared" si="20"/>
        <v>0</v>
      </c>
      <c r="H169" s="417">
        <f t="shared" si="21"/>
        <v>0</v>
      </c>
      <c r="I169" s="420">
        <f t="shared" si="22"/>
        <v>0</v>
      </c>
      <c r="J169" s="417">
        <f t="shared" si="23"/>
        <v>0</v>
      </c>
      <c r="K169" s="412">
        <f t="shared" si="24"/>
        <v>0</v>
      </c>
      <c r="L169" s="416">
        <f t="shared" si="25"/>
        <v>0</v>
      </c>
      <c r="M169" s="119">
        <f>L169*D169*'B) D RI'!S171</f>
        <v>0</v>
      </c>
    </row>
    <row r="170" spans="1:13" x14ac:dyDescent="0.25">
      <c r="A170" s="313">
        <f>'A) Base RI'!A172</f>
        <v>5678</v>
      </c>
      <c r="B170" s="33" t="str">
        <f>'A) Base RI'!B172</f>
        <v>Moudon</v>
      </c>
      <c r="C170" s="311">
        <f>'B) D RI'!U172</f>
        <v>115802.40466666668</v>
      </c>
      <c r="D170" s="33">
        <f>'B) D RI'!AA172</f>
        <v>6185</v>
      </c>
      <c r="E170" s="211">
        <f t="shared" si="18"/>
        <v>18.72310503907303</v>
      </c>
      <c r="F170" s="409">
        <f t="shared" si="19"/>
        <v>0.41403668269088534</v>
      </c>
      <c r="G170" s="420">
        <f t="shared" si="20"/>
        <v>0</v>
      </c>
      <c r="H170" s="417">
        <f t="shared" si="21"/>
        <v>0</v>
      </c>
      <c r="I170" s="420">
        <f t="shared" si="22"/>
        <v>0</v>
      </c>
      <c r="J170" s="417">
        <f t="shared" si="23"/>
        <v>0</v>
      </c>
      <c r="K170" s="412">
        <f t="shared" si="24"/>
        <v>0</v>
      </c>
      <c r="L170" s="416">
        <f t="shared" si="25"/>
        <v>0</v>
      </c>
      <c r="M170" s="119">
        <f>L170*D170*'B) D RI'!S172</f>
        <v>0</v>
      </c>
    </row>
    <row r="171" spans="1:13" x14ac:dyDescent="0.25">
      <c r="A171" s="313">
        <f>'A) Base RI'!A173</f>
        <v>5680</v>
      </c>
      <c r="B171" s="33" t="str">
        <f>'A) Base RI'!B173</f>
        <v>Ogens</v>
      </c>
      <c r="C171" s="311">
        <f>'B) D RI'!U173</f>
        <v>7404.4946581196582</v>
      </c>
      <c r="D171" s="33">
        <f>'B) D RI'!AA173</f>
        <v>304</v>
      </c>
      <c r="E171" s="211">
        <f t="shared" si="18"/>
        <v>24.356890322762034</v>
      </c>
      <c r="F171" s="409">
        <f t="shared" si="19"/>
        <v>0.53862038635453835</v>
      </c>
      <c r="G171" s="420">
        <f t="shared" si="20"/>
        <v>0</v>
      </c>
      <c r="H171" s="417">
        <f t="shared" si="21"/>
        <v>0</v>
      </c>
      <c r="I171" s="420">
        <f t="shared" si="22"/>
        <v>0</v>
      </c>
      <c r="J171" s="417">
        <f t="shared" si="23"/>
        <v>0</v>
      </c>
      <c r="K171" s="412">
        <f t="shared" si="24"/>
        <v>0</v>
      </c>
      <c r="L171" s="416">
        <f t="shared" si="25"/>
        <v>0</v>
      </c>
      <c r="M171" s="119">
        <f>L171*D171*'B) D RI'!S173</f>
        <v>0</v>
      </c>
    </row>
    <row r="172" spans="1:13" x14ac:dyDescent="0.25">
      <c r="A172" s="313">
        <f>'A) Base RI'!A174</f>
        <v>5683</v>
      </c>
      <c r="B172" s="33" t="str">
        <f>'A) Base RI'!B174</f>
        <v>Prévonloup</v>
      </c>
      <c r="C172" s="311">
        <f>'B) D RI'!U174</f>
        <v>3876.1695945945944</v>
      </c>
      <c r="D172" s="33">
        <f>'B) D RI'!AA174</f>
        <v>160</v>
      </c>
      <c r="E172" s="211">
        <f t="shared" si="18"/>
        <v>24.226059966216216</v>
      </c>
      <c r="F172" s="409">
        <f t="shared" si="19"/>
        <v>0.53572724620997092</v>
      </c>
      <c r="G172" s="420">
        <f t="shared" si="20"/>
        <v>0</v>
      </c>
      <c r="H172" s="417">
        <f t="shared" si="21"/>
        <v>0</v>
      </c>
      <c r="I172" s="420">
        <f t="shared" si="22"/>
        <v>0</v>
      </c>
      <c r="J172" s="417">
        <f t="shared" si="23"/>
        <v>0</v>
      </c>
      <c r="K172" s="412">
        <f t="shared" si="24"/>
        <v>0</v>
      </c>
      <c r="L172" s="416">
        <f t="shared" si="25"/>
        <v>0</v>
      </c>
      <c r="M172" s="119">
        <f>L172*D172*'B) D RI'!S174</f>
        <v>0</v>
      </c>
    </row>
    <row r="173" spans="1:13" x14ac:dyDescent="0.25">
      <c r="A173" s="313">
        <f>'A) Base RI'!A175</f>
        <v>5684</v>
      </c>
      <c r="B173" s="33" t="str">
        <f>'A) Base RI'!B175</f>
        <v>Rossenges</v>
      </c>
      <c r="C173" s="311">
        <f>'B) D RI'!U175</f>
        <v>2934.7781666666665</v>
      </c>
      <c r="D173" s="33">
        <f>'B) D RI'!AA175</f>
        <v>63</v>
      </c>
      <c r="E173" s="211">
        <f t="shared" si="18"/>
        <v>46.583780423280423</v>
      </c>
      <c r="F173" s="409">
        <f t="shared" si="19"/>
        <v>1.0301386374431483</v>
      </c>
      <c r="G173" s="420">
        <f t="shared" si="20"/>
        <v>1.3628958451584694</v>
      </c>
      <c r="H173" s="417">
        <f t="shared" si="21"/>
        <v>0</v>
      </c>
      <c r="I173" s="420">
        <f t="shared" si="22"/>
        <v>0</v>
      </c>
      <c r="J173" s="417">
        <f t="shared" si="23"/>
        <v>0</v>
      </c>
      <c r="K173" s="412">
        <f t="shared" si="24"/>
        <v>0</v>
      </c>
      <c r="L173" s="416">
        <f t="shared" si="25"/>
        <v>0.27257916903169388</v>
      </c>
      <c r="M173" s="119">
        <f>L173*D173*'B) D RI'!S175</f>
        <v>1030.3492589398029</v>
      </c>
    </row>
    <row r="174" spans="1:13" x14ac:dyDescent="0.25">
      <c r="A174" s="313">
        <f>'A) Base RI'!A176</f>
        <v>5688</v>
      </c>
      <c r="B174" s="33" t="str">
        <f>'A) Base RI'!B176</f>
        <v>Syens</v>
      </c>
      <c r="C174" s="311">
        <f>'B) D RI'!U176</f>
        <v>6079.6888888888907</v>
      </c>
      <c r="D174" s="33">
        <f>'B) D RI'!AA176</f>
        <v>150</v>
      </c>
      <c r="E174" s="211">
        <f t="shared" si="18"/>
        <v>40.531259259259272</v>
      </c>
      <c r="F174" s="409">
        <f t="shared" si="19"/>
        <v>0.89629514409960165</v>
      </c>
      <c r="G174" s="420">
        <f t="shared" si="20"/>
        <v>0</v>
      </c>
      <c r="H174" s="417">
        <f t="shared" si="21"/>
        <v>0</v>
      </c>
      <c r="I174" s="420">
        <f t="shared" si="22"/>
        <v>0</v>
      </c>
      <c r="J174" s="417">
        <f t="shared" si="23"/>
        <v>0</v>
      </c>
      <c r="K174" s="412">
        <f t="shared" si="24"/>
        <v>0</v>
      </c>
      <c r="L174" s="416">
        <f t="shared" si="25"/>
        <v>0</v>
      </c>
      <c r="M174" s="119">
        <f>L174*D174*'B) D RI'!S176</f>
        <v>0</v>
      </c>
    </row>
    <row r="175" spans="1:13" x14ac:dyDescent="0.25">
      <c r="A175" s="313">
        <f>'A) Base RI'!A177</f>
        <v>5690</v>
      </c>
      <c r="B175" s="33" t="str">
        <f>'A) Base RI'!B177</f>
        <v>Villars-le-Comte</v>
      </c>
      <c r="C175" s="311">
        <f>'B) D RI'!U177</f>
        <v>3585.4957380952383</v>
      </c>
      <c r="D175" s="33">
        <f>'B) D RI'!AA177</f>
        <v>142</v>
      </c>
      <c r="E175" s="211">
        <f t="shared" si="18"/>
        <v>25.249969986586184</v>
      </c>
      <c r="F175" s="409">
        <f t="shared" si="19"/>
        <v>0.55836966088014606</v>
      </c>
      <c r="G175" s="420">
        <f t="shared" si="20"/>
        <v>0</v>
      </c>
      <c r="H175" s="417">
        <f t="shared" si="21"/>
        <v>0</v>
      </c>
      <c r="I175" s="420">
        <f t="shared" si="22"/>
        <v>0</v>
      </c>
      <c r="J175" s="417">
        <f t="shared" si="23"/>
        <v>0</v>
      </c>
      <c r="K175" s="412">
        <f t="shared" si="24"/>
        <v>0</v>
      </c>
      <c r="L175" s="416">
        <f t="shared" si="25"/>
        <v>0</v>
      </c>
      <c r="M175" s="119">
        <f>L175*D175*'B) D RI'!S177</f>
        <v>0</v>
      </c>
    </row>
    <row r="176" spans="1:13" x14ac:dyDescent="0.25">
      <c r="A176" s="313">
        <f>'A) Base RI'!A178</f>
        <v>5692</v>
      </c>
      <c r="B176" s="33" t="str">
        <f>'A) Base RI'!B178</f>
        <v>Vucherens</v>
      </c>
      <c r="C176" s="311">
        <f>'B) D RI'!U178</f>
        <v>17261.954936708858</v>
      </c>
      <c r="D176" s="33">
        <f>'B) D RI'!AA178</f>
        <v>583</v>
      </c>
      <c r="E176" s="211">
        <f t="shared" si="18"/>
        <v>29.608842086979173</v>
      </c>
      <c r="F176" s="409">
        <f t="shared" si="19"/>
        <v>0.65476034719816278</v>
      </c>
      <c r="G176" s="420">
        <f t="shared" si="20"/>
        <v>0</v>
      </c>
      <c r="H176" s="417">
        <f t="shared" si="21"/>
        <v>0</v>
      </c>
      <c r="I176" s="420">
        <f t="shared" si="22"/>
        <v>0</v>
      </c>
      <c r="J176" s="417">
        <f t="shared" si="23"/>
        <v>0</v>
      </c>
      <c r="K176" s="412">
        <f t="shared" si="24"/>
        <v>0</v>
      </c>
      <c r="L176" s="416">
        <f t="shared" si="25"/>
        <v>0</v>
      </c>
      <c r="M176" s="119">
        <f>L176*D176*'B) D RI'!S178</f>
        <v>0</v>
      </c>
    </row>
    <row r="177" spans="1:13" x14ac:dyDescent="0.25">
      <c r="A177" s="313">
        <f>'A) Base RI'!A179</f>
        <v>5693</v>
      </c>
      <c r="B177" s="33" t="str">
        <f>'A) Base RI'!B179</f>
        <v>Montanaire</v>
      </c>
      <c r="C177" s="311">
        <f>'B) D RI'!U179</f>
        <v>70163.69902777778</v>
      </c>
      <c r="D177" s="33">
        <f>'B) D RI'!AA179</f>
        <v>2606</v>
      </c>
      <c r="E177" s="211">
        <f t="shared" si="18"/>
        <v>26.923905996844891</v>
      </c>
      <c r="F177" s="409">
        <f t="shared" si="19"/>
        <v>0.59538653982613121</v>
      </c>
      <c r="G177" s="420">
        <f t="shared" si="20"/>
        <v>0</v>
      </c>
      <c r="H177" s="417">
        <f t="shared" si="21"/>
        <v>0</v>
      </c>
      <c r="I177" s="420">
        <f t="shared" si="22"/>
        <v>0</v>
      </c>
      <c r="J177" s="417">
        <f t="shared" si="23"/>
        <v>0</v>
      </c>
      <c r="K177" s="412">
        <f t="shared" si="24"/>
        <v>0</v>
      </c>
      <c r="L177" s="416">
        <f t="shared" si="25"/>
        <v>0</v>
      </c>
      <c r="M177" s="119">
        <f>L177*D177*'B) D RI'!S179</f>
        <v>0</v>
      </c>
    </row>
    <row r="178" spans="1:13" x14ac:dyDescent="0.25">
      <c r="A178" s="313">
        <f>'A) Base RI'!A180</f>
        <v>5701</v>
      </c>
      <c r="B178" s="33" t="str">
        <f>'A) Base RI'!B180</f>
        <v>Arnex-sur-Nyon</v>
      </c>
      <c r="C178" s="311">
        <f>'B) D RI'!U180</f>
        <v>14485.916142857144</v>
      </c>
      <c r="D178" s="33">
        <f>'B) D RI'!AA180</f>
        <v>224</v>
      </c>
      <c r="E178" s="211">
        <f t="shared" si="18"/>
        <v>64.669268494897963</v>
      </c>
      <c r="F178" s="409">
        <f t="shared" si="19"/>
        <v>1.430075264962535</v>
      </c>
      <c r="G178" s="420">
        <f t="shared" si="20"/>
        <v>19.44838391677601</v>
      </c>
      <c r="H178" s="417">
        <f t="shared" si="21"/>
        <v>10.404207001151619</v>
      </c>
      <c r="I178" s="420">
        <f t="shared" si="22"/>
        <v>0</v>
      </c>
      <c r="J178" s="417">
        <f t="shared" si="23"/>
        <v>0</v>
      </c>
      <c r="K178" s="412">
        <f t="shared" si="24"/>
        <v>0</v>
      </c>
      <c r="L178" s="416">
        <f t="shared" si="25"/>
        <v>4.9300974834703641</v>
      </c>
      <c r="M178" s="119">
        <f>L178*D178*'B) D RI'!S180</f>
        <v>77303.928540815308</v>
      </c>
    </row>
    <row r="179" spans="1:13" x14ac:dyDescent="0.25">
      <c r="A179" s="313">
        <f>'A) Base RI'!A181</f>
        <v>5702</v>
      </c>
      <c r="B179" s="33" t="str">
        <f>'A) Base RI'!B181</f>
        <v>Arzier-Le Muids</v>
      </c>
      <c r="C179" s="311">
        <f>'B) D RI'!U181</f>
        <v>155554.60781250003</v>
      </c>
      <c r="D179" s="33">
        <f>'B) D RI'!AA181</f>
        <v>2653</v>
      </c>
      <c r="E179" s="211">
        <f t="shared" si="18"/>
        <v>58.633474486430472</v>
      </c>
      <c r="F179" s="409">
        <f t="shared" si="19"/>
        <v>1.2966016705210048</v>
      </c>
      <c r="G179" s="420">
        <f t="shared" si="20"/>
        <v>13.412589908308519</v>
      </c>
      <c r="H179" s="417">
        <f t="shared" si="21"/>
        <v>4.368412992684128</v>
      </c>
      <c r="I179" s="420">
        <f t="shared" si="22"/>
        <v>0</v>
      </c>
      <c r="J179" s="417">
        <f t="shared" si="23"/>
        <v>0</v>
      </c>
      <c r="K179" s="412">
        <f t="shared" si="24"/>
        <v>0</v>
      </c>
      <c r="L179" s="416">
        <f t="shared" si="25"/>
        <v>3.1193592809301167</v>
      </c>
      <c r="M179" s="119">
        <f>L179*D179*'B) D RI'!S181</f>
        <v>529642.2510276864</v>
      </c>
    </row>
    <row r="180" spans="1:13" x14ac:dyDescent="0.25">
      <c r="A180" s="313">
        <f>'A) Base RI'!A182</f>
        <v>5703</v>
      </c>
      <c r="B180" s="33" t="str">
        <f>'A) Base RI'!B182</f>
        <v>Bassins</v>
      </c>
      <c r="C180" s="311">
        <f>'B) D RI'!U182</f>
        <v>56619.784440154435</v>
      </c>
      <c r="D180" s="33">
        <f>'B) D RI'!AA182</f>
        <v>1356</v>
      </c>
      <c r="E180" s="211">
        <f t="shared" si="18"/>
        <v>41.755003274450175</v>
      </c>
      <c r="F180" s="409">
        <f t="shared" si="19"/>
        <v>0.92335662302924992</v>
      </c>
      <c r="G180" s="420">
        <f t="shared" si="20"/>
        <v>0</v>
      </c>
      <c r="H180" s="417">
        <f t="shared" si="21"/>
        <v>0</v>
      </c>
      <c r="I180" s="420">
        <f t="shared" si="22"/>
        <v>0</v>
      </c>
      <c r="J180" s="417">
        <f t="shared" si="23"/>
        <v>0</v>
      </c>
      <c r="K180" s="412">
        <f t="shared" si="24"/>
        <v>0</v>
      </c>
      <c r="L180" s="416">
        <f t="shared" si="25"/>
        <v>0</v>
      </c>
      <c r="M180" s="119">
        <f>L180*D180*'B) D RI'!S182</f>
        <v>0</v>
      </c>
    </row>
    <row r="181" spans="1:13" x14ac:dyDescent="0.25">
      <c r="A181" s="313">
        <f>'A) Base RI'!A183</f>
        <v>5704</v>
      </c>
      <c r="B181" s="33" t="str">
        <f>'A) Base RI'!B183</f>
        <v>Begnins</v>
      </c>
      <c r="C181" s="311">
        <f>'B) D RI'!U183</f>
        <v>127181.77029850746</v>
      </c>
      <c r="D181" s="33">
        <f>'B) D RI'!AA183</f>
        <v>1910</v>
      </c>
      <c r="E181" s="211">
        <f t="shared" si="18"/>
        <v>66.587314292412287</v>
      </c>
      <c r="F181" s="409">
        <f t="shared" si="19"/>
        <v>1.4724903087063339</v>
      </c>
      <c r="G181" s="420">
        <f t="shared" si="20"/>
        <v>21.366429714290334</v>
      </c>
      <c r="H181" s="417">
        <f t="shared" si="21"/>
        <v>12.322252798665943</v>
      </c>
      <c r="I181" s="420">
        <f t="shared" si="22"/>
        <v>0</v>
      </c>
      <c r="J181" s="417">
        <f t="shared" si="23"/>
        <v>0</v>
      </c>
      <c r="K181" s="412">
        <f t="shared" si="24"/>
        <v>0</v>
      </c>
      <c r="L181" s="416">
        <f t="shared" si="25"/>
        <v>5.5055112227246603</v>
      </c>
      <c r="M181" s="119">
        <f>L181*D181*'B) D RI'!S183</f>
        <v>704540.27117207472</v>
      </c>
    </row>
    <row r="182" spans="1:13" x14ac:dyDescent="0.25">
      <c r="A182" s="313">
        <f>'A) Base RI'!A184</f>
        <v>5705</v>
      </c>
      <c r="B182" s="33" t="str">
        <f>'A) Base RI'!B184</f>
        <v>Bogis-Bossey</v>
      </c>
      <c r="C182" s="311">
        <f>'B) D RI'!U184</f>
        <v>54965.953000000009</v>
      </c>
      <c r="D182" s="33">
        <f>'B) D RI'!AA184</f>
        <v>893</v>
      </c>
      <c r="E182" s="211">
        <f t="shared" si="18"/>
        <v>61.5520190369541</v>
      </c>
      <c r="F182" s="409">
        <f t="shared" si="19"/>
        <v>1.3611414197486358</v>
      </c>
      <c r="G182" s="420">
        <f t="shared" si="20"/>
        <v>16.331134458832146</v>
      </c>
      <c r="H182" s="417">
        <f t="shared" si="21"/>
        <v>7.2869575432077554</v>
      </c>
      <c r="I182" s="420">
        <f t="shared" si="22"/>
        <v>0</v>
      </c>
      <c r="J182" s="417">
        <f t="shared" si="23"/>
        <v>0</v>
      </c>
      <c r="K182" s="412">
        <f t="shared" si="24"/>
        <v>0</v>
      </c>
      <c r="L182" s="416">
        <f t="shared" si="25"/>
        <v>3.9949226460872049</v>
      </c>
      <c r="M182" s="119">
        <f>L182*D182*'B) D RI'!S184</f>
        <v>249722.61460691117</v>
      </c>
    </row>
    <row r="183" spans="1:13" x14ac:dyDescent="0.25">
      <c r="A183" s="313">
        <f>'A) Base RI'!A185</f>
        <v>5706</v>
      </c>
      <c r="B183" s="33" t="str">
        <f>'A) Base RI'!B185</f>
        <v>Borex</v>
      </c>
      <c r="C183" s="311">
        <f>'B) D RI'!U185</f>
        <v>71857.063735632182</v>
      </c>
      <c r="D183" s="33">
        <f>'B) D RI'!AA185</f>
        <v>1126</v>
      </c>
      <c r="E183" s="211">
        <f t="shared" si="18"/>
        <v>63.816220013882933</v>
      </c>
      <c r="F183" s="409">
        <f t="shared" si="19"/>
        <v>1.4112112270523225</v>
      </c>
      <c r="G183" s="420">
        <f t="shared" si="20"/>
        <v>18.59533543576098</v>
      </c>
      <c r="H183" s="417">
        <f t="shared" si="21"/>
        <v>9.5511585201365889</v>
      </c>
      <c r="I183" s="420">
        <f t="shared" si="22"/>
        <v>0</v>
      </c>
      <c r="J183" s="417">
        <f t="shared" si="23"/>
        <v>0</v>
      </c>
      <c r="K183" s="412">
        <f t="shared" si="24"/>
        <v>0</v>
      </c>
      <c r="L183" s="416">
        <f t="shared" si="25"/>
        <v>4.6741829391658545</v>
      </c>
      <c r="M183" s="119">
        <f>L183*D183*'B) D RI'!S185</f>
        <v>305261.53939104365</v>
      </c>
    </row>
    <row r="184" spans="1:13" x14ac:dyDescent="0.25">
      <c r="A184" s="313">
        <f>'A) Base RI'!A186</f>
        <v>5707</v>
      </c>
      <c r="B184" s="33" t="str">
        <f>'A) Base RI'!B186</f>
        <v>Chavannes-de-Bogis</v>
      </c>
      <c r="C184" s="311">
        <f>'B) D RI'!U186</f>
        <v>84087.690451977411</v>
      </c>
      <c r="D184" s="33">
        <f>'B) D RI'!AA186</f>
        <v>1290</v>
      </c>
      <c r="E184" s="211">
        <f t="shared" si="18"/>
        <v>65.184256164323571</v>
      </c>
      <c r="F184" s="409">
        <f t="shared" si="19"/>
        <v>1.4414635355421592</v>
      </c>
      <c r="G184" s="420">
        <f t="shared" si="20"/>
        <v>19.963371586201617</v>
      </c>
      <c r="H184" s="417">
        <f t="shared" si="21"/>
        <v>10.919194670577227</v>
      </c>
      <c r="I184" s="420">
        <f t="shared" si="22"/>
        <v>0</v>
      </c>
      <c r="J184" s="417">
        <f t="shared" si="23"/>
        <v>0</v>
      </c>
      <c r="K184" s="412">
        <f t="shared" si="24"/>
        <v>0</v>
      </c>
      <c r="L184" s="416">
        <f t="shared" si="25"/>
        <v>5.084593784298046</v>
      </c>
      <c r="M184" s="119">
        <f>L184*D184*'B) D RI'!S186</f>
        <v>386988.43292292429</v>
      </c>
    </row>
    <row r="185" spans="1:13" x14ac:dyDescent="0.25">
      <c r="A185" s="313">
        <f>'A) Base RI'!A187</f>
        <v>5708</v>
      </c>
      <c r="B185" s="33" t="str">
        <f>'A) Base RI'!B187</f>
        <v>Chavannes-des-Bois</v>
      </c>
      <c r="C185" s="311">
        <f>'B) D RI'!U187</f>
        <v>57555.435593220333</v>
      </c>
      <c r="D185" s="33">
        <f>'B) D RI'!AA187</f>
        <v>942</v>
      </c>
      <c r="E185" s="211">
        <f t="shared" si="18"/>
        <v>61.099188527834748</v>
      </c>
      <c r="F185" s="409">
        <f t="shared" si="19"/>
        <v>1.3511276724868575</v>
      </c>
      <c r="G185" s="420">
        <f t="shared" si="20"/>
        <v>15.878303949712794</v>
      </c>
      <c r="H185" s="417">
        <f t="shared" si="21"/>
        <v>6.8341270340884037</v>
      </c>
      <c r="I185" s="420">
        <f t="shared" si="22"/>
        <v>0</v>
      </c>
      <c r="J185" s="417">
        <f t="shared" si="23"/>
        <v>0</v>
      </c>
      <c r="K185" s="412">
        <f t="shared" si="24"/>
        <v>0</v>
      </c>
      <c r="L185" s="416">
        <f t="shared" si="25"/>
        <v>3.8590734933513993</v>
      </c>
      <c r="M185" s="119">
        <f>L185*D185*'B) D RI'!S187</f>
        <v>214479.58661348408</v>
      </c>
    </row>
    <row r="186" spans="1:13" x14ac:dyDescent="0.25">
      <c r="A186" s="313">
        <f>'A) Base RI'!A188</f>
        <v>5709</v>
      </c>
      <c r="B186" s="33" t="str">
        <f>'A) Base RI'!B188</f>
        <v>Chéserex</v>
      </c>
      <c r="C186" s="311">
        <f>'B) D RI'!U188</f>
        <v>76627.19473684211</v>
      </c>
      <c r="D186" s="33">
        <f>'B) D RI'!AA188</f>
        <v>1219</v>
      </c>
      <c r="E186" s="211">
        <f t="shared" si="18"/>
        <v>62.86070117870559</v>
      </c>
      <c r="F186" s="409">
        <f t="shared" si="19"/>
        <v>1.390081192907886</v>
      </c>
      <c r="G186" s="420">
        <f t="shared" si="20"/>
        <v>17.639816600583636</v>
      </c>
      <c r="H186" s="417">
        <f t="shared" si="21"/>
        <v>8.5956396849592451</v>
      </c>
      <c r="I186" s="420">
        <f t="shared" si="22"/>
        <v>0</v>
      </c>
      <c r="J186" s="417">
        <f t="shared" si="23"/>
        <v>0</v>
      </c>
      <c r="K186" s="412">
        <f t="shared" si="24"/>
        <v>0</v>
      </c>
      <c r="L186" s="416">
        <f t="shared" si="25"/>
        <v>4.3875272886126515</v>
      </c>
      <c r="M186" s="119">
        <f>L186*D186*'B) D RI'!S188</f>
        <v>304858.55859467288</v>
      </c>
    </row>
    <row r="187" spans="1:13" x14ac:dyDescent="0.25">
      <c r="A187" s="313">
        <f>'A) Base RI'!A189</f>
        <v>5710</v>
      </c>
      <c r="B187" s="33" t="str">
        <f>'A) Base RI'!B189</f>
        <v>Coinsins</v>
      </c>
      <c r="C187" s="311">
        <f>'B) D RI'!U189</f>
        <v>93255.286470588253</v>
      </c>
      <c r="D187" s="33">
        <f>'B) D RI'!AA189</f>
        <v>484</v>
      </c>
      <c r="E187" s="211">
        <f t="shared" si="18"/>
        <v>192.67621171609144</v>
      </c>
      <c r="F187" s="409">
        <f t="shared" si="19"/>
        <v>4.2607793614304699</v>
      </c>
      <c r="G187" s="420">
        <f t="shared" si="20"/>
        <v>147.4553271379695</v>
      </c>
      <c r="H187" s="417">
        <f t="shared" si="21"/>
        <v>138.4111502223451</v>
      </c>
      <c r="I187" s="420">
        <f t="shared" si="22"/>
        <v>124.84488484890852</v>
      </c>
      <c r="J187" s="417">
        <f t="shared" si="23"/>
        <v>102.23444255984754</v>
      </c>
      <c r="K187" s="412">
        <f t="shared" si="24"/>
        <v>57.013557981725597</v>
      </c>
      <c r="L187" s="416">
        <f t="shared" si="25"/>
        <v>71.741468988876576</v>
      </c>
      <c r="M187" s="119">
        <f>L187*D187*'B) D RI'!S189</f>
        <v>1770866.4205214293</v>
      </c>
    </row>
    <row r="188" spans="1:13" x14ac:dyDescent="0.25">
      <c r="A188" s="313">
        <f>'A) Base RI'!A190</f>
        <v>5711</v>
      </c>
      <c r="B188" s="33" t="str">
        <f>'A) Base RI'!B190</f>
        <v>Commugny</v>
      </c>
      <c r="C188" s="311">
        <f>'B) D RI'!U190</f>
        <v>252725.09392712548</v>
      </c>
      <c r="D188" s="33">
        <f>'B) D RI'!AA190</f>
        <v>2858</v>
      </c>
      <c r="E188" s="211">
        <f t="shared" si="18"/>
        <v>88.427254698084496</v>
      </c>
      <c r="F188" s="409">
        <f t="shared" si="19"/>
        <v>1.9554516795291961</v>
      </c>
      <c r="G188" s="420">
        <f t="shared" si="20"/>
        <v>43.206370119962543</v>
      </c>
      <c r="H188" s="417">
        <f t="shared" si="21"/>
        <v>34.162193204338152</v>
      </c>
      <c r="I188" s="420">
        <f t="shared" si="22"/>
        <v>20.595927830901573</v>
      </c>
      <c r="J188" s="417">
        <f t="shared" si="23"/>
        <v>0</v>
      </c>
      <c r="K188" s="412">
        <f t="shared" si="24"/>
        <v>0</v>
      </c>
      <c r="L188" s="416">
        <f t="shared" si="25"/>
        <v>14.117086127516481</v>
      </c>
      <c r="M188" s="119">
        <f>L188*D188*'B) D RI'!S190</f>
        <v>2299758.0326892002</v>
      </c>
    </row>
    <row r="189" spans="1:13" x14ac:dyDescent="0.25">
      <c r="A189" s="313">
        <f>'A) Base RI'!A191</f>
        <v>5712</v>
      </c>
      <c r="B189" s="33" t="str">
        <f>'A) Base RI'!B191</f>
        <v>Coppet</v>
      </c>
      <c r="C189" s="311">
        <f>'B) D RI'!U191</f>
        <v>325058.64591194969</v>
      </c>
      <c r="D189" s="33">
        <f>'B) D RI'!AA191</f>
        <v>3123</v>
      </c>
      <c r="E189" s="211">
        <f t="shared" si="18"/>
        <v>104.08538133587886</v>
      </c>
      <c r="F189" s="409">
        <f t="shared" si="19"/>
        <v>2.3017104222290201</v>
      </c>
      <c r="G189" s="420">
        <f t="shared" si="20"/>
        <v>58.86449675775691</v>
      </c>
      <c r="H189" s="417">
        <f t="shared" si="21"/>
        <v>49.82031984213252</v>
      </c>
      <c r="I189" s="420">
        <f t="shared" si="22"/>
        <v>36.254054468695941</v>
      </c>
      <c r="J189" s="417">
        <f t="shared" si="23"/>
        <v>13.643612179634957</v>
      </c>
      <c r="K189" s="412">
        <f t="shared" si="24"/>
        <v>0</v>
      </c>
      <c r="L189" s="416">
        <f t="shared" si="25"/>
        <v>21.744698000597722</v>
      </c>
      <c r="M189" s="119">
        <f>L189*D189*'B) D RI'!S191</f>
        <v>3599160.6683609341</v>
      </c>
    </row>
    <row r="190" spans="1:13" x14ac:dyDescent="0.25">
      <c r="A190" s="313">
        <f>'A) Base RI'!A192</f>
        <v>5713</v>
      </c>
      <c r="B190" s="33" t="str">
        <f>'A) Base RI'!B192</f>
        <v>Crans-près-Céligny</v>
      </c>
      <c r="C190" s="311">
        <f>'B) D RI'!U192</f>
        <v>238982.42094339622</v>
      </c>
      <c r="D190" s="33">
        <f>'B) D RI'!AA192</f>
        <v>2177</v>
      </c>
      <c r="E190" s="211">
        <f t="shared" si="18"/>
        <v>109.77603166899229</v>
      </c>
      <c r="F190" s="409">
        <f t="shared" si="19"/>
        <v>2.4275516211839512</v>
      </c>
      <c r="G190" s="420">
        <f t="shared" si="20"/>
        <v>64.555147090870335</v>
      </c>
      <c r="H190" s="417">
        <f t="shared" si="21"/>
        <v>55.510970175245944</v>
      </c>
      <c r="I190" s="420">
        <f t="shared" si="22"/>
        <v>41.944704801809365</v>
      </c>
      <c r="J190" s="417">
        <f t="shared" si="23"/>
        <v>19.334262512748381</v>
      </c>
      <c r="K190" s="412">
        <f t="shared" si="24"/>
        <v>0</v>
      </c>
      <c r="L190" s="416">
        <f t="shared" si="25"/>
        <v>24.590023167154435</v>
      </c>
      <c r="M190" s="119">
        <f>L190*D190*'B) D RI'!S192</f>
        <v>2837221.4630494458</v>
      </c>
    </row>
    <row r="191" spans="1:13" x14ac:dyDescent="0.25">
      <c r="A191" s="313">
        <f>'A) Base RI'!A193</f>
        <v>5714</v>
      </c>
      <c r="B191" s="33" t="str">
        <f>'A) Base RI'!B193</f>
        <v>Crassier</v>
      </c>
      <c r="C191" s="311">
        <f>'B) D RI'!U193</f>
        <v>81379.304374999992</v>
      </c>
      <c r="D191" s="33">
        <f>'B) D RI'!AA193</f>
        <v>1161</v>
      </c>
      <c r="E191" s="211">
        <f t="shared" si="18"/>
        <v>70.094146748492676</v>
      </c>
      <c r="F191" s="409">
        <f t="shared" si="19"/>
        <v>1.5500392662023359</v>
      </c>
      <c r="G191" s="420">
        <f t="shared" si="20"/>
        <v>24.873262170370722</v>
      </c>
      <c r="H191" s="417">
        <f t="shared" si="21"/>
        <v>15.829085254746332</v>
      </c>
      <c r="I191" s="420">
        <f t="shared" si="22"/>
        <v>2.2628198813097526</v>
      </c>
      <c r="J191" s="417">
        <f t="shared" si="23"/>
        <v>0</v>
      </c>
      <c r="K191" s="412">
        <f t="shared" si="24"/>
        <v>0</v>
      </c>
      <c r="L191" s="416">
        <f t="shared" si="25"/>
        <v>6.7838429476797524</v>
      </c>
      <c r="M191" s="119">
        <f>L191*D191*'B) D RI'!S193</f>
        <v>504066.66638439632</v>
      </c>
    </row>
    <row r="192" spans="1:13" x14ac:dyDescent="0.25">
      <c r="A192" s="313">
        <f>'A) Base RI'!A194</f>
        <v>5715</v>
      </c>
      <c r="B192" s="33" t="str">
        <f>'A) Base RI'!B194</f>
        <v>Duillier</v>
      </c>
      <c r="C192" s="311">
        <f>'B) D RI'!U194</f>
        <v>59220.850303030304</v>
      </c>
      <c r="D192" s="33">
        <f>'B) D RI'!AA194</f>
        <v>1078</v>
      </c>
      <c r="E192" s="211">
        <f t="shared" si="18"/>
        <v>54.93585371338618</v>
      </c>
      <c r="F192" s="409">
        <f t="shared" si="19"/>
        <v>1.2148336819568621</v>
      </c>
      <c r="G192" s="420">
        <f t="shared" si="20"/>
        <v>9.7149691352642265</v>
      </c>
      <c r="H192" s="417">
        <f t="shared" si="21"/>
        <v>0.67079221963983571</v>
      </c>
      <c r="I192" s="420">
        <f t="shared" si="22"/>
        <v>0</v>
      </c>
      <c r="J192" s="417">
        <f t="shared" si="23"/>
        <v>0</v>
      </c>
      <c r="K192" s="412">
        <f t="shared" si="24"/>
        <v>0</v>
      </c>
      <c r="L192" s="416">
        <f t="shared" si="25"/>
        <v>2.010073049016829</v>
      </c>
      <c r="M192" s="119">
        <f>L192*D192*'B) D RI'!S194</f>
        <v>143012.67729144933</v>
      </c>
    </row>
    <row r="193" spans="1:13" x14ac:dyDescent="0.25">
      <c r="A193" s="313">
        <f>'A) Base RI'!A195</f>
        <v>5716</v>
      </c>
      <c r="B193" s="33" t="str">
        <f>'A) Base RI'!B195</f>
        <v>Eysins</v>
      </c>
      <c r="C193" s="311">
        <f>'B) D RI'!U195</f>
        <v>124151.91836065573</v>
      </c>
      <c r="D193" s="33">
        <f>'B) D RI'!AA195</f>
        <v>1603</v>
      </c>
      <c r="E193" s="211">
        <f t="shared" si="18"/>
        <v>77.44973073029054</v>
      </c>
      <c r="F193" s="409">
        <f t="shared" si="19"/>
        <v>1.7126982687941719</v>
      </c>
      <c r="G193" s="420">
        <f t="shared" si="20"/>
        <v>32.228846152168586</v>
      </c>
      <c r="H193" s="417">
        <f t="shared" si="21"/>
        <v>23.184669236544195</v>
      </c>
      <c r="I193" s="420">
        <f t="shared" si="22"/>
        <v>9.6184038631076163</v>
      </c>
      <c r="J193" s="417">
        <f t="shared" si="23"/>
        <v>0</v>
      </c>
      <c r="K193" s="412">
        <f t="shared" si="24"/>
        <v>0</v>
      </c>
      <c r="L193" s="416">
        <f t="shared" si="25"/>
        <v>9.726076540398898</v>
      </c>
      <c r="M193" s="119">
        <f>L193*D193*'B) D RI'!S195</f>
        <v>951044.9423498254</v>
      </c>
    </row>
    <row r="194" spans="1:13" x14ac:dyDescent="0.25">
      <c r="A194" s="313">
        <f>'A) Base RI'!A196</f>
        <v>5717</v>
      </c>
      <c r="B194" s="33" t="str">
        <f>'A) Base RI'!B196</f>
        <v>Founex</v>
      </c>
      <c r="C194" s="311">
        <f>'B) D RI'!U196</f>
        <v>339342.81578947371</v>
      </c>
      <c r="D194" s="33">
        <f>'B) D RI'!AA196</f>
        <v>3788</v>
      </c>
      <c r="E194" s="211">
        <f t="shared" si="18"/>
        <v>89.583636692046909</v>
      </c>
      <c r="F194" s="409">
        <f t="shared" si="19"/>
        <v>1.9810235365317872</v>
      </c>
      <c r="G194" s="420">
        <f t="shared" si="20"/>
        <v>44.362752113924955</v>
      </c>
      <c r="H194" s="417">
        <f t="shared" si="21"/>
        <v>35.318575198300564</v>
      </c>
      <c r="I194" s="420">
        <f t="shared" si="22"/>
        <v>21.752309824863985</v>
      </c>
      <c r="J194" s="417">
        <f t="shared" si="23"/>
        <v>0</v>
      </c>
      <c r="K194" s="412">
        <f t="shared" si="24"/>
        <v>0</v>
      </c>
      <c r="L194" s="416">
        <f t="shared" si="25"/>
        <v>14.579638925101445</v>
      </c>
      <c r="M194" s="119">
        <f>L194*D194*'B) D RI'!S196</f>
        <v>3147977.3181522037</v>
      </c>
    </row>
    <row r="195" spans="1:13" x14ac:dyDescent="0.25">
      <c r="A195" s="313">
        <f>'A) Base RI'!A197</f>
        <v>5718</v>
      </c>
      <c r="B195" s="33" t="str">
        <f>'A) Base RI'!B197</f>
        <v>Genolier</v>
      </c>
      <c r="C195" s="311">
        <f>'B) D RI'!U197</f>
        <v>176672.45218181823</v>
      </c>
      <c r="D195" s="33">
        <f>'B) D RI'!AA197</f>
        <v>1945</v>
      </c>
      <c r="E195" s="211">
        <f t="shared" si="18"/>
        <v>90.834165646179031</v>
      </c>
      <c r="F195" s="409">
        <f t="shared" si="19"/>
        <v>2.0086773289287883</v>
      </c>
      <c r="G195" s="420">
        <f t="shared" si="20"/>
        <v>45.613281068057077</v>
      </c>
      <c r="H195" s="417">
        <f t="shared" si="21"/>
        <v>36.569104152432686</v>
      </c>
      <c r="I195" s="420">
        <f t="shared" si="22"/>
        <v>23.002838778996107</v>
      </c>
      <c r="J195" s="417">
        <f t="shared" si="23"/>
        <v>0.39239648993512333</v>
      </c>
      <c r="K195" s="412">
        <f t="shared" si="24"/>
        <v>0</v>
      </c>
      <c r="L195" s="416">
        <f t="shared" si="25"/>
        <v>15.119090155747807</v>
      </c>
      <c r="M195" s="119">
        <f>L195*D195*'B) D RI'!S197</f>
        <v>1617364.6694111216</v>
      </c>
    </row>
    <row r="196" spans="1:13" x14ac:dyDescent="0.25">
      <c r="A196" s="313">
        <f>'A) Base RI'!A198</f>
        <v>5719</v>
      </c>
      <c r="B196" s="33" t="str">
        <f>'A) Base RI'!B198</f>
        <v>Gingins</v>
      </c>
      <c r="C196" s="311">
        <f>'B) D RI'!U198</f>
        <v>130825.37064327484</v>
      </c>
      <c r="D196" s="33">
        <f>'B) D RI'!AA198</f>
        <v>1212</v>
      </c>
      <c r="E196" s="211">
        <f t="shared" si="18"/>
        <v>107.94172495319707</v>
      </c>
      <c r="F196" s="409">
        <f t="shared" si="19"/>
        <v>2.3869883563803551</v>
      </c>
      <c r="G196" s="420">
        <f t="shared" si="20"/>
        <v>62.720840375075113</v>
      </c>
      <c r="H196" s="417">
        <f t="shared" si="21"/>
        <v>53.676663459450722</v>
      </c>
      <c r="I196" s="420">
        <f t="shared" si="22"/>
        <v>40.110398086014143</v>
      </c>
      <c r="J196" s="417">
        <f t="shared" si="23"/>
        <v>17.499955796953159</v>
      </c>
      <c r="K196" s="412">
        <f t="shared" si="24"/>
        <v>0</v>
      </c>
      <c r="L196" s="416">
        <f t="shared" si="25"/>
        <v>23.672869809256824</v>
      </c>
      <c r="M196" s="119">
        <f>L196*D196*'B) D RI'!S198</f>
        <v>1635416.5379026984</v>
      </c>
    </row>
    <row r="197" spans="1:13" x14ac:dyDescent="0.25">
      <c r="A197" s="313">
        <f>'A) Base RI'!A199</f>
        <v>5720</v>
      </c>
      <c r="B197" s="33" t="str">
        <f>'A) Base RI'!B199</f>
        <v>Givrins</v>
      </c>
      <c r="C197" s="311">
        <f>'B) D RI'!U199</f>
        <v>72642.976593806918</v>
      </c>
      <c r="D197" s="33">
        <f>'B) D RI'!AA199</f>
        <v>995</v>
      </c>
      <c r="E197" s="211">
        <f t="shared" si="18"/>
        <v>73.008016677192884</v>
      </c>
      <c r="F197" s="409">
        <f t="shared" si="19"/>
        <v>1.6144756423565065</v>
      </c>
      <c r="G197" s="420">
        <f t="shared" si="20"/>
        <v>27.787132099070931</v>
      </c>
      <c r="H197" s="417">
        <f t="shared" si="21"/>
        <v>18.74295518344654</v>
      </c>
      <c r="I197" s="420">
        <f t="shared" si="22"/>
        <v>5.176689810009961</v>
      </c>
      <c r="J197" s="417">
        <f t="shared" si="23"/>
        <v>0</v>
      </c>
      <c r="K197" s="412">
        <f t="shared" si="24"/>
        <v>0</v>
      </c>
      <c r="L197" s="416">
        <f t="shared" si="25"/>
        <v>7.9493909191598355</v>
      </c>
      <c r="M197" s="119">
        <f>L197*D197*'B) D RI'!S199</f>
        <v>482488.28183840623</v>
      </c>
    </row>
    <row r="198" spans="1:13" x14ac:dyDescent="0.25">
      <c r="A198" s="313">
        <f>'A) Base RI'!A200</f>
        <v>5721</v>
      </c>
      <c r="B198" s="33" t="str">
        <f>'A) Base RI'!B200</f>
        <v>Gland</v>
      </c>
      <c r="C198" s="311">
        <f>'B) D RI'!U200</f>
        <v>599217.55248000007</v>
      </c>
      <c r="D198" s="33">
        <f>'B) D RI'!AA200</f>
        <v>13081</v>
      </c>
      <c r="E198" s="211">
        <f t="shared" ref="E198:E261" si="26">C198/D198</f>
        <v>45.808237327421459</v>
      </c>
      <c r="F198" s="409">
        <f t="shared" ref="F198:F261" si="27">E198/$E$314</f>
        <v>1.0129885285256819</v>
      </c>
      <c r="G198" s="420">
        <f t="shared" ref="G198:G261" si="28">IF(E198-$G$2&lt;0,0,E198-$G$2)</f>
        <v>0.58735274929950521</v>
      </c>
      <c r="H198" s="417">
        <f t="shared" ref="H198:H261" si="29">IF(E198-$H$2&lt;0,0,E198-$H$2)</f>
        <v>0</v>
      </c>
      <c r="I198" s="420">
        <f t="shared" ref="I198:I261" si="30">IF(E198-$I$2&lt;0,0,E198-$I$2)</f>
        <v>0</v>
      </c>
      <c r="J198" s="417">
        <f t="shared" ref="J198:J261" si="31">IF(E198-$J$2&lt;0,0,E198-$J$2)</f>
        <v>0</v>
      </c>
      <c r="K198" s="412">
        <f t="shared" ref="K198:K261" si="32">IF(E198-$K$2&lt;0,0,E198-$K$2)</f>
        <v>0</v>
      </c>
      <c r="L198" s="416">
        <f t="shared" ref="L198:L261" si="33">(G198-H198)*$G$3+(H198-I198)*$H$3+(I198-J198)*$I$3+(J198-K198)*$J$3+(K198*$K$3)</f>
        <v>0.11747054985990105</v>
      </c>
      <c r="M198" s="119">
        <f>L198*D198*'B) D RI'!S200</f>
        <v>96039.516419835345</v>
      </c>
    </row>
    <row r="199" spans="1:13" x14ac:dyDescent="0.25">
      <c r="A199" s="313">
        <f>'A) Base RI'!A201</f>
        <v>5722</v>
      </c>
      <c r="B199" s="33" t="str">
        <f>'A) Base RI'!B201</f>
        <v>Grens</v>
      </c>
      <c r="C199" s="311">
        <f>'B) D RI'!U201</f>
        <v>25282.227903225812</v>
      </c>
      <c r="D199" s="33">
        <f>'B) D RI'!AA201</f>
        <v>382</v>
      </c>
      <c r="E199" s="211">
        <f t="shared" si="26"/>
        <v>66.183842678601607</v>
      </c>
      <c r="F199" s="409">
        <f t="shared" si="27"/>
        <v>1.4635680680740513</v>
      </c>
      <c r="G199" s="420">
        <f t="shared" si="28"/>
        <v>20.962958100479653</v>
      </c>
      <c r="H199" s="417">
        <f t="shared" si="29"/>
        <v>11.918781184855263</v>
      </c>
      <c r="I199" s="420">
        <f t="shared" si="30"/>
        <v>0</v>
      </c>
      <c r="J199" s="417">
        <f t="shared" si="31"/>
        <v>0</v>
      </c>
      <c r="K199" s="412">
        <f t="shared" si="32"/>
        <v>0</v>
      </c>
      <c r="L199" s="416">
        <f t="shared" si="33"/>
        <v>5.3844697385814566</v>
      </c>
      <c r="M199" s="119">
        <f>L199*D199*'B) D RI'!S201</f>
        <v>127525.78128856322</v>
      </c>
    </row>
    <row r="200" spans="1:13" x14ac:dyDescent="0.25">
      <c r="A200" s="313">
        <f>'A) Base RI'!A202</f>
        <v>5723</v>
      </c>
      <c r="B200" s="33" t="str">
        <f>'A) Base RI'!B202</f>
        <v>Mies</v>
      </c>
      <c r="C200" s="311">
        <f>'B) D RI'!U202</f>
        <v>442357.54510204075</v>
      </c>
      <c r="D200" s="33">
        <f>'B) D RI'!AA202</f>
        <v>2037</v>
      </c>
      <c r="E200" s="211">
        <f t="shared" si="26"/>
        <v>217.16128870988746</v>
      </c>
      <c r="F200" s="409">
        <f t="shared" si="27"/>
        <v>4.8022344263241363</v>
      </c>
      <c r="G200" s="420">
        <f t="shared" si="28"/>
        <v>171.94040413176549</v>
      </c>
      <c r="H200" s="417">
        <f t="shared" si="29"/>
        <v>162.89622721614111</v>
      </c>
      <c r="I200" s="420">
        <f t="shared" si="30"/>
        <v>149.32996184270453</v>
      </c>
      <c r="J200" s="417">
        <f t="shared" si="31"/>
        <v>126.71951955364355</v>
      </c>
      <c r="K200" s="412">
        <f t="shared" si="32"/>
        <v>81.498634975521611</v>
      </c>
      <c r="L200" s="416">
        <f t="shared" si="33"/>
        <v>86.432515185154188</v>
      </c>
      <c r="M200" s="119">
        <f>L200*D200*'B) D RI'!S202</f>
        <v>8627088.6381757949</v>
      </c>
    </row>
    <row r="201" spans="1:13" x14ac:dyDescent="0.25">
      <c r="A201" s="313">
        <f>'A) Base RI'!A203</f>
        <v>5724</v>
      </c>
      <c r="B201" s="33" t="str">
        <f>'A) Base RI'!B203</f>
        <v>Nyon</v>
      </c>
      <c r="C201" s="311">
        <f>'B) D RI'!U203</f>
        <v>1295846.4763430012</v>
      </c>
      <c r="D201" s="33">
        <f>'B) D RI'!AA203</f>
        <v>20551</v>
      </c>
      <c r="E201" s="211">
        <f t="shared" si="26"/>
        <v>63.055154315751118</v>
      </c>
      <c r="F201" s="409">
        <f t="shared" si="27"/>
        <v>1.3943812666207209</v>
      </c>
      <c r="G201" s="420">
        <f t="shared" si="28"/>
        <v>17.834269737629164</v>
      </c>
      <c r="H201" s="417">
        <f t="shared" si="29"/>
        <v>8.7900928220047732</v>
      </c>
      <c r="I201" s="420">
        <f t="shared" si="30"/>
        <v>0</v>
      </c>
      <c r="J201" s="417">
        <f t="shared" si="31"/>
        <v>0</v>
      </c>
      <c r="K201" s="412">
        <f t="shared" si="32"/>
        <v>0</v>
      </c>
      <c r="L201" s="416">
        <f t="shared" si="33"/>
        <v>4.4458632297263101</v>
      </c>
      <c r="M201" s="119">
        <f>L201*D201*'B) D RI'!S203</f>
        <v>5573383.0492804293</v>
      </c>
    </row>
    <row r="202" spans="1:13" x14ac:dyDescent="0.25">
      <c r="A202" s="313">
        <f>'A) Base RI'!A204</f>
        <v>5725</v>
      </c>
      <c r="B202" s="33" t="str">
        <f>'A) Base RI'!B204</f>
        <v>Prangins</v>
      </c>
      <c r="C202" s="311">
        <f>'B) D RI'!U204</f>
        <v>297756.63698979589</v>
      </c>
      <c r="D202" s="33">
        <f>'B) D RI'!AA204</f>
        <v>4069</v>
      </c>
      <c r="E202" s="211">
        <f t="shared" si="26"/>
        <v>73.176858439369838</v>
      </c>
      <c r="F202" s="409">
        <f t="shared" si="27"/>
        <v>1.6182093544179164</v>
      </c>
      <c r="G202" s="420">
        <f t="shared" si="28"/>
        <v>27.955973861247884</v>
      </c>
      <c r="H202" s="417">
        <f t="shared" si="29"/>
        <v>18.911796945623493</v>
      </c>
      <c r="I202" s="420">
        <f t="shared" si="30"/>
        <v>5.3455315721869141</v>
      </c>
      <c r="J202" s="417">
        <f t="shared" si="31"/>
        <v>0</v>
      </c>
      <c r="K202" s="412">
        <f t="shared" si="32"/>
        <v>0</v>
      </c>
      <c r="L202" s="416">
        <f t="shared" si="33"/>
        <v>8.0169276240306182</v>
      </c>
      <c r="M202" s="119">
        <f>L202*D202*'B) D RI'!S204</f>
        <v>1826769.1961221127</v>
      </c>
    </row>
    <row r="203" spans="1:13" x14ac:dyDescent="0.25">
      <c r="A203" s="313">
        <f>'A) Base RI'!A205</f>
        <v>5726</v>
      </c>
      <c r="B203" s="33" t="str">
        <f>'A) Base RI'!B205</f>
        <v>La Rippe</v>
      </c>
      <c r="C203" s="311">
        <f>'B) D RI'!U205</f>
        <v>56821.794000000002</v>
      </c>
      <c r="D203" s="33">
        <f>'B) D RI'!AA205</f>
        <v>1164</v>
      </c>
      <c r="E203" s="211">
        <f t="shared" si="26"/>
        <v>48.815974226804123</v>
      </c>
      <c r="F203" s="409">
        <f t="shared" si="27"/>
        <v>1.0795006484773959</v>
      </c>
      <c r="G203" s="420">
        <f t="shared" si="28"/>
        <v>3.5950896486821691</v>
      </c>
      <c r="H203" s="417">
        <f t="shared" si="29"/>
        <v>0</v>
      </c>
      <c r="I203" s="420">
        <f t="shared" si="30"/>
        <v>0</v>
      </c>
      <c r="J203" s="417">
        <f t="shared" si="31"/>
        <v>0</v>
      </c>
      <c r="K203" s="412">
        <f t="shared" si="32"/>
        <v>0</v>
      </c>
      <c r="L203" s="416">
        <f t="shared" si="33"/>
        <v>0.71901792973643386</v>
      </c>
      <c r="M203" s="119">
        <f>L203*D203*'B) D RI'!S205</f>
        <v>54400.896563858587</v>
      </c>
    </row>
    <row r="204" spans="1:13" x14ac:dyDescent="0.25">
      <c r="A204" s="313">
        <f>'A) Base RI'!A206</f>
        <v>5727</v>
      </c>
      <c r="B204" s="33" t="str">
        <f>'A) Base RI'!B206</f>
        <v>Saint-Cergue</v>
      </c>
      <c r="C204" s="311">
        <f>'B) D RI'!U206</f>
        <v>100367.45777777779</v>
      </c>
      <c r="D204" s="33">
        <f>'B) D RI'!AA206</f>
        <v>2559</v>
      </c>
      <c r="E204" s="211">
        <f t="shared" si="26"/>
        <v>39.221359037818594</v>
      </c>
      <c r="F204" s="409">
        <f t="shared" si="27"/>
        <v>0.86732843472049292</v>
      </c>
      <c r="G204" s="420">
        <f t="shared" si="28"/>
        <v>0</v>
      </c>
      <c r="H204" s="417">
        <f t="shared" si="29"/>
        <v>0</v>
      </c>
      <c r="I204" s="420">
        <f t="shared" si="30"/>
        <v>0</v>
      </c>
      <c r="J204" s="417">
        <f t="shared" si="31"/>
        <v>0</v>
      </c>
      <c r="K204" s="412">
        <f t="shared" si="32"/>
        <v>0</v>
      </c>
      <c r="L204" s="416">
        <f t="shared" si="33"/>
        <v>0</v>
      </c>
      <c r="M204" s="119">
        <f>L204*D204*'B) D RI'!S206</f>
        <v>0</v>
      </c>
    </row>
    <row r="205" spans="1:13" x14ac:dyDescent="0.25">
      <c r="A205" s="313">
        <f>'A) Base RI'!A207</f>
        <v>5728</v>
      </c>
      <c r="B205" s="33" t="str">
        <f>'A) Base RI'!B207</f>
        <v>Signy-Avenex</v>
      </c>
      <c r="C205" s="311">
        <f>'B) D RI'!U207</f>
        <v>36550.556034482761</v>
      </c>
      <c r="D205" s="33">
        <f>'B) D RI'!AA207</f>
        <v>567</v>
      </c>
      <c r="E205" s="211">
        <f t="shared" si="26"/>
        <v>64.463061789211224</v>
      </c>
      <c r="F205" s="409">
        <f t="shared" si="27"/>
        <v>1.4255152766383237</v>
      </c>
      <c r="G205" s="420">
        <f t="shared" si="28"/>
        <v>19.24217721108927</v>
      </c>
      <c r="H205" s="417">
        <f t="shared" si="29"/>
        <v>10.19800029546488</v>
      </c>
      <c r="I205" s="420">
        <f t="shared" si="30"/>
        <v>0</v>
      </c>
      <c r="J205" s="417">
        <f t="shared" si="31"/>
        <v>0</v>
      </c>
      <c r="K205" s="412">
        <f t="shared" si="32"/>
        <v>0</v>
      </c>
      <c r="L205" s="416">
        <f t="shared" si="33"/>
        <v>4.8682354717643417</v>
      </c>
      <c r="M205" s="119">
        <f>L205*D205*'B) D RI'!S207</f>
        <v>160096.79172444213</v>
      </c>
    </row>
    <row r="206" spans="1:13" x14ac:dyDescent="0.25">
      <c r="A206" s="313">
        <f>'A) Base RI'!A208</f>
        <v>5729</v>
      </c>
      <c r="B206" s="33" t="str">
        <f>'A) Base RI'!B208</f>
        <v>Tannay</v>
      </c>
      <c r="C206" s="311">
        <f>'B) D RI'!U208</f>
        <v>172823.24043715847</v>
      </c>
      <c r="D206" s="33">
        <f>'B) D RI'!AA208</f>
        <v>1585</v>
      </c>
      <c r="E206" s="211">
        <f t="shared" si="26"/>
        <v>109.03674475530502</v>
      </c>
      <c r="F206" s="409">
        <f t="shared" si="27"/>
        <v>2.4112032697400494</v>
      </c>
      <c r="G206" s="420">
        <f t="shared" si="28"/>
        <v>63.815860177183069</v>
      </c>
      <c r="H206" s="417">
        <f t="shared" si="29"/>
        <v>54.771683261558678</v>
      </c>
      <c r="I206" s="420">
        <f t="shared" si="30"/>
        <v>41.205417888122099</v>
      </c>
      <c r="J206" s="417">
        <f t="shared" si="31"/>
        <v>18.594975599061115</v>
      </c>
      <c r="K206" s="412">
        <f t="shared" si="32"/>
        <v>0</v>
      </c>
      <c r="L206" s="416">
        <f t="shared" si="33"/>
        <v>24.220379710310802</v>
      </c>
      <c r="M206" s="119">
        <f>L206*D206*'B) D RI'!S208</f>
        <v>2341747.4122914001</v>
      </c>
    </row>
    <row r="207" spans="1:13" x14ac:dyDescent="0.25">
      <c r="A207" s="313">
        <f>'A) Base RI'!A209</f>
        <v>5730</v>
      </c>
      <c r="B207" s="33" t="str">
        <f>'A) Base RI'!B209</f>
        <v>Trélex</v>
      </c>
      <c r="C207" s="311">
        <f>'B) D RI'!U209</f>
        <v>103185.50284600389</v>
      </c>
      <c r="D207" s="33">
        <f>'B) D RI'!AA209</f>
        <v>1405</v>
      </c>
      <c r="E207" s="211">
        <f t="shared" si="26"/>
        <v>73.441639036301694</v>
      </c>
      <c r="F207" s="409">
        <f t="shared" si="27"/>
        <v>1.624064626808142</v>
      </c>
      <c r="G207" s="420">
        <f t="shared" si="28"/>
        <v>28.220754458179741</v>
      </c>
      <c r="H207" s="417">
        <f t="shared" si="29"/>
        <v>19.17657754255535</v>
      </c>
      <c r="I207" s="420">
        <f t="shared" si="30"/>
        <v>5.610312169118771</v>
      </c>
      <c r="J207" s="417">
        <f t="shared" si="31"/>
        <v>0</v>
      </c>
      <c r="K207" s="412">
        <f t="shared" si="32"/>
        <v>0</v>
      </c>
      <c r="L207" s="416">
        <f t="shared" si="33"/>
        <v>8.1228398628033602</v>
      </c>
      <c r="M207" s="119">
        <f>L207*D207*'B) D RI'!S209</f>
        <v>650517.6304126071</v>
      </c>
    </row>
    <row r="208" spans="1:13" x14ac:dyDescent="0.25">
      <c r="A208" s="313">
        <f>'A) Base RI'!A210</f>
        <v>5731</v>
      </c>
      <c r="B208" s="33" t="str">
        <f>'A) Base RI'!B210</f>
        <v>Le Vaud</v>
      </c>
      <c r="C208" s="311">
        <f>'B) D RI'!U210</f>
        <v>50829.361333333334</v>
      </c>
      <c r="D208" s="33">
        <f>'B) D RI'!AA210</f>
        <v>1283</v>
      </c>
      <c r="E208" s="211">
        <f t="shared" si="26"/>
        <v>39.617584827227851</v>
      </c>
      <c r="F208" s="409">
        <f t="shared" si="27"/>
        <v>0.87609044353800636</v>
      </c>
      <c r="G208" s="420">
        <f t="shared" si="28"/>
        <v>0</v>
      </c>
      <c r="H208" s="417">
        <f t="shared" si="29"/>
        <v>0</v>
      </c>
      <c r="I208" s="420">
        <f t="shared" si="30"/>
        <v>0</v>
      </c>
      <c r="J208" s="417">
        <f t="shared" si="31"/>
        <v>0</v>
      </c>
      <c r="K208" s="412">
        <f t="shared" si="32"/>
        <v>0</v>
      </c>
      <c r="L208" s="416">
        <f t="shared" si="33"/>
        <v>0</v>
      </c>
      <c r="M208" s="119">
        <f>L208*D208*'B) D RI'!S210</f>
        <v>0</v>
      </c>
    </row>
    <row r="209" spans="1:13" x14ac:dyDescent="0.25">
      <c r="A209" s="313">
        <f>'A) Base RI'!A211</f>
        <v>5732</v>
      </c>
      <c r="B209" s="33" t="str">
        <f>'A) Base RI'!B211</f>
        <v>Vich</v>
      </c>
      <c r="C209" s="311">
        <f>'B) D RI'!U211</f>
        <v>61037.471029411761</v>
      </c>
      <c r="D209" s="33">
        <f>'B) D RI'!AA211</f>
        <v>1026</v>
      </c>
      <c r="E209" s="211">
        <f t="shared" si="26"/>
        <v>59.490712504299964</v>
      </c>
      <c r="F209" s="409">
        <f t="shared" si="27"/>
        <v>1.3155583544927338</v>
      </c>
      <c r="G209" s="420">
        <f t="shared" si="28"/>
        <v>14.26982792617801</v>
      </c>
      <c r="H209" s="417">
        <f t="shared" si="29"/>
        <v>5.2256510105536194</v>
      </c>
      <c r="I209" s="420">
        <f t="shared" si="30"/>
        <v>0</v>
      </c>
      <c r="J209" s="417">
        <f t="shared" si="31"/>
        <v>0</v>
      </c>
      <c r="K209" s="412">
        <f t="shared" si="32"/>
        <v>0</v>
      </c>
      <c r="L209" s="416">
        <f t="shared" si="33"/>
        <v>3.3765306862909643</v>
      </c>
      <c r="M209" s="119">
        <f>L209*D209*'B) D RI'!S211</f>
        <v>235573.79292114801</v>
      </c>
    </row>
    <row r="210" spans="1:13" x14ac:dyDescent="0.25">
      <c r="A210" s="313">
        <f>'A) Base RI'!A212</f>
        <v>5741</v>
      </c>
      <c r="B210" s="33" t="str">
        <f>'A) Base RI'!B212</f>
        <v>L'Abergement</v>
      </c>
      <c r="C210" s="311">
        <f>'B) D RI'!U212</f>
        <v>6619.5511522633742</v>
      </c>
      <c r="D210" s="33">
        <f>'B) D RI'!AA212</f>
        <v>237</v>
      </c>
      <c r="E210" s="211">
        <f t="shared" si="26"/>
        <v>27.930595579170355</v>
      </c>
      <c r="F210" s="409">
        <f t="shared" si="27"/>
        <v>0.61764814730500184</v>
      </c>
      <c r="G210" s="420">
        <f t="shared" si="28"/>
        <v>0</v>
      </c>
      <c r="H210" s="417">
        <f t="shared" si="29"/>
        <v>0</v>
      </c>
      <c r="I210" s="420">
        <f t="shared" si="30"/>
        <v>0</v>
      </c>
      <c r="J210" s="417">
        <f t="shared" si="31"/>
        <v>0</v>
      </c>
      <c r="K210" s="412">
        <f t="shared" si="32"/>
        <v>0</v>
      </c>
      <c r="L210" s="416">
        <f t="shared" si="33"/>
        <v>0</v>
      </c>
      <c r="M210" s="119">
        <f>L210*D210*'B) D RI'!S212</f>
        <v>0</v>
      </c>
    </row>
    <row r="211" spans="1:13" x14ac:dyDescent="0.25">
      <c r="A211" s="313">
        <f>'A) Base RI'!A213</f>
        <v>5742</v>
      </c>
      <c r="B211" s="33" t="str">
        <f>'A) Base RI'!B213</f>
        <v>Agiez</v>
      </c>
      <c r="C211" s="311">
        <f>'B) D RI'!U213</f>
        <v>9354.2819736842121</v>
      </c>
      <c r="D211" s="33">
        <f>'B) D RI'!AA213</f>
        <v>314</v>
      </c>
      <c r="E211" s="211">
        <f t="shared" si="26"/>
        <v>29.790706922561185</v>
      </c>
      <c r="F211" s="409">
        <f t="shared" si="27"/>
        <v>0.65878204728825784</v>
      </c>
      <c r="G211" s="420">
        <f t="shared" si="28"/>
        <v>0</v>
      </c>
      <c r="H211" s="417">
        <f t="shared" si="29"/>
        <v>0</v>
      </c>
      <c r="I211" s="420">
        <f t="shared" si="30"/>
        <v>0</v>
      </c>
      <c r="J211" s="417">
        <f t="shared" si="31"/>
        <v>0</v>
      </c>
      <c r="K211" s="412">
        <f t="shared" si="32"/>
        <v>0</v>
      </c>
      <c r="L211" s="416">
        <f t="shared" si="33"/>
        <v>0</v>
      </c>
      <c r="M211" s="119">
        <f>L211*D211*'B) D RI'!S213</f>
        <v>0</v>
      </c>
    </row>
    <row r="212" spans="1:13" x14ac:dyDescent="0.25">
      <c r="A212" s="313">
        <f>'A) Base RI'!A214</f>
        <v>5743</v>
      </c>
      <c r="B212" s="33" t="str">
        <f>'A) Base RI'!B214</f>
        <v>Arnex-sur-Orbe</v>
      </c>
      <c r="C212" s="311">
        <f>'B) D RI'!U214</f>
        <v>17594.003904109592</v>
      </c>
      <c r="D212" s="33">
        <f>'B) D RI'!AA214</f>
        <v>642</v>
      </c>
      <c r="E212" s="211">
        <f t="shared" si="26"/>
        <v>27.4049905048436</v>
      </c>
      <c r="F212" s="409">
        <f t="shared" si="27"/>
        <v>0.60602508687108358</v>
      </c>
      <c r="G212" s="420">
        <f t="shared" si="28"/>
        <v>0</v>
      </c>
      <c r="H212" s="417">
        <f t="shared" si="29"/>
        <v>0</v>
      </c>
      <c r="I212" s="420">
        <f t="shared" si="30"/>
        <v>0</v>
      </c>
      <c r="J212" s="417">
        <f t="shared" si="31"/>
        <v>0</v>
      </c>
      <c r="K212" s="412">
        <f t="shared" si="32"/>
        <v>0</v>
      </c>
      <c r="L212" s="416">
        <f t="shared" si="33"/>
        <v>0</v>
      </c>
      <c r="M212" s="119">
        <f>L212*D212*'B) D RI'!S214</f>
        <v>0</v>
      </c>
    </row>
    <row r="213" spans="1:13" x14ac:dyDescent="0.25">
      <c r="A213" s="313">
        <f>'A) Base RI'!A215</f>
        <v>5744</v>
      </c>
      <c r="B213" s="33" t="str">
        <f>'A) Base RI'!B215</f>
        <v>Ballaigues</v>
      </c>
      <c r="C213" s="311">
        <f>'B) D RI'!U215</f>
        <v>49791.438333333339</v>
      </c>
      <c r="D213" s="33">
        <f>'B) D RI'!AA215</f>
        <v>1095</v>
      </c>
      <c r="E213" s="211">
        <f t="shared" si="26"/>
        <v>45.471633181126336</v>
      </c>
      <c r="F213" s="409">
        <f t="shared" si="27"/>
        <v>1.0055449734197746</v>
      </c>
      <c r="G213" s="420">
        <f t="shared" si="28"/>
        <v>0.25074860300438218</v>
      </c>
      <c r="H213" s="417">
        <f t="shared" si="29"/>
        <v>0</v>
      </c>
      <c r="I213" s="420">
        <f t="shared" si="30"/>
        <v>0</v>
      </c>
      <c r="J213" s="417">
        <f t="shared" si="31"/>
        <v>0</v>
      </c>
      <c r="K213" s="412">
        <f t="shared" si="32"/>
        <v>0</v>
      </c>
      <c r="L213" s="416">
        <f t="shared" si="33"/>
        <v>5.0149720600876441E-2</v>
      </c>
      <c r="M213" s="119">
        <f>L213*D213*'B) D RI'!S215</f>
        <v>3624.3203078253405</v>
      </c>
    </row>
    <row r="214" spans="1:13" x14ac:dyDescent="0.25">
      <c r="A214" s="313">
        <f>'A) Base RI'!A216</f>
        <v>5745</v>
      </c>
      <c r="B214" s="33" t="str">
        <f>'A) Base RI'!B216</f>
        <v>Baulmes</v>
      </c>
      <c r="C214" s="311">
        <f>'B) D RI'!U216</f>
        <v>25375.775641025641</v>
      </c>
      <c r="D214" s="33">
        <f>'B) D RI'!AA216</f>
        <v>1053</v>
      </c>
      <c r="E214" s="211">
        <f t="shared" si="26"/>
        <v>24.098552365646384</v>
      </c>
      <c r="F214" s="409">
        <f t="shared" si="27"/>
        <v>0.53290758441521868</v>
      </c>
      <c r="G214" s="420">
        <f t="shared" si="28"/>
        <v>0</v>
      </c>
      <c r="H214" s="417">
        <f t="shared" si="29"/>
        <v>0</v>
      </c>
      <c r="I214" s="420">
        <f t="shared" si="30"/>
        <v>0</v>
      </c>
      <c r="J214" s="417">
        <f t="shared" si="31"/>
        <v>0</v>
      </c>
      <c r="K214" s="412">
        <f t="shared" si="32"/>
        <v>0</v>
      </c>
      <c r="L214" s="416">
        <f t="shared" si="33"/>
        <v>0</v>
      </c>
      <c r="M214" s="119">
        <f>L214*D214*'B) D RI'!S216</f>
        <v>0</v>
      </c>
    </row>
    <row r="215" spans="1:13" x14ac:dyDescent="0.25">
      <c r="A215" s="313">
        <f>'A) Base RI'!A217</f>
        <v>5746</v>
      </c>
      <c r="B215" s="33" t="str">
        <f>'A) Base RI'!B217</f>
        <v>Bavois</v>
      </c>
      <c r="C215" s="311">
        <f>'B) D RI'!U217</f>
        <v>25508.009041095891</v>
      </c>
      <c r="D215" s="33">
        <f>'B) D RI'!AA217</f>
        <v>928</v>
      </c>
      <c r="E215" s="211">
        <f t="shared" si="26"/>
        <v>27.487078708077469</v>
      </c>
      <c r="F215" s="409">
        <f t="shared" si="27"/>
        <v>0.60784035881898313</v>
      </c>
      <c r="G215" s="420">
        <f t="shared" si="28"/>
        <v>0</v>
      </c>
      <c r="H215" s="417">
        <f t="shared" si="29"/>
        <v>0</v>
      </c>
      <c r="I215" s="420">
        <f t="shared" si="30"/>
        <v>0</v>
      </c>
      <c r="J215" s="417">
        <f t="shared" si="31"/>
        <v>0</v>
      </c>
      <c r="K215" s="412">
        <f t="shared" si="32"/>
        <v>0</v>
      </c>
      <c r="L215" s="416">
        <f t="shared" si="33"/>
        <v>0</v>
      </c>
      <c r="M215" s="119">
        <f>L215*D215*'B) D RI'!S217</f>
        <v>0</v>
      </c>
    </row>
    <row r="216" spans="1:13" x14ac:dyDescent="0.25">
      <c r="A216" s="313">
        <f>'A) Base RI'!A218</f>
        <v>5747</v>
      </c>
      <c r="B216" s="33" t="str">
        <f>'A) Base RI'!B218</f>
        <v>Bofflens</v>
      </c>
      <c r="C216" s="311">
        <f>'B) D RI'!U218</f>
        <v>5402.2208695652162</v>
      </c>
      <c r="D216" s="33">
        <f>'B) D RI'!AA218</f>
        <v>191</v>
      </c>
      <c r="E216" s="211">
        <f t="shared" si="26"/>
        <v>28.283878898247206</v>
      </c>
      <c r="F216" s="409">
        <f t="shared" si="27"/>
        <v>0.62546054023744291</v>
      </c>
      <c r="G216" s="420">
        <f t="shared" si="28"/>
        <v>0</v>
      </c>
      <c r="H216" s="417">
        <f t="shared" si="29"/>
        <v>0</v>
      </c>
      <c r="I216" s="420">
        <f t="shared" si="30"/>
        <v>0</v>
      </c>
      <c r="J216" s="417">
        <f t="shared" si="31"/>
        <v>0</v>
      </c>
      <c r="K216" s="412">
        <f t="shared" si="32"/>
        <v>0</v>
      </c>
      <c r="L216" s="416">
        <f t="shared" si="33"/>
        <v>0</v>
      </c>
      <c r="M216" s="119">
        <f>L216*D216*'B) D RI'!S218</f>
        <v>0</v>
      </c>
    </row>
    <row r="217" spans="1:13" x14ac:dyDescent="0.25">
      <c r="A217" s="313">
        <f>'A) Base RI'!A219</f>
        <v>5748</v>
      </c>
      <c r="B217" s="33" t="str">
        <f>'A) Base RI'!B219</f>
        <v>Bretonnières</v>
      </c>
      <c r="C217" s="311">
        <f>'B) D RI'!U219</f>
        <v>7661.0479629629635</v>
      </c>
      <c r="D217" s="33">
        <f>'B) D RI'!AA219</f>
        <v>262</v>
      </c>
      <c r="E217" s="211">
        <f t="shared" si="26"/>
        <v>29.240641080011311</v>
      </c>
      <c r="F217" s="409">
        <f t="shared" si="27"/>
        <v>0.64661806934572996</v>
      </c>
      <c r="G217" s="420">
        <f t="shared" si="28"/>
        <v>0</v>
      </c>
      <c r="H217" s="417">
        <f t="shared" si="29"/>
        <v>0</v>
      </c>
      <c r="I217" s="420">
        <f t="shared" si="30"/>
        <v>0</v>
      </c>
      <c r="J217" s="417">
        <f t="shared" si="31"/>
        <v>0</v>
      </c>
      <c r="K217" s="412">
        <f t="shared" si="32"/>
        <v>0</v>
      </c>
      <c r="L217" s="416">
        <f t="shared" si="33"/>
        <v>0</v>
      </c>
      <c r="M217" s="119">
        <f>L217*D217*'B) D RI'!S219</f>
        <v>0</v>
      </c>
    </row>
    <row r="218" spans="1:13" x14ac:dyDescent="0.25">
      <c r="A218" s="313">
        <f>'A) Base RI'!A220</f>
        <v>5749</v>
      </c>
      <c r="B218" s="33" t="str">
        <f>'A) Base RI'!B220</f>
        <v>Chavornay</v>
      </c>
      <c r="C218" s="311">
        <f>'B) D RI'!U220</f>
        <v>134740.63065656566</v>
      </c>
      <c r="D218" s="33">
        <f>'B) D RI'!AA220</f>
        <v>4908</v>
      </c>
      <c r="E218" s="211">
        <f t="shared" si="26"/>
        <v>27.453266229944102</v>
      </c>
      <c r="F218" s="409">
        <f t="shared" si="27"/>
        <v>0.6070926406253031</v>
      </c>
      <c r="G218" s="420">
        <f t="shared" si="28"/>
        <v>0</v>
      </c>
      <c r="H218" s="417">
        <f t="shared" si="29"/>
        <v>0</v>
      </c>
      <c r="I218" s="420">
        <f t="shared" si="30"/>
        <v>0</v>
      </c>
      <c r="J218" s="417">
        <f t="shared" si="31"/>
        <v>0</v>
      </c>
      <c r="K218" s="412">
        <f t="shared" si="32"/>
        <v>0</v>
      </c>
      <c r="L218" s="416">
        <f t="shared" si="33"/>
        <v>0</v>
      </c>
      <c r="M218" s="119">
        <f>L218*D218*'B) D RI'!S220</f>
        <v>0</v>
      </c>
    </row>
    <row r="219" spans="1:13" x14ac:dyDescent="0.25">
      <c r="A219" s="313">
        <f>'A) Base RI'!A221</f>
        <v>5750</v>
      </c>
      <c r="B219" s="33" t="str">
        <f>'A) Base RI'!B221</f>
        <v>Les Clées</v>
      </c>
      <c r="C219" s="311">
        <f>'B) D RI'!U221</f>
        <v>5020.8349583333338</v>
      </c>
      <c r="D219" s="33">
        <f>'B) D RI'!AA221</f>
        <v>181</v>
      </c>
      <c r="E219" s="211">
        <f t="shared" si="26"/>
        <v>27.739419659300186</v>
      </c>
      <c r="F219" s="409">
        <f t="shared" si="27"/>
        <v>0.61342054491168951</v>
      </c>
      <c r="G219" s="420">
        <f t="shared" si="28"/>
        <v>0</v>
      </c>
      <c r="H219" s="417">
        <f t="shared" si="29"/>
        <v>0</v>
      </c>
      <c r="I219" s="420">
        <f t="shared" si="30"/>
        <v>0</v>
      </c>
      <c r="J219" s="417">
        <f t="shared" si="31"/>
        <v>0</v>
      </c>
      <c r="K219" s="412">
        <f t="shared" si="32"/>
        <v>0</v>
      </c>
      <c r="L219" s="416">
        <f t="shared" si="33"/>
        <v>0</v>
      </c>
      <c r="M219" s="119">
        <f>L219*D219*'B) D RI'!S221</f>
        <v>0</v>
      </c>
    </row>
    <row r="220" spans="1:13" x14ac:dyDescent="0.25">
      <c r="A220" s="313">
        <f>'A) Base RI'!A222</f>
        <v>5752</v>
      </c>
      <c r="B220" s="33" t="str">
        <f>'A) Base RI'!B222</f>
        <v>Croy</v>
      </c>
      <c r="C220" s="311">
        <f>'B) D RI'!U222</f>
        <v>11140.896486486487</v>
      </c>
      <c r="D220" s="33">
        <f>'B) D RI'!AA222</f>
        <v>379</v>
      </c>
      <c r="E220" s="211">
        <f t="shared" si="26"/>
        <v>29.395505241389145</v>
      </c>
      <c r="F220" s="409">
        <f t="shared" si="27"/>
        <v>0.65004268526871778</v>
      </c>
      <c r="G220" s="420">
        <f t="shared" si="28"/>
        <v>0</v>
      </c>
      <c r="H220" s="417">
        <f t="shared" si="29"/>
        <v>0</v>
      </c>
      <c r="I220" s="420">
        <f t="shared" si="30"/>
        <v>0</v>
      </c>
      <c r="J220" s="417">
        <f t="shared" si="31"/>
        <v>0</v>
      </c>
      <c r="K220" s="412">
        <f t="shared" si="32"/>
        <v>0</v>
      </c>
      <c r="L220" s="416">
        <f t="shared" si="33"/>
        <v>0</v>
      </c>
      <c r="M220" s="119">
        <f>L220*D220*'B) D RI'!S222</f>
        <v>0</v>
      </c>
    </row>
    <row r="221" spans="1:13" x14ac:dyDescent="0.25">
      <c r="A221" s="313">
        <f>'A) Base RI'!A223</f>
        <v>5754</v>
      </c>
      <c r="B221" s="33" t="str">
        <f>'A) Base RI'!B223</f>
        <v>Juriens</v>
      </c>
      <c r="C221" s="311">
        <f>'B) D RI'!U223</f>
        <v>8138.4883785546344</v>
      </c>
      <c r="D221" s="33">
        <f>'B) D RI'!AA223</f>
        <v>309</v>
      </c>
      <c r="E221" s="211">
        <f t="shared" si="26"/>
        <v>26.338150092409819</v>
      </c>
      <c r="F221" s="409">
        <f t="shared" si="27"/>
        <v>0.58243332341075704</v>
      </c>
      <c r="G221" s="420">
        <f t="shared" si="28"/>
        <v>0</v>
      </c>
      <c r="H221" s="417">
        <f t="shared" si="29"/>
        <v>0</v>
      </c>
      <c r="I221" s="420">
        <f t="shared" si="30"/>
        <v>0</v>
      </c>
      <c r="J221" s="417">
        <f t="shared" si="31"/>
        <v>0</v>
      </c>
      <c r="K221" s="412">
        <f t="shared" si="32"/>
        <v>0</v>
      </c>
      <c r="L221" s="416">
        <f t="shared" si="33"/>
        <v>0</v>
      </c>
      <c r="M221" s="119">
        <f>L221*D221*'B) D RI'!S223</f>
        <v>0</v>
      </c>
    </row>
    <row r="222" spans="1:13" x14ac:dyDescent="0.25">
      <c r="A222" s="313">
        <f>'A) Base RI'!A224</f>
        <v>5755</v>
      </c>
      <c r="B222" s="33" t="str">
        <f>'A) Base RI'!B224</f>
        <v>Lignerolle</v>
      </c>
      <c r="C222" s="311">
        <f>'B) D RI'!U224</f>
        <v>9320.3381401087972</v>
      </c>
      <c r="D222" s="33">
        <f>'B) D RI'!AA224</f>
        <v>417</v>
      </c>
      <c r="E222" s="211">
        <f t="shared" si="26"/>
        <v>22.35093079162781</v>
      </c>
      <c r="F222" s="409">
        <f t="shared" si="27"/>
        <v>0.49426124677006605</v>
      </c>
      <c r="G222" s="420">
        <f t="shared" si="28"/>
        <v>0</v>
      </c>
      <c r="H222" s="417">
        <f t="shared" si="29"/>
        <v>0</v>
      </c>
      <c r="I222" s="420">
        <f t="shared" si="30"/>
        <v>0</v>
      </c>
      <c r="J222" s="417">
        <f t="shared" si="31"/>
        <v>0</v>
      </c>
      <c r="K222" s="412">
        <f t="shared" si="32"/>
        <v>0</v>
      </c>
      <c r="L222" s="416">
        <f t="shared" si="33"/>
        <v>0</v>
      </c>
      <c r="M222" s="119">
        <f>L222*D222*'B) D RI'!S224</f>
        <v>0</v>
      </c>
    </row>
    <row r="223" spans="1:13" x14ac:dyDescent="0.25">
      <c r="A223" s="313">
        <f>'A) Base RI'!A225</f>
        <v>5756</v>
      </c>
      <c r="B223" s="33" t="str">
        <f>'A) Base RI'!B225</f>
        <v>Montcherand</v>
      </c>
      <c r="C223" s="311">
        <f>'B) D RI'!U225</f>
        <v>18436.632028742581</v>
      </c>
      <c r="D223" s="33">
        <f>'B) D RI'!AA225</f>
        <v>482</v>
      </c>
      <c r="E223" s="211">
        <f t="shared" si="26"/>
        <v>38.25027391855307</v>
      </c>
      <c r="F223" s="409">
        <f t="shared" si="27"/>
        <v>0.84585417280976205</v>
      </c>
      <c r="G223" s="420">
        <f t="shared" si="28"/>
        <v>0</v>
      </c>
      <c r="H223" s="417">
        <f t="shared" si="29"/>
        <v>0</v>
      </c>
      <c r="I223" s="420">
        <f t="shared" si="30"/>
        <v>0</v>
      </c>
      <c r="J223" s="417">
        <f t="shared" si="31"/>
        <v>0</v>
      </c>
      <c r="K223" s="412">
        <f t="shared" si="32"/>
        <v>0</v>
      </c>
      <c r="L223" s="416">
        <f t="shared" si="33"/>
        <v>0</v>
      </c>
      <c r="M223" s="119">
        <f>L223*D223*'B) D RI'!S225</f>
        <v>0</v>
      </c>
    </row>
    <row r="224" spans="1:13" x14ac:dyDescent="0.25">
      <c r="A224" s="313">
        <f>'A) Base RI'!A226</f>
        <v>5757</v>
      </c>
      <c r="B224" s="33" t="str">
        <f>'A) Base RI'!B226</f>
        <v>Orbe</v>
      </c>
      <c r="C224" s="311">
        <f>'B) D RI'!U226</f>
        <v>195350.61852415255</v>
      </c>
      <c r="D224" s="33">
        <f>'B) D RI'!AA226</f>
        <v>6985</v>
      </c>
      <c r="E224" s="211">
        <f t="shared" si="26"/>
        <v>27.967160848124919</v>
      </c>
      <c r="F224" s="409">
        <f t="shared" si="27"/>
        <v>0.61845673982360672</v>
      </c>
      <c r="G224" s="420">
        <f t="shared" si="28"/>
        <v>0</v>
      </c>
      <c r="H224" s="417">
        <f t="shared" si="29"/>
        <v>0</v>
      </c>
      <c r="I224" s="420">
        <f t="shared" si="30"/>
        <v>0</v>
      </c>
      <c r="J224" s="417">
        <f t="shared" si="31"/>
        <v>0</v>
      </c>
      <c r="K224" s="412">
        <f t="shared" si="32"/>
        <v>0</v>
      </c>
      <c r="L224" s="416">
        <f t="shared" si="33"/>
        <v>0</v>
      </c>
      <c r="M224" s="119">
        <f>L224*D224*'B) D RI'!S226</f>
        <v>0</v>
      </c>
    </row>
    <row r="225" spans="1:13" x14ac:dyDescent="0.25">
      <c r="A225" s="313">
        <f>'A) Base RI'!A227</f>
        <v>5758</v>
      </c>
      <c r="B225" s="33" t="str">
        <f>'A) Base RI'!B227</f>
        <v>La Praz</v>
      </c>
      <c r="C225" s="311">
        <f>'B) D RI'!U227</f>
        <v>3217.0835405215335</v>
      </c>
      <c r="D225" s="33">
        <f>'B) D RI'!AA227</f>
        <v>160</v>
      </c>
      <c r="E225" s="211">
        <f t="shared" si="26"/>
        <v>20.106772128259585</v>
      </c>
      <c r="F225" s="409">
        <f t="shared" si="27"/>
        <v>0.44463464869918362</v>
      </c>
      <c r="G225" s="420">
        <f t="shared" si="28"/>
        <v>0</v>
      </c>
      <c r="H225" s="417">
        <f t="shared" si="29"/>
        <v>0</v>
      </c>
      <c r="I225" s="420">
        <f t="shared" si="30"/>
        <v>0</v>
      </c>
      <c r="J225" s="417">
        <f t="shared" si="31"/>
        <v>0</v>
      </c>
      <c r="K225" s="412">
        <f t="shared" si="32"/>
        <v>0</v>
      </c>
      <c r="L225" s="416">
        <f t="shared" si="33"/>
        <v>0</v>
      </c>
      <c r="M225" s="119">
        <f>L225*D225*'B) D RI'!S227</f>
        <v>0</v>
      </c>
    </row>
    <row r="226" spans="1:13" x14ac:dyDescent="0.25">
      <c r="A226" s="313">
        <f>'A) Base RI'!A228</f>
        <v>5759</v>
      </c>
      <c r="B226" s="33" t="str">
        <f>'A) Base RI'!B228</f>
        <v>Premier</v>
      </c>
      <c r="C226" s="311">
        <f>'B) D RI'!U228</f>
        <v>4730.0976887452725</v>
      </c>
      <c r="D226" s="33">
        <f>'B) D RI'!AA228</f>
        <v>210</v>
      </c>
      <c r="E226" s="211">
        <f t="shared" si="26"/>
        <v>22.52427470831082</v>
      </c>
      <c r="F226" s="409">
        <f t="shared" si="27"/>
        <v>0.49809451801852089</v>
      </c>
      <c r="G226" s="420">
        <f t="shared" si="28"/>
        <v>0</v>
      </c>
      <c r="H226" s="417">
        <f t="shared" si="29"/>
        <v>0</v>
      </c>
      <c r="I226" s="420">
        <f t="shared" si="30"/>
        <v>0</v>
      </c>
      <c r="J226" s="417">
        <f t="shared" si="31"/>
        <v>0</v>
      </c>
      <c r="K226" s="412">
        <f t="shared" si="32"/>
        <v>0</v>
      </c>
      <c r="L226" s="416">
        <f t="shared" si="33"/>
        <v>0</v>
      </c>
      <c r="M226" s="119">
        <f>L226*D226*'B) D RI'!S228</f>
        <v>0</v>
      </c>
    </row>
    <row r="227" spans="1:13" x14ac:dyDescent="0.25">
      <c r="A227" s="313">
        <f>'A) Base RI'!A229</f>
        <v>5760</v>
      </c>
      <c r="B227" s="33" t="str">
        <f>'A) Base RI'!B229</f>
        <v>Rances</v>
      </c>
      <c r="C227" s="311">
        <f>'B) D RI'!U229</f>
        <v>10427.733324716695</v>
      </c>
      <c r="D227" s="33">
        <f>'B) D RI'!AA229</f>
        <v>485</v>
      </c>
      <c r="E227" s="211">
        <f t="shared" si="26"/>
        <v>21.500481081890094</v>
      </c>
      <c r="F227" s="409">
        <f t="shared" si="27"/>
        <v>0.47545467724645335</v>
      </c>
      <c r="G227" s="420">
        <f t="shared" si="28"/>
        <v>0</v>
      </c>
      <c r="H227" s="417">
        <f t="shared" si="29"/>
        <v>0</v>
      </c>
      <c r="I227" s="420">
        <f t="shared" si="30"/>
        <v>0</v>
      </c>
      <c r="J227" s="417">
        <f t="shared" si="31"/>
        <v>0</v>
      </c>
      <c r="K227" s="412">
        <f t="shared" si="32"/>
        <v>0</v>
      </c>
      <c r="L227" s="416">
        <f t="shared" si="33"/>
        <v>0</v>
      </c>
      <c r="M227" s="119">
        <f>L227*D227*'B) D RI'!S229</f>
        <v>0</v>
      </c>
    </row>
    <row r="228" spans="1:13" x14ac:dyDescent="0.25">
      <c r="A228" s="313">
        <f>'A) Base RI'!A230</f>
        <v>5761</v>
      </c>
      <c r="B228" s="33" t="str">
        <f>'A) Base RI'!B230</f>
        <v>Romainmôtier-Envy</v>
      </c>
      <c r="C228" s="311">
        <f>'B) D RI'!U230</f>
        <v>12825.466828901401</v>
      </c>
      <c r="D228" s="33">
        <f>'B) D RI'!AA230</f>
        <v>551</v>
      </c>
      <c r="E228" s="211">
        <f t="shared" si="26"/>
        <v>23.276709308350998</v>
      </c>
      <c r="F228" s="409">
        <f t="shared" si="27"/>
        <v>0.51473361314149002</v>
      </c>
      <c r="G228" s="420">
        <f t="shared" si="28"/>
        <v>0</v>
      </c>
      <c r="H228" s="417">
        <f t="shared" si="29"/>
        <v>0</v>
      </c>
      <c r="I228" s="420">
        <f t="shared" si="30"/>
        <v>0</v>
      </c>
      <c r="J228" s="417">
        <f t="shared" si="31"/>
        <v>0</v>
      </c>
      <c r="K228" s="412">
        <f t="shared" si="32"/>
        <v>0</v>
      </c>
      <c r="L228" s="416">
        <f t="shared" si="33"/>
        <v>0</v>
      </c>
      <c r="M228" s="119">
        <f>L228*D228*'B) D RI'!S230</f>
        <v>0</v>
      </c>
    </row>
    <row r="229" spans="1:13" x14ac:dyDescent="0.25">
      <c r="A229" s="313">
        <f>'A) Base RI'!A231</f>
        <v>5762</v>
      </c>
      <c r="B229" s="33" t="str">
        <f>'A) Base RI'!B231</f>
        <v>Sergey</v>
      </c>
      <c r="C229" s="311">
        <f>'B) D RI'!U231</f>
        <v>3985.6390801086227</v>
      </c>
      <c r="D229" s="33">
        <f>'B) D RI'!AA231</f>
        <v>137</v>
      </c>
      <c r="E229" s="211">
        <f t="shared" si="26"/>
        <v>29.092256059187026</v>
      </c>
      <c r="F229" s="409">
        <f t="shared" si="27"/>
        <v>0.64333673103913536</v>
      </c>
      <c r="G229" s="420">
        <f t="shared" si="28"/>
        <v>0</v>
      </c>
      <c r="H229" s="417">
        <f t="shared" si="29"/>
        <v>0</v>
      </c>
      <c r="I229" s="420">
        <f t="shared" si="30"/>
        <v>0</v>
      </c>
      <c r="J229" s="417">
        <f t="shared" si="31"/>
        <v>0</v>
      </c>
      <c r="K229" s="412">
        <f t="shared" si="32"/>
        <v>0</v>
      </c>
      <c r="L229" s="416">
        <f t="shared" si="33"/>
        <v>0</v>
      </c>
      <c r="M229" s="119">
        <f>L229*D229*'B) D RI'!S231</f>
        <v>0</v>
      </c>
    </row>
    <row r="230" spans="1:13" x14ac:dyDescent="0.25">
      <c r="A230" s="313">
        <f>'A) Base RI'!A232</f>
        <v>5763</v>
      </c>
      <c r="B230" s="33" t="str">
        <f>'A) Base RI'!B232</f>
        <v>Valeyres-sous-Rances</v>
      </c>
      <c r="C230" s="311">
        <f>'B) D RI'!U232</f>
        <v>20114.818063776223</v>
      </c>
      <c r="D230" s="33">
        <f>'B) D RI'!AA232</f>
        <v>631</v>
      </c>
      <c r="E230" s="211">
        <f t="shared" si="26"/>
        <v>31.877683143860892</v>
      </c>
      <c r="F230" s="409">
        <f t="shared" si="27"/>
        <v>0.70493276372756852</v>
      </c>
      <c r="G230" s="420">
        <f t="shared" si="28"/>
        <v>0</v>
      </c>
      <c r="H230" s="417">
        <f t="shared" si="29"/>
        <v>0</v>
      </c>
      <c r="I230" s="420">
        <f t="shared" si="30"/>
        <v>0</v>
      </c>
      <c r="J230" s="417">
        <f t="shared" si="31"/>
        <v>0</v>
      </c>
      <c r="K230" s="412">
        <f t="shared" si="32"/>
        <v>0</v>
      </c>
      <c r="L230" s="416">
        <f t="shared" si="33"/>
        <v>0</v>
      </c>
      <c r="M230" s="119">
        <f>L230*D230*'B) D RI'!S232</f>
        <v>0</v>
      </c>
    </row>
    <row r="231" spans="1:13" x14ac:dyDescent="0.25">
      <c r="A231" s="313">
        <f>'A) Base RI'!A233</f>
        <v>5764</v>
      </c>
      <c r="B231" s="33" t="str">
        <f>'A) Base RI'!B233</f>
        <v>Vallorbe</v>
      </c>
      <c r="C231" s="311">
        <f>'B) D RI'!U233</f>
        <v>81234.457849579077</v>
      </c>
      <c r="D231" s="33">
        <f>'B) D RI'!AA233</f>
        <v>3851</v>
      </c>
      <c r="E231" s="211">
        <f t="shared" si="26"/>
        <v>21.094380121936918</v>
      </c>
      <c r="F231" s="409">
        <f t="shared" si="27"/>
        <v>0.46647429210490199</v>
      </c>
      <c r="G231" s="420">
        <f t="shared" si="28"/>
        <v>0</v>
      </c>
      <c r="H231" s="417">
        <f t="shared" si="29"/>
        <v>0</v>
      </c>
      <c r="I231" s="420">
        <f t="shared" si="30"/>
        <v>0</v>
      </c>
      <c r="J231" s="417">
        <f t="shared" si="31"/>
        <v>0</v>
      </c>
      <c r="K231" s="412">
        <f t="shared" si="32"/>
        <v>0</v>
      </c>
      <c r="L231" s="416">
        <f t="shared" si="33"/>
        <v>0</v>
      </c>
      <c r="M231" s="119">
        <f>L231*D231*'B) D RI'!S233</f>
        <v>0</v>
      </c>
    </row>
    <row r="232" spans="1:13" x14ac:dyDescent="0.25">
      <c r="A232" s="313">
        <f>'A) Base RI'!A234</f>
        <v>5765</v>
      </c>
      <c r="B232" s="33" t="str">
        <f>'A) Base RI'!B234</f>
        <v>Vaulion</v>
      </c>
      <c r="C232" s="311">
        <f>'B) D RI'!U234</f>
        <v>9570.1875488405149</v>
      </c>
      <c r="D232" s="33">
        <f>'B) D RI'!AA234</f>
        <v>482</v>
      </c>
      <c r="E232" s="211">
        <f t="shared" si="26"/>
        <v>19.855160889710611</v>
      </c>
      <c r="F232" s="409">
        <f t="shared" si="27"/>
        <v>0.43907059923627895</v>
      </c>
      <c r="G232" s="420">
        <f t="shared" si="28"/>
        <v>0</v>
      </c>
      <c r="H232" s="417">
        <f t="shared" si="29"/>
        <v>0</v>
      </c>
      <c r="I232" s="420">
        <f t="shared" si="30"/>
        <v>0</v>
      </c>
      <c r="J232" s="417">
        <f t="shared" si="31"/>
        <v>0</v>
      </c>
      <c r="K232" s="412">
        <f t="shared" si="32"/>
        <v>0</v>
      </c>
      <c r="L232" s="416">
        <f t="shared" si="33"/>
        <v>0</v>
      </c>
      <c r="M232" s="119">
        <f>L232*D232*'B) D RI'!S234</f>
        <v>0</v>
      </c>
    </row>
    <row r="233" spans="1:13" x14ac:dyDescent="0.25">
      <c r="A233" s="313">
        <f>'A) Base RI'!A235</f>
        <v>5766</v>
      </c>
      <c r="B233" s="33" t="str">
        <f>'A) Base RI'!B235</f>
        <v>Vuiteboeuf</v>
      </c>
      <c r="C233" s="311">
        <f>'B) D RI'!U235</f>
        <v>12893.801548266167</v>
      </c>
      <c r="D233" s="33">
        <f>'B) D RI'!AA235</f>
        <v>574</v>
      </c>
      <c r="E233" s="211">
        <f t="shared" si="26"/>
        <v>22.46306889941841</v>
      </c>
      <c r="F233" s="409">
        <f t="shared" si="27"/>
        <v>0.49674103257781327</v>
      </c>
      <c r="G233" s="420">
        <f t="shared" si="28"/>
        <v>0</v>
      </c>
      <c r="H233" s="417">
        <f t="shared" si="29"/>
        <v>0</v>
      </c>
      <c r="I233" s="420">
        <f t="shared" si="30"/>
        <v>0</v>
      </c>
      <c r="J233" s="417">
        <f t="shared" si="31"/>
        <v>0</v>
      </c>
      <c r="K233" s="412">
        <f t="shared" si="32"/>
        <v>0</v>
      </c>
      <c r="L233" s="416">
        <f t="shared" si="33"/>
        <v>0</v>
      </c>
      <c r="M233" s="119">
        <f>L233*D233*'B) D RI'!S235</f>
        <v>0</v>
      </c>
    </row>
    <row r="234" spans="1:13" x14ac:dyDescent="0.25">
      <c r="A234" s="313">
        <f>'A) Base RI'!A236</f>
        <v>5785</v>
      </c>
      <c r="B234" s="33" t="str">
        <f>'A) Base RI'!B236</f>
        <v>Corcelles-le-Jorat</v>
      </c>
      <c r="C234" s="311">
        <f>'B) D RI'!U236</f>
        <v>15470.207510777882</v>
      </c>
      <c r="D234" s="33">
        <f>'B) D RI'!AA236</f>
        <v>460</v>
      </c>
      <c r="E234" s="211">
        <f t="shared" si="26"/>
        <v>33.630885892995394</v>
      </c>
      <c r="F234" s="409">
        <f t="shared" si="27"/>
        <v>0.74370252167216899</v>
      </c>
      <c r="G234" s="420">
        <f t="shared" si="28"/>
        <v>0</v>
      </c>
      <c r="H234" s="417">
        <f t="shared" si="29"/>
        <v>0</v>
      </c>
      <c r="I234" s="420">
        <f t="shared" si="30"/>
        <v>0</v>
      </c>
      <c r="J234" s="417">
        <f t="shared" si="31"/>
        <v>0</v>
      </c>
      <c r="K234" s="412">
        <f t="shared" si="32"/>
        <v>0</v>
      </c>
      <c r="L234" s="416">
        <f t="shared" si="33"/>
        <v>0</v>
      </c>
      <c r="M234" s="119">
        <f>L234*D234*'B) D RI'!S236</f>
        <v>0</v>
      </c>
    </row>
    <row r="235" spans="1:13" x14ac:dyDescent="0.25">
      <c r="A235" s="313">
        <f>'A) Base RI'!A237</f>
        <v>5788</v>
      </c>
      <c r="B235" s="33" t="str">
        <f>'A) Base RI'!B237</f>
        <v>Essertes</v>
      </c>
      <c r="C235" s="311">
        <f>'B) D RI'!U237</f>
        <v>11538.273586899442</v>
      </c>
      <c r="D235" s="33">
        <f>'B) D RI'!AA237</f>
        <v>346</v>
      </c>
      <c r="E235" s="211">
        <f t="shared" si="26"/>
        <v>33.347611522830761</v>
      </c>
      <c r="F235" s="409">
        <f t="shared" si="27"/>
        <v>0.73743828396856415</v>
      </c>
      <c r="G235" s="420">
        <f t="shared" si="28"/>
        <v>0</v>
      </c>
      <c r="H235" s="417">
        <f t="shared" si="29"/>
        <v>0</v>
      </c>
      <c r="I235" s="420">
        <f t="shared" si="30"/>
        <v>0</v>
      </c>
      <c r="J235" s="417">
        <f t="shared" si="31"/>
        <v>0</v>
      </c>
      <c r="K235" s="412">
        <f t="shared" si="32"/>
        <v>0</v>
      </c>
      <c r="L235" s="416">
        <f t="shared" si="33"/>
        <v>0</v>
      </c>
      <c r="M235" s="119">
        <f>L235*D235*'B) D RI'!S237</f>
        <v>0</v>
      </c>
    </row>
    <row r="236" spans="1:13" x14ac:dyDescent="0.25">
      <c r="A236" s="313">
        <f>'A) Base RI'!A238</f>
        <v>5790</v>
      </c>
      <c r="B236" s="33" t="str">
        <f>'A) Base RI'!B238</f>
        <v>Maracon</v>
      </c>
      <c r="C236" s="311">
        <f>'B) D RI'!U238</f>
        <v>12104.202592846941</v>
      </c>
      <c r="D236" s="33">
        <f>'B) D RI'!AA238</f>
        <v>477</v>
      </c>
      <c r="E236" s="211">
        <f t="shared" si="26"/>
        <v>25.375686777456899</v>
      </c>
      <c r="F236" s="409">
        <f t="shared" si="27"/>
        <v>0.56114972128903817</v>
      </c>
      <c r="G236" s="420">
        <f t="shared" si="28"/>
        <v>0</v>
      </c>
      <c r="H236" s="417">
        <f t="shared" si="29"/>
        <v>0</v>
      </c>
      <c r="I236" s="420">
        <f t="shared" si="30"/>
        <v>0</v>
      </c>
      <c r="J236" s="417">
        <f t="shared" si="31"/>
        <v>0</v>
      </c>
      <c r="K236" s="412">
        <f t="shared" si="32"/>
        <v>0</v>
      </c>
      <c r="L236" s="416">
        <f t="shared" si="33"/>
        <v>0</v>
      </c>
      <c r="M236" s="119">
        <f>L236*D236*'B) D RI'!S238</f>
        <v>0</v>
      </c>
    </row>
    <row r="237" spans="1:13" x14ac:dyDescent="0.25">
      <c r="A237" s="313">
        <f>'A) Base RI'!A239</f>
        <v>5792</v>
      </c>
      <c r="B237" s="33" t="str">
        <f>'A) Base RI'!B239</f>
        <v>Montpreveyres</v>
      </c>
      <c r="C237" s="311">
        <f>'B) D RI'!U239</f>
        <v>17389.927760878301</v>
      </c>
      <c r="D237" s="33">
        <f>'B) D RI'!AA239</f>
        <v>648</v>
      </c>
      <c r="E237" s="211">
        <f t="shared" si="26"/>
        <v>26.836308272960341</v>
      </c>
      <c r="F237" s="409">
        <f t="shared" si="27"/>
        <v>0.59344943212242818</v>
      </c>
      <c r="G237" s="420">
        <f t="shared" si="28"/>
        <v>0</v>
      </c>
      <c r="H237" s="417">
        <f t="shared" si="29"/>
        <v>0</v>
      </c>
      <c r="I237" s="420">
        <f t="shared" si="30"/>
        <v>0</v>
      </c>
      <c r="J237" s="417">
        <f t="shared" si="31"/>
        <v>0</v>
      </c>
      <c r="K237" s="412">
        <f t="shared" si="32"/>
        <v>0</v>
      </c>
      <c r="L237" s="416">
        <f t="shared" si="33"/>
        <v>0</v>
      </c>
      <c r="M237" s="119">
        <f>L237*D237*'B) D RI'!S239</f>
        <v>0</v>
      </c>
    </row>
    <row r="238" spans="1:13" x14ac:dyDescent="0.25">
      <c r="A238" s="313">
        <f>'A) Base RI'!A240</f>
        <v>5798</v>
      </c>
      <c r="B238" s="33" t="str">
        <f>'A) Base RI'!B240</f>
        <v>Ropraz</v>
      </c>
      <c r="C238" s="311">
        <f>'B) D RI'!U240</f>
        <v>13992.205782654681</v>
      </c>
      <c r="D238" s="33">
        <f>'B) D RI'!AA240</f>
        <v>450</v>
      </c>
      <c r="E238" s="211">
        <f t="shared" si="26"/>
        <v>31.093790628121514</v>
      </c>
      <c r="F238" s="409">
        <f t="shared" si="27"/>
        <v>0.68759801844223134</v>
      </c>
      <c r="G238" s="420">
        <f t="shared" si="28"/>
        <v>0</v>
      </c>
      <c r="H238" s="417">
        <f t="shared" si="29"/>
        <v>0</v>
      </c>
      <c r="I238" s="420">
        <f t="shared" si="30"/>
        <v>0</v>
      </c>
      <c r="J238" s="417">
        <f t="shared" si="31"/>
        <v>0</v>
      </c>
      <c r="K238" s="412">
        <f t="shared" si="32"/>
        <v>0</v>
      </c>
      <c r="L238" s="416">
        <f t="shared" si="33"/>
        <v>0</v>
      </c>
      <c r="M238" s="119">
        <f>L238*D238*'B) D RI'!S240</f>
        <v>0</v>
      </c>
    </row>
    <row r="239" spans="1:13" x14ac:dyDescent="0.25">
      <c r="A239" s="313">
        <f>'A) Base RI'!A241</f>
        <v>5799</v>
      </c>
      <c r="B239" s="33" t="str">
        <f>'A) Base RI'!B241</f>
        <v>Servion</v>
      </c>
      <c r="C239" s="311">
        <f>'B) D RI'!U241</f>
        <v>65260.062669214836</v>
      </c>
      <c r="D239" s="33">
        <f>'B) D RI'!AA241</f>
        <v>1904</v>
      </c>
      <c r="E239" s="211">
        <f t="shared" si="26"/>
        <v>34.275242998537202</v>
      </c>
      <c r="F239" s="409">
        <f t="shared" si="27"/>
        <v>0.75795162607499511</v>
      </c>
      <c r="G239" s="420">
        <f t="shared" si="28"/>
        <v>0</v>
      </c>
      <c r="H239" s="417">
        <f t="shared" si="29"/>
        <v>0</v>
      </c>
      <c r="I239" s="420">
        <f t="shared" si="30"/>
        <v>0</v>
      </c>
      <c r="J239" s="417">
        <f t="shared" si="31"/>
        <v>0</v>
      </c>
      <c r="K239" s="412">
        <f t="shared" si="32"/>
        <v>0</v>
      </c>
      <c r="L239" s="416">
        <f t="shared" si="33"/>
        <v>0</v>
      </c>
      <c r="M239" s="119">
        <f>L239*D239*'B) D RI'!S241</f>
        <v>0</v>
      </c>
    </row>
    <row r="240" spans="1:13" x14ac:dyDescent="0.25">
      <c r="A240" s="313">
        <f>'A) Base RI'!A242</f>
        <v>5803</v>
      </c>
      <c r="B240" s="33" t="str">
        <f>'A) Base RI'!B242</f>
        <v>Vulliens</v>
      </c>
      <c r="C240" s="311">
        <f>'B) D RI'!U242</f>
        <v>15516.870988563373</v>
      </c>
      <c r="D240" s="33">
        <f>'B) D RI'!AA242</f>
        <v>515</v>
      </c>
      <c r="E240" s="211">
        <f t="shared" si="26"/>
        <v>30.129846579734703</v>
      </c>
      <c r="F240" s="409">
        <f t="shared" si="27"/>
        <v>0.66628167186078546</v>
      </c>
      <c r="G240" s="420">
        <f t="shared" si="28"/>
        <v>0</v>
      </c>
      <c r="H240" s="417">
        <f t="shared" si="29"/>
        <v>0</v>
      </c>
      <c r="I240" s="420">
        <f t="shared" si="30"/>
        <v>0</v>
      </c>
      <c r="J240" s="417">
        <f t="shared" si="31"/>
        <v>0</v>
      </c>
      <c r="K240" s="412">
        <f t="shared" si="32"/>
        <v>0</v>
      </c>
      <c r="L240" s="416">
        <f t="shared" si="33"/>
        <v>0</v>
      </c>
      <c r="M240" s="119">
        <f>L240*D240*'B) D RI'!S242</f>
        <v>0</v>
      </c>
    </row>
    <row r="241" spans="1:13" x14ac:dyDescent="0.25">
      <c r="A241" s="313">
        <f>'A) Base RI'!A243</f>
        <v>5804</v>
      </c>
      <c r="B241" s="33" t="str">
        <f>'A) Base RI'!B243</f>
        <v>Jorat-Menthue</v>
      </c>
      <c r="C241" s="311">
        <f>'B) D RI'!U243</f>
        <v>47010.590890855121</v>
      </c>
      <c r="D241" s="33">
        <f>'B) D RI'!AA243</f>
        <v>1532</v>
      </c>
      <c r="E241" s="211">
        <f t="shared" si="26"/>
        <v>30.685764289069922</v>
      </c>
      <c r="F241" s="409">
        <f t="shared" si="27"/>
        <v>0.67857505609069446</v>
      </c>
      <c r="G241" s="420">
        <f t="shared" si="28"/>
        <v>0</v>
      </c>
      <c r="H241" s="417">
        <f t="shared" si="29"/>
        <v>0</v>
      </c>
      <c r="I241" s="420">
        <f t="shared" si="30"/>
        <v>0</v>
      </c>
      <c r="J241" s="417">
        <f t="shared" si="31"/>
        <v>0</v>
      </c>
      <c r="K241" s="412">
        <f t="shared" si="32"/>
        <v>0</v>
      </c>
      <c r="L241" s="416">
        <f t="shared" si="33"/>
        <v>0</v>
      </c>
      <c r="M241" s="119">
        <f>L241*D241*'B) D RI'!S243</f>
        <v>0</v>
      </c>
    </row>
    <row r="242" spans="1:13" x14ac:dyDescent="0.25">
      <c r="A242" s="313">
        <f>'A) Base RI'!A244</f>
        <v>5805</v>
      </c>
      <c r="B242" s="33" t="str">
        <f>'A) Base RI'!B244</f>
        <v>Oron</v>
      </c>
      <c r="C242" s="311">
        <f>'B) D RI'!U244</f>
        <v>145333.30890614819</v>
      </c>
      <c r="D242" s="33">
        <f>'B) D RI'!AA244</f>
        <v>5463</v>
      </c>
      <c r="E242" s="211">
        <f t="shared" si="26"/>
        <v>26.603204998379681</v>
      </c>
      <c r="F242" s="409">
        <f t="shared" si="27"/>
        <v>0.58829466178223366</v>
      </c>
      <c r="G242" s="420">
        <f t="shared" si="28"/>
        <v>0</v>
      </c>
      <c r="H242" s="417">
        <f t="shared" si="29"/>
        <v>0</v>
      </c>
      <c r="I242" s="420">
        <f t="shared" si="30"/>
        <v>0</v>
      </c>
      <c r="J242" s="417">
        <f t="shared" si="31"/>
        <v>0</v>
      </c>
      <c r="K242" s="412">
        <f t="shared" si="32"/>
        <v>0</v>
      </c>
      <c r="L242" s="416">
        <f t="shared" si="33"/>
        <v>0</v>
      </c>
      <c r="M242" s="119">
        <f>L242*D242*'B) D RI'!S244</f>
        <v>0</v>
      </c>
    </row>
    <row r="243" spans="1:13" x14ac:dyDescent="0.25">
      <c r="A243" s="313">
        <f>'A) Base RI'!A245</f>
        <v>5806</v>
      </c>
      <c r="B243" s="33" t="str">
        <f>'A) Base RI'!B245</f>
        <v>Jorat-Mézières</v>
      </c>
      <c r="C243" s="311">
        <f>'B) D RI'!U245</f>
        <v>85087.623552631558</v>
      </c>
      <c r="D243" s="33">
        <f>'B) D RI'!AA245</f>
        <v>2850</v>
      </c>
      <c r="E243" s="211">
        <f t="shared" si="26"/>
        <v>29.855306509695282</v>
      </c>
      <c r="F243" s="409">
        <f t="shared" si="27"/>
        <v>0.66021058164216895</v>
      </c>
      <c r="G243" s="420">
        <f t="shared" si="28"/>
        <v>0</v>
      </c>
      <c r="H243" s="417">
        <f t="shared" si="29"/>
        <v>0</v>
      </c>
      <c r="I243" s="420">
        <f t="shared" si="30"/>
        <v>0</v>
      </c>
      <c r="J243" s="417">
        <f t="shared" si="31"/>
        <v>0</v>
      </c>
      <c r="K243" s="412">
        <f t="shared" si="32"/>
        <v>0</v>
      </c>
      <c r="L243" s="416">
        <f t="shared" si="33"/>
        <v>0</v>
      </c>
      <c r="M243" s="119">
        <f>L243*D243*'B) D RI'!S245</f>
        <v>0</v>
      </c>
    </row>
    <row r="244" spans="1:13" x14ac:dyDescent="0.25">
      <c r="A244" s="313">
        <f>'A) Base RI'!A246</f>
        <v>5812</v>
      </c>
      <c r="B244" s="33" t="str">
        <f>'A) Base RI'!B246</f>
        <v>Champtauroz</v>
      </c>
      <c r="C244" s="311">
        <f>'B) D RI'!U246</f>
        <v>2414.7620603829159</v>
      </c>
      <c r="D244" s="33">
        <f>'B) D RI'!AA246</f>
        <v>128</v>
      </c>
      <c r="E244" s="211">
        <f t="shared" si="26"/>
        <v>18.865328596741531</v>
      </c>
      <c r="F244" s="409">
        <f t="shared" si="27"/>
        <v>0.41718176839620363</v>
      </c>
      <c r="G244" s="420">
        <f t="shared" si="28"/>
        <v>0</v>
      </c>
      <c r="H244" s="417">
        <f t="shared" si="29"/>
        <v>0</v>
      </c>
      <c r="I244" s="420">
        <f t="shared" si="30"/>
        <v>0</v>
      </c>
      <c r="J244" s="417">
        <f t="shared" si="31"/>
        <v>0</v>
      </c>
      <c r="K244" s="412">
        <f t="shared" si="32"/>
        <v>0</v>
      </c>
      <c r="L244" s="416">
        <f t="shared" si="33"/>
        <v>0</v>
      </c>
      <c r="M244" s="119">
        <f>L244*D244*'B) D RI'!S246</f>
        <v>0</v>
      </c>
    </row>
    <row r="245" spans="1:13" x14ac:dyDescent="0.25">
      <c r="A245" s="313">
        <f>'A) Base RI'!A247</f>
        <v>5813</v>
      </c>
      <c r="B245" s="33" t="str">
        <f>'A) Base RI'!B247</f>
        <v>Chevroux</v>
      </c>
      <c r="C245" s="311">
        <f>'B) D RI'!U247</f>
        <v>13113.471464382501</v>
      </c>
      <c r="D245" s="33">
        <f>'B) D RI'!AA247</f>
        <v>470</v>
      </c>
      <c r="E245" s="211">
        <f t="shared" si="26"/>
        <v>27.90100311570745</v>
      </c>
      <c r="F245" s="409">
        <f t="shared" si="27"/>
        <v>0.61699374914939342</v>
      </c>
      <c r="G245" s="420">
        <f t="shared" si="28"/>
        <v>0</v>
      </c>
      <c r="H245" s="417">
        <f t="shared" si="29"/>
        <v>0</v>
      </c>
      <c r="I245" s="420">
        <f t="shared" si="30"/>
        <v>0</v>
      </c>
      <c r="J245" s="417">
        <f t="shared" si="31"/>
        <v>0</v>
      </c>
      <c r="K245" s="412">
        <f t="shared" si="32"/>
        <v>0</v>
      </c>
      <c r="L245" s="416">
        <f t="shared" si="33"/>
        <v>0</v>
      </c>
      <c r="M245" s="119">
        <f>L245*D245*'B) D RI'!S247</f>
        <v>0</v>
      </c>
    </row>
    <row r="246" spans="1:13" x14ac:dyDescent="0.25">
      <c r="A246" s="313">
        <f>'A) Base RI'!A248</f>
        <v>5816</v>
      </c>
      <c r="B246" s="33" t="str">
        <f>'A) Base RI'!B248</f>
        <v>Corcelles-près-Payerne</v>
      </c>
      <c r="C246" s="311">
        <f>'B) D RI'!U248</f>
        <v>56475.749877973358</v>
      </c>
      <c r="D246" s="33">
        <f>'B) D RI'!AA248</f>
        <v>2448</v>
      </c>
      <c r="E246" s="211">
        <f t="shared" si="26"/>
        <v>23.070159263878004</v>
      </c>
      <c r="F246" s="409">
        <f t="shared" si="27"/>
        <v>0.5101660323345254</v>
      </c>
      <c r="G246" s="420">
        <f t="shared" si="28"/>
        <v>0</v>
      </c>
      <c r="H246" s="417">
        <f t="shared" si="29"/>
        <v>0</v>
      </c>
      <c r="I246" s="420">
        <f t="shared" si="30"/>
        <v>0</v>
      </c>
      <c r="J246" s="417">
        <f t="shared" si="31"/>
        <v>0</v>
      </c>
      <c r="K246" s="412">
        <f t="shared" si="32"/>
        <v>0</v>
      </c>
      <c r="L246" s="416">
        <f t="shared" si="33"/>
        <v>0</v>
      </c>
      <c r="M246" s="119">
        <f>L246*D246*'B) D RI'!S248</f>
        <v>0</v>
      </c>
    </row>
    <row r="247" spans="1:13" x14ac:dyDescent="0.25">
      <c r="A247" s="313">
        <f>'A) Base RI'!A249</f>
        <v>5817</v>
      </c>
      <c r="B247" s="33" t="str">
        <f>'A) Base RI'!B249</f>
        <v>Grandcour</v>
      </c>
      <c r="C247" s="311">
        <f>'B) D RI'!U249</f>
        <v>22082.516537974258</v>
      </c>
      <c r="D247" s="33">
        <f>'B) D RI'!AA249</f>
        <v>890</v>
      </c>
      <c r="E247" s="211">
        <f t="shared" si="26"/>
        <v>24.811816334802536</v>
      </c>
      <c r="F247" s="409">
        <f t="shared" si="27"/>
        <v>0.54868047288943556</v>
      </c>
      <c r="G247" s="420">
        <f t="shared" si="28"/>
        <v>0</v>
      </c>
      <c r="H247" s="417">
        <f t="shared" si="29"/>
        <v>0</v>
      </c>
      <c r="I247" s="420">
        <f t="shared" si="30"/>
        <v>0</v>
      </c>
      <c r="J247" s="417">
        <f t="shared" si="31"/>
        <v>0</v>
      </c>
      <c r="K247" s="412">
        <f t="shared" si="32"/>
        <v>0</v>
      </c>
      <c r="L247" s="416">
        <f t="shared" si="33"/>
        <v>0</v>
      </c>
      <c r="M247" s="119">
        <f>L247*D247*'B) D RI'!S249</f>
        <v>0</v>
      </c>
    </row>
    <row r="248" spans="1:13" x14ac:dyDescent="0.25">
      <c r="A248" s="313">
        <f>'A) Base RI'!A250</f>
        <v>5819</v>
      </c>
      <c r="B248" s="33" t="str">
        <f>'A) Base RI'!B250</f>
        <v>Henniez</v>
      </c>
      <c r="C248" s="311">
        <f>'B) D RI'!U250</f>
        <v>13743.862603576948</v>
      </c>
      <c r="D248" s="33">
        <f>'B) D RI'!AA250</f>
        <v>359</v>
      </c>
      <c r="E248" s="211">
        <f t="shared" si="26"/>
        <v>38.283739842832723</v>
      </c>
      <c r="F248" s="409">
        <f t="shared" si="27"/>
        <v>0.84659422742372781</v>
      </c>
      <c r="G248" s="420">
        <f t="shared" si="28"/>
        <v>0</v>
      </c>
      <c r="H248" s="417">
        <f t="shared" si="29"/>
        <v>0</v>
      </c>
      <c r="I248" s="420">
        <f t="shared" si="30"/>
        <v>0</v>
      </c>
      <c r="J248" s="417">
        <f t="shared" si="31"/>
        <v>0</v>
      </c>
      <c r="K248" s="412">
        <f t="shared" si="32"/>
        <v>0</v>
      </c>
      <c r="L248" s="416">
        <f t="shared" si="33"/>
        <v>0</v>
      </c>
      <c r="M248" s="119">
        <f>L248*D248*'B) D RI'!S250</f>
        <v>0</v>
      </c>
    </row>
    <row r="249" spans="1:13" x14ac:dyDescent="0.25">
      <c r="A249" s="313">
        <f>'A) Base RI'!A251</f>
        <v>5821</v>
      </c>
      <c r="B249" s="33" t="str">
        <f>'A) Base RI'!B251</f>
        <v>Missy</v>
      </c>
      <c r="C249" s="311">
        <f>'B) D RI'!U251</f>
        <v>7638.0636098287778</v>
      </c>
      <c r="D249" s="33">
        <f>'B) D RI'!AA251</f>
        <v>352</v>
      </c>
      <c r="E249" s="211">
        <f t="shared" si="26"/>
        <v>21.699044346104483</v>
      </c>
      <c r="F249" s="409">
        <f t="shared" si="27"/>
        <v>0.47984564098072879</v>
      </c>
      <c r="G249" s="420">
        <f t="shared" si="28"/>
        <v>0</v>
      </c>
      <c r="H249" s="417">
        <f t="shared" si="29"/>
        <v>0</v>
      </c>
      <c r="I249" s="420">
        <f t="shared" si="30"/>
        <v>0</v>
      </c>
      <c r="J249" s="417">
        <f t="shared" si="31"/>
        <v>0</v>
      </c>
      <c r="K249" s="412">
        <f t="shared" si="32"/>
        <v>0</v>
      </c>
      <c r="L249" s="416">
        <f t="shared" si="33"/>
        <v>0</v>
      </c>
      <c r="M249" s="119">
        <f>L249*D249*'B) D RI'!S251</f>
        <v>0</v>
      </c>
    </row>
    <row r="250" spans="1:13" x14ac:dyDescent="0.25">
      <c r="A250" s="313">
        <f>'A) Base RI'!A252</f>
        <v>5822</v>
      </c>
      <c r="B250" s="33" t="str">
        <f>'A) Base RI'!B252</f>
        <v>Payerne</v>
      </c>
      <c r="C250" s="311">
        <f>'B) D RI'!U252</f>
        <v>236156.50420606061</v>
      </c>
      <c r="D250" s="33">
        <f>'B) D RI'!AA252</f>
        <v>9716</v>
      </c>
      <c r="E250" s="211">
        <f t="shared" si="26"/>
        <v>24.305939090784335</v>
      </c>
      <c r="F250" s="409">
        <f t="shared" si="27"/>
        <v>0.5374936673075088</v>
      </c>
      <c r="G250" s="420">
        <f t="shared" si="28"/>
        <v>0</v>
      </c>
      <c r="H250" s="417">
        <f t="shared" si="29"/>
        <v>0</v>
      </c>
      <c r="I250" s="420">
        <f t="shared" si="30"/>
        <v>0</v>
      </c>
      <c r="J250" s="417">
        <f t="shared" si="31"/>
        <v>0</v>
      </c>
      <c r="K250" s="412">
        <f t="shared" si="32"/>
        <v>0</v>
      </c>
      <c r="L250" s="416">
        <f t="shared" si="33"/>
        <v>0</v>
      </c>
      <c r="M250" s="119">
        <f>L250*D250*'B) D RI'!S252</f>
        <v>0</v>
      </c>
    </row>
    <row r="251" spans="1:13" x14ac:dyDescent="0.25">
      <c r="A251" s="313">
        <f>'A) Base RI'!A253</f>
        <v>5827</v>
      </c>
      <c r="B251" s="33" t="str">
        <f>'A) Base RI'!B253</f>
        <v>Trey</v>
      </c>
      <c r="C251" s="311">
        <f>'B) D RI'!U253</f>
        <v>6690.1986933784046</v>
      </c>
      <c r="D251" s="33">
        <f>'B) D RI'!AA253</f>
        <v>268</v>
      </c>
      <c r="E251" s="211">
        <f t="shared" si="26"/>
        <v>24.963427960367181</v>
      </c>
      <c r="F251" s="409">
        <f t="shared" si="27"/>
        <v>0.55203316328855245</v>
      </c>
      <c r="G251" s="420">
        <f t="shared" si="28"/>
        <v>0</v>
      </c>
      <c r="H251" s="417">
        <f t="shared" si="29"/>
        <v>0</v>
      </c>
      <c r="I251" s="420">
        <f t="shared" si="30"/>
        <v>0</v>
      </c>
      <c r="J251" s="417">
        <f t="shared" si="31"/>
        <v>0</v>
      </c>
      <c r="K251" s="412">
        <f t="shared" si="32"/>
        <v>0</v>
      </c>
      <c r="L251" s="416">
        <f t="shared" si="33"/>
        <v>0</v>
      </c>
      <c r="M251" s="119">
        <f>L251*D251*'B) D RI'!S253</f>
        <v>0</v>
      </c>
    </row>
    <row r="252" spans="1:13" x14ac:dyDescent="0.25">
      <c r="A252" s="313">
        <f>'A) Base RI'!A254</f>
        <v>5828</v>
      </c>
      <c r="B252" s="33" t="str">
        <f>'A) Base RI'!B254</f>
        <v>Treytorrens (Payerne)</v>
      </c>
      <c r="C252" s="311">
        <f>'B) D RI'!U254</f>
        <v>2279.6786771708244</v>
      </c>
      <c r="D252" s="33">
        <f>'B) D RI'!AA254</f>
        <v>122</v>
      </c>
      <c r="E252" s="211">
        <f t="shared" si="26"/>
        <v>18.685890796482166</v>
      </c>
      <c r="F252" s="409">
        <f t="shared" si="27"/>
        <v>0.41321373897941122</v>
      </c>
      <c r="G252" s="420">
        <f t="shared" si="28"/>
        <v>0</v>
      </c>
      <c r="H252" s="417">
        <f t="shared" si="29"/>
        <v>0</v>
      </c>
      <c r="I252" s="420">
        <f t="shared" si="30"/>
        <v>0</v>
      </c>
      <c r="J252" s="417">
        <f t="shared" si="31"/>
        <v>0</v>
      </c>
      <c r="K252" s="412">
        <f t="shared" si="32"/>
        <v>0</v>
      </c>
      <c r="L252" s="416">
        <f t="shared" si="33"/>
        <v>0</v>
      </c>
      <c r="M252" s="119">
        <f>L252*D252*'B) D RI'!S254</f>
        <v>0</v>
      </c>
    </row>
    <row r="253" spans="1:13" x14ac:dyDescent="0.25">
      <c r="A253" s="313">
        <f>'A) Base RI'!A255</f>
        <v>5830</v>
      </c>
      <c r="B253" s="33" t="str">
        <f>'A) Base RI'!B255</f>
        <v>Villarzel</v>
      </c>
      <c r="C253" s="311">
        <f>'B) D RI'!U255</f>
        <v>10447.04854538646</v>
      </c>
      <c r="D253" s="33">
        <f>'B) D RI'!AA255</f>
        <v>417</v>
      </c>
      <c r="E253" s="211">
        <f t="shared" si="26"/>
        <v>25.052874209559857</v>
      </c>
      <c r="F253" s="409">
        <f t="shared" si="27"/>
        <v>0.55401114868240631</v>
      </c>
      <c r="G253" s="420">
        <f t="shared" si="28"/>
        <v>0</v>
      </c>
      <c r="H253" s="417">
        <f t="shared" si="29"/>
        <v>0</v>
      </c>
      <c r="I253" s="420">
        <f t="shared" si="30"/>
        <v>0</v>
      </c>
      <c r="J253" s="417">
        <f t="shared" si="31"/>
        <v>0</v>
      </c>
      <c r="K253" s="412">
        <f t="shared" si="32"/>
        <v>0</v>
      </c>
      <c r="L253" s="416">
        <f t="shared" si="33"/>
        <v>0</v>
      </c>
      <c r="M253" s="119">
        <f>L253*D253*'B) D RI'!S255</f>
        <v>0</v>
      </c>
    </row>
    <row r="254" spans="1:13" x14ac:dyDescent="0.25">
      <c r="A254" s="313">
        <f>'A) Base RI'!A256</f>
        <v>5831</v>
      </c>
      <c r="B254" s="33" t="str">
        <f>'A) Base RI'!B256</f>
        <v>Valbroye</v>
      </c>
      <c r="C254" s="311">
        <f>'B) D RI'!U256</f>
        <v>80393.76686206559</v>
      </c>
      <c r="D254" s="33">
        <f>'B) D RI'!AA256</f>
        <v>3035</v>
      </c>
      <c r="E254" s="211">
        <f t="shared" si="26"/>
        <v>26.488885292278614</v>
      </c>
      <c r="F254" s="409">
        <f t="shared" si="27"/>
        <v>0.58576663281580399</v>
      </c>
      <c r="G254" s="420">
        <f t="shared" si="28"/>
        <v>0</v>
      </c>
      <c r="H254" s="417">
        <f t="shared" si="29"/>
        <v>0</v>
      </c>
      <c r="I254" s="420">
        <f t="shared" si="30"/>
        <v>0</v>
      </c>
      <c r="J254" s="417">
        <f t="shared" si="31"/>
        <v>0</v>
      </c>
      <c r="K254" s="412">
        <f t="shared" si="32"/>
        <v>0</v>
      </c>
      <c r="L254" s="416">
        <f t="shared" si="33"/>
        <v>0</v>
      </c>
      <c r="M254" s="119">
        <f>L254*D254*'B) D RI'!S256</f>
        <v>0</v>
      </c>
    </row>
    <row r="255" spans="1:13" x14ac:dyDescent="0.25">
      <c r="A255" s="313">
        <f>'A) Base RI'!A257</f>
        <v>5841</v>
      </c>
      <c r="B255" s="33" t="str">
        <f>'A) Base RI'!B257</f>
        <v>Château-d'Oex</v>
      </c>
      <c r="C255" s="311">
        <f>'B) D RI'!U257</f>
        <v>112439.97706211945</v>
      </c>
      <c r="D255" s="33">
        <f>'B) D RI'!AA257</f>
        <v>3433</v>
      </c>
      <c r="E255" s="211">
        <f t="shared" si="26"/>
        <v>32.75268775476826</v>
      </c>
      <c r="F255" s="409">
        <f t="shared" si="27"/>
        <v>0.72428233238529227</v>
      </c>
      <c r="G255" s="420">
        <f t="shared" si="28"/>
        <v>0</v>
      </c>
      <c r="H255" s="417">
        <f t="shared" si="29"/>
        <v>0</v>
      </c>
      <c r="I255" s="420">
        <f t="shared" si="30"/>
        <v>0</v>
      </c>
      <c r="J255" s="417">
        <f t="shared" si="31"/>
        <v>0</v>
      </c>
      <c r="K255" s="412">
        <f t="shared" si="32"/>
        <v>0</v>
      </c>
      <c r="L255" s="416">
        <f t="shared" si="33"/>
        <v>0</v>
      </c>
      <c r="M255" s="119">
        <f>L255*D255*'B) D RI'!S257</f>
        <v>0</v>
      </c>
    </row>
    <row r="256" spans="1:13" x14ac:dyDescent="0.25">
      <c r="A256" s="313">
        <f>'A) Base RI'!A258</f>
        <v>5842</v>
      </c>
      <c r="B256" s="33" t="str">
        <f>'A) Base RI'!B258</f>
        <v>Rossinière</v>
      </c>
      <c r="C256" s="311">
        <f>'B) D RI'!U258</f>
        <v>12463.858686572428</v>
      </c>
      <c r="D256" s="33">
        <f>'B) D RI'!AA258</f>
        <v>545</v>
      </c>
      <c r="E256" s="211">
        <f t="shared" si="26"/>
        <v>22.869465479949408</v>
      </c>
      <c r="F256" s="409">
        <f t="shared" si="27"/>
        <v>0.50572795497710687</v>
      </c>
      <c r="G256" s="420">
        <f t="shared" si="28"/>
        <v>0</v>
      </c>
      <c r="H256" s="417">
        <f t="shared" si="29"/>
        <v>0</v>
      </c>
      <c r="I256" s="420">
        <f t="shared" si="30"/>
        <v>0</v>
      </c>
      <c r="J256" s="417">
        <f t="shared" si="31"/>
        <v>0</v>
      </c>
      <c r="K256" s="412">
        <f t="shared" si="32"/>
        <v>0</v>
      </c>
      <c r="L256" s="416">
        <f t="shared" si="33"/>
        <v>0</v>
      </c>
      <c r="M256" s="119">
        <f>L256*D256*'B) D RI'!S258</f>
        <v>0</v>
      </c>
    </row>
    <row r="257" spans="1:13" x14ac:dyDescent="0.25">
      <c r="A257" s="313">
        <f>'A) Base RI'!A259</f>
        <v>5843</v>
      </c>
      <c r="B257" s="33" t="str">
        <f>'A) Base RI'!B259</f>
        <v>Rougemont</v>
      </c>
      <c r="C257" s="311">
        <f>'B) D RI'!U259</f>
        <v>87105.84628297943</v>
      </c>
      <c r="D257" s="33">
        <f>'B) D RI'!AA259</f>
        <v>882</v>
      </c>
      <c r="E257" s="211">
        <f t="shared" si="26"/>
        <v>98.759462905872368</v>
      </c>
      <c r="F257" s="409">
        <f t="shared" si="27"/>
        <v>2.1839347864869629</v>
      </c>
      <c r="G257" s="420">
        <f t="shared" si="28"/>
        <v>53.538578327750415</v>
      </c>
      <c r="H257" s="417">
        <f t="shared" si="29"/>
        <v>44.494401412126024</v>
      </c>
      <c r="I257" s="420">
        <f t="shared" si="30"/>
        <v>30.928136038689445</v>
      </c>
      <c r="J257" s="417">
        <f t="shared" si="31"/>
        <v>8.3176937496284609</v>
      </c>
      <c r="K257" s="412">
        <f t="shared" si="32"/>
        <v>0</v>
      </c>
      <c r="L257" s="416">
        <f t="shared" si="33"/>
        <v>19.081738785594474</v>
      </c>
      <c r="M257" s="119">
        <f>L257*D257*'B) D RI'!S259</f>
        <v>1245426.9270581803</v>
      </c>
    </row>
    <row r="258" spans="1:13" x14ac:dyDescent="0.25">
      <c r="A258" s="313">
        <f>'A) Base RI'!A260</f>
        <v>5851</v>
      </c>
      <c r="B258" s="33" t="str">
        <f>'A) Base RI'!B260</f>
        <v>Allaman</v>
      </c>
      <c r="C258" s="311">
        <f>'B) D RI'!U260</f>
        <v>27785.537982029753</v>
      </c>
      <c r="D258" s="33">
        <f>'B) D RI'!AA260</f>
        <v>442</v>
      </c>
      <c r="E258" s="211">
        <f t="shared" si="26"/>
        <v>62.863208104139716</v>
      </c>
      <c r="F258" s="409">
        <f t="shared" si="27"/>
        <v>1.3901366302452471</v>
      </c>
      <c r="G258" s="420">
        <f t="shared" si="28"/>
        <v>17.642323526017762</v>
      </c>
      <c r="H258" s="417">
        <f t="shared" si="29"/>
        <v>8.5981466103933712</v>
      </c>
      <c r="I258" s="420">
        <f t="shared" si="30"/>
        <v>0</v>
      </c>
      <c r="J258" s="417">
        <f t="shared" si="31"/>
        <v>0</v>
      </c>
      <c r="K258" s="412">
        <f t="shared" si="32"/>
        <v>0</v>
      </c>
      <c r="L258" s="416">
        <f t="shared" si="33"/>
        <v>4.3882793662428892</v>
      </c>
      <c r="M258" s="119">
        <f>L258*D258*'B) D RI'!S260</f>
        <v>120256.40775252013</v>
      </c>
    </row>
    <row r="259" spans="1:13" x14ac:dyDescent="0.25">
      <c r="A259" s="313">
        <f>'A) Base RI'!A261</f>
        <v>5852</v>
      </c>
      <c r="B259" s="33" t="str">
        <f>'A) Base RI'!B261</f>
        <v>Bursinel</v>
      </c>
      <c r="C259" s="311">
        <f>'B) D RI'!U261</f>
        <v>38740.127027310053</v>
      </c>
      <c r="D259" s="33">
        <f>'B) D RI'!AA261</f>
        <v>488</v>
      </c>
      <c r="E259" s="211">
        <f t="shared" si="26"/>
        <v>79.385506203504207</v>
      </c>
      <c r="F259" s="409">
        <f t="shared" si="27"/>
        <v>1.7555053808458942</v>
      </c>
      <c r="G259" s="420">
        <f t="shared" si="28"/>
        <v>34.164621625382253</v>
      </c>
      <c r="H259" s="417">
        <f t="shared" si="29"/>
        <v>25.120444709757862</v>
      </c>
      <c r="I259" s="420">
        <f t="shared" si="30"/>
        <v>11.554179336321283</v>
      </c>
      <c r="J259" s="417">
        <f t="shared" si="31"/>
        <v>0</v>
      </c>
      <c r="K259" s="412">
        <f t="shared" si="32"/>
        <v>0</v>
      </c>
      <c r="L259" s="416">
        <f t="shared" si="33"/>
        <v>10.500386729684365</v>
      </c>
      <c r="M259" s="119">
        <f>L259*D259*'B) D RI'!S261</f>
        <v>335634.36142763105</v>
      </c>
    </row>
    <row r="260" spans="1:13" x14ac:dyDescent="0.25">
      <c r="A260" s="313">
        <f>'A) Base RI'!A262</f>
        <v>5853</v>
      </c>
      <c r="B260" s="33" t="str">
        <f>'A) Base RI'!B262</f>
        <v>Bursins</v>
      </c>
      <c r="C260" s="311">
        <f>'B) D RI'!U262</f>
        <v>35932.419772150381</v>
      </c>
      <c r="D260" s="33">
        <f>'B) D RI'!AA262</f>
        <v>745</v>
      </c>
      <c r="E260" s="211">
        <f t="shared" si="26"/>
        <v>48.231435935772325</v>
      </c>
      <c r="F260" s="409">
        <f t="shared" si="27"/>
        <v>1.0665743579705844</v>
      </c>
      <c r="G260" s="420">
        <f t="shared" si="28"/>
        <v>3.0105513576503711</v>
      </c>
      <c r="H260" s="417">
        <f t="shared" si="29"/>
        <v>0</v>
      </c>
      <c r="I260" s="420">
        <f t="shared" si="30"/>
        <v>0</v>
      </c>
      <c r="J260" s="417">
        <f t="shared" si="31"/>
        <v>0</v>
      </c>
      <c r="K260" s="412">
        <f t="shared" si="32"/>
        <v>0</v>
      </c>
      <c r="L260" s="416">
        <f t="shared" si="33"/>
        <v>0.60211027153007424</v>
      </c>
      <c r="M260" s="119">
        <f>L260*D260*'B) D RI'!S262</f>
        <v>31848.622812583279</v>
      </c>
    </row>
    <row r="261" spans="1:13" x14ac:dyDescent="0.25">
      <c r="A261" s="313">
        <f>'A) Base RI'!A263</f>
        <v>5854</v>
      </c>
      <c r="B261" s="33" t="str">
        <f>'A) Base RI'!B263</f>
        <v>Burtigny</v>
      </c>
      <c r="C261" s="311">
        <f>'B) D RI'!U263</f>
        <v>9853.2751063664073</v>
      </c>
      <c r="D261" s="33">
        <f>'B) D RI'!AA263</f>
        <v>361</v>
      </c>
      <c r="E261" s="211">
        <f t="shared" si="26"/>
        <v>27.294390876361238</v>
      </c>
      <c r="F261" s="409">
        <f t="shared" si="27"/>
        <v>0.60357932249663193</v>
      </c>
      <c r="G261" s="420">
        <f t="shared" si="28"/>
        <v>0</v>
      </c>
      <c r="H261" s="417">
        <f t="shared" si="29"/>
        <v>0</v>
      </c>
      <c r="I261" s="420">
        <f t="shared" si="30"/>
        <v>0</v>
      </c>
      <c r="J261" s="417">
        <f t="shared" si="31"/>
        <v>0</v>
      </c>
      <c r="K261" s="412">
        <f t="shared" si="32"/>
        <v>0</v>
      </c>
      <c r="L261" s="416">
        <f t="shared" si="33"/>
        <v>0</v>
      </c>
      <c r="M261" s="119">
        <f>L261*D261*'B) D RI'!S263</f>
        <v>0</v>
      </c>
    </row>
    <row r="262" spans="1:13" x14ac:dyDescent="0.25">
      <c r="A262" s="313">
        <f>'A) Base RI'!A264</f>
        <v>5855</v>
      </c>
      <c r="B262" s="33" t="str">
        <f>'A) Base RI'!B264</f>
        <v>Dully</v>
      </c>
      <c r="C262" s="311">
        <f>'B) D RI'!U264</f>
        <v>78259.066078216143</v>
      </c>
      <c r="D262" s="33">
        <f>'B) D RI'!AA264</f>
        <v>640</v>
      </c>
      <c r="E262" s="211">
        <f t="shared" ref="E262:E313" si="34">C262/D262</f>
        <v>122.27979074721273</v>
      </c>
      <c r="F262" s="409">
        <f t="shared" ref="F262:F313" si="35">E262/$E$314</f>
        <v>2.7040557009884805</v>
      </c>
      <c r="G262" s="420">
        <f t="shared" ref="G262:G313" si="36">IF(E262-$G$2&lt;0,0,E262-$G$2)</f>
        <v>77.058906169090776</v>
      </c>
      <c r="H262" s="417">
        <f t="shared" ref="H262:H313" si="37">IF(E262-$H$2&lt;0,0,E262-$H$2)</f>
        <v>68.014729253466385</v>
      </c>
      <c r="I262" s="420">
        <f t="shared" ref="I262:I313" si="38">IF(E262-$I$2&lt;0,0,E262-$I$2)</f>
        <v>54.448463880029806</v>
      </c>
      <c r="J262" s="417">
        <f t="shared" ref="J262:J313" si="39">IF(E262-$J$2&lt;0,0,E262-$J$2)</f>
        <v>31.838021590968822</v>
      </c>
      <c r="K262" s="412">
        <f t="shared" ref="K262:K313" si="40">IF(E262-$K$2&lt;0,0,E262-$K$2)</f>
        <v>0</v>
      </c>
      <c r="L262" s="416">
        <f t="shared" ref="L262:L313" si="41">(G262-H262)*$G$3+(H262-I262)*$H$3+(I262-J262)*$I$3+(J262-K262)*$J$3+(K262*$K$3)</f>
        <v>30.841902706264655</v>
      </c>
      <c r="M262" s="119">
        <f>L262*D262*'B) D RI'!S264</f>
        <v>967202.06886845955</v>
      </c>
    </row>
    <row r="263" spans="1:13" x14ac:dyDescent="0.25">
      <c r="A263" s="313">
        <f>'A) Base RI'!A265</f>
        <v>5856</v>
      </c>
      <c r="B263" s="33" t="str">
        <f>'A) Base RI'!B265</f>
        <v>Essertines-sur-Rolle</v>
      </c>
      <c r="C263" s="311">
        <f>'B) D RI'!U265</f>
        <v>34358.63256703021</v>
      </c>
      <c r="D263" s="33">
        <f>'B) D RI'!AA265</f>
        <v>696</v>
      </c>
      <c r="E263" s="211">
        <f t="shared" si="34"/>
        <v>49.365851389411219</v>
      </c>
      <c r="F263" s="409">
        <f t="shared" si="35"/>
        <v>1.0916604540127597</v>
      </c>
      <c r="G263" s="420">
        <f t="shared" si="36"/>
        <v>4.1449668112892653</v>
      </c>
      <c r="H263" s="417">
        <f t="shared" si="37"/>
        <v>0</v>
      </c>
      <c r="I263" s="420">
        <f t="shared" si="38"/>
        <v>0</v>
      </c>
      <c r="J263" s="417">
        <f t="shared" si="39"/>
        <v>0</v>
      </c>
      <c r="K263" s="412">
        <f t="shared" si="40"/>
        <v>0</v>
      </c>
      <c r="L263" s="416">
        <f t="shared" si="41"/>
        <v>0.82899336225785314</v>
      </c>
      <c r="M263" s="119">
        <f>L263*D263*'B) D RI'!S265</f>
        <v>39234.597848939673</v>
      </c>
    </row>
    <row r="264" spans="1:13" x14ac:dyDescent="0.25">
      <c r="A264" s="313">
        <f>'A) Base RI'!A266</f>
        <v>5857</v>
      </c>
      <c r="B264" s="33" t="str">
        <f>'A) Base RI'!B266</f>
        <v>Gilly</v>
      </c>
      <c r="C264" s="311">
        <f>'B) D RI'!U266</f>
        <v>76506.459222154648</v>
      </c>
      <c r="D264" s="33">
        <f>'B) D RI'!AA266</f>
        <v>1294</v>
      </c>
      <c r="E264" s="211">
        <f t="shared" si="34"/>
        <v>59.124002490073146</v>
      </c>
      <c r="F264" s="409">
        <f t="shared" si="35"/>
        <v>1.3074490479710248</v>
      </c>
      <c r="G264" s="420">
        <f t="shared" si="36"/>
        <v>13.903117911951192</v>
      </c>
      <c r="H264" s="417">
        <f t="shared" si="37"/>
        <v>4.8589409963268011</v>
      </c>
      <c r="I264" s="420">
        <f t="shared" si="38"/>
        <v>0</v>
      </c>
      <c r="J264" s="417">
        <f t="shared" si="39"/>
        <v>0</v>
      </c>
      <c r="K264" s="412">
        <f t="shared" si="40"/>
        <v>0</v>
      </c>
      <c r="L264" s="416">
        <f t="shared" si="41"/>
        <v>3.2665176820229185</v>
      </c>
      <c r="M264" s="119">
        <f>L264*D264*'B) D RI'!S266</f>
        <v>278973.67611548532</v>
      </c>
    </row>
    <row r="265" spans="1:13" x14ac:dyDescent="0.25">
      <c r="A265" s="313">
        <f>'A) Base RI'!A267</f>
        <v>5858</v>
      </c>
      <c r="B265" s="33" t="str">
        <f>'A) Base RI'!B267</f>
        <v>Luins</v>
      </c>
      <c r="C265" s="311">
        <f>'B) D RI'!U267</f>
        <v>34277.61170447935</v>
      </c>
      <c r="D265" s="33">
        <f>'B) D RI'!AA267</f>
        <v>608</v>
      </c>
      <c r="E265" s="211">
        <f t="shared" si="34"/>
        <v>56.377650829735771</v>
      </c>
      <c r="F265" s="409">
        <f t="shared" si="35"/>
        <v>1.2467171165645774</v>
      </c>
      <c r="G265" s="420">
        <f t="shared" si="36"/>
        <v>11.156766251613817</v>
      </c>
      <c r="H265" s="417">
        <f t="shared" si="37"/>
        <v>2.1125893359894263</v>
      </c>
      <c r="I265" s="420">
        <f t="shared" si="38"/>
        <v>0</v>
      </c>
      <c r="J265" s="417">
        <f t="shared" si="39"/>
        <v>0</v>
      </c>
      <c r="K265" s="412">
        <f t="shared" si="40"/>
        <v>0</v>
      </c>
      <c r="L265" s="416">
        <f t="shared" si="41"/>
        <v>2.4426121839217059</v>
      </c>
      <c r="M265" s="119">
        <f>L265*D265*'B) D RI'!S267</f>
        <v>89106.492469463832</v>
      </c>
    </row>
    <row r="266" spans="1:13" x14ac:dyDescent="0.25">
      <c r="A266" s="313">
        <f>'A) Base RI'!A268</f>
        <v>5859</v>
      </c>
      <c r="B266" s="33" t="str">
        <f>'A) Base RI'!B268</f>
        <v>Mont-sur-Rolle</v>
      </c>
      <c r="C266" s="311">
        <f>'B) D RI'!U268</f>
        <v>136265.21065164401</v>
      </c>
      <c r="D266" s="33">
        <f>'B) D RI'!AA268</f>
        <v>2701</v>
      </c>
      <c r="E266" s="211">
        <f t="shared" si="34"/>
        <v>50.449911385281013</v>
      </c>
      <c r="F266" s="409">
        <f t="shared" si="35"/>
        <v>1.1156330057658554</v>
      </c>
      <c r="G266" s="420">
        <f t="shared" si="36"/>
        <v>5.2290268071590589</v>
      </c>
      <c r="H266" s="417">
        <f t="shared" si="37"/>
        <v>0</v>
      </c>
      <c r="I266" s="420">
        <f t="shared" si="38"/>
        <v>0</v>
      </c>
      <c r="J266" s="417">
        <f t="shared" si="39"/>
        <v>0</v>
      </c>
      <c r="K266" s="412">
        <f t="shared" si="40"/>
        <v>0</v>
      </c>
      <c r="L266" s="416">
        <f t="shared" si="41"/>
        <v>1.0458053614318119</v>
      </c>
      <c r="M266" s="119">
        <f>L266*D266*'B) D RI'!S268</f>
        <v>180782.09799854874</v>
      </c>
    </row>
    <row r="267" spans="1:13" x14ac:dyDescent="0.25">
      <c r="A267" s="313">
        <f>'A) Base RI'!A269</f>
        <v>5860</v>
      </c>
      <c r="B267" s="33" t="str">
        <f>'A) Base RI'!B269</f>
        <v>Perroy</v>
      </c>
      <c r="C267" s="311">
        <f>'B) D RI'!U269</f>
        <v>87566.238279299258</v>
      </c>
      <c r="D267" s="33">
        <f>'B) D RI'!AA269</f>
        <v>1514</v>
      </c>
      <c r="E267" s="211">
        <f t="shared" si="34"/>
        <v>57.837673896498849</v>
      </c>
      <c r="F267" s="409">
        <f t="shared" si="35"/>
        <v>1.2790035939385616</v>
      </c>
      <c r="G267" s="420">
        <f t="shared" si="36"/>
        <v>12.616789318376895</v>
      </c>
      <c r="H267" s="417">
        <f t="shared" si="37"/>
        <v>3.5726124027525046</v>
      </c>
      <c r="I267" s="420">
        <f t="shared" si="38"/>
        <v>0</v>
      </c>
      <c r="J267" s="417">
        <f t="shared" si="39"/>
        <v>0</v>
      </c>
      <c r="K267" s="412">
        <f t="shared" si="40"/>
        <v>0</v>
      </c>
      <c r="L267" s="416">
        <f t="shared" si="41"/>
        <v>2.8806191039506297</v>
      </c>
      <c r="M267" s="119">
        <f>L267*D267*'B) D RI'!S269</f>
        <v>261675.43940287523</v>
      </c>
    </row>
    <row r="268" spans="1:13" x14ac:dyDescent="0.25">
      <c r="A268" s="313">
        <f>'A) Base RI'!A270</f>
        <v>5861</v>
      </c>
      <c r="B268" s="33" t="str">
        <f>'A) Base RI'!B270</f>
        <v>Rolle</v>
      </c>
      <c r="C268" s="311">
        <f>'B) D RI'!U270</f>
        <v>773954.77123318054</v>
      </c>
      <c r="D268" s="33">
        <f>'B) D RI'!AA270</f>
        <v>6225</v>
      </c>
      <c r="E268" s="211">
        <f t="shared" si="34"/>
        <v>124.33008373223784</v>
      </c>
      <c r="F268" s="409">
        <f t="shared" si="35"/>
        <v>2.7493952162180664</v>
      </c>
      <c r="G268" s="420">
        <f t="shared" si="36"/>
        <v>79.109199154115885</v>
      </c>
      <c r="H268" s="417">
        <f t="shared" si="37"/>
        <v>70.065022238491494</v>
      </c>
      <c r="I268" s="420">
        <f t="shared" si="38"/>
        <v>56.498756865054915</v>
      </c>
      <c r="J268" s="417">
        <f t="shared" si="39"/>
        <v>33.888314575993931</v>
      </c>
      <c r="K268" s="412">
        <f t="shared" si="40"/>
        <v>0</v>
      </c>
      <c r="L268" s="416">
        <f t="shared" si="41"/>
        <v>31.86704919877721</v>
      </c>
      <c r="M268" s="119">
        <f>L268*D268*'B) D RI'!S270</f>
        <v>11803156.685112095</v>
      </c>
    </row>
    <row r="269" spans="1:13" x14ac:dyDescent="0.25">
      <c r="A269" s="313">
        <f>'A) Base RI'!A271</f>
        <v>5862</v>
      </c>
      <c r="B269" s="33" t="str">
        <f>'A) Base RI'!B271</f>
        <v>Tartegnin</v>
      </c>
      <c r="C269" s="311">
        <f>'B) D RI'!U271</f>
        <v>10589.245656408681</v>
      </c>
      <c r="D269" s="33">
        <f>'B) D RI'!AA271</f>
        <v>235</v>
      </c>
      <c r="E269" s="211">
        <f t="shared" si="34"/>
        <v>45.060619814505024</v>
      </c>
      <c r="F269" s="409">
        <f t="shared" si="35"/>
        <v>0.99645595690769684</v>
      </c>
      <c r="G269" s="420">
        <f t="shared" si="36"/>
        <v>0</v>
      </c>
      <c r="H269" s="417">
        <f t="shared" si="37"/>
        <v>0</v>
      </c>
      <c r="I269" s="420">
        <f t="shared" si="38"/>
        <v>0</v>
      </c>
      <c r="J269" s="417">
        <f t="shared" si="39"/>
        <v>0</v>
      </c>
      <c r="K269" s="412">
        <f t="shared" si="40"/>
        <v>0</v>
      </c>
      <c r="L269" s="416">
        <f t="shared" si="41"/>
        <v>0</v>
      </c>
      <c r="M269" s="119">
        <f>L269*D269*'B) D RI'!S271</f>
        <v>0</v>
      </c>
    </row>
    <row r="270" spans="1:13" x14ac:dyDescent="0.25">
      <c r="A270" s="313">
        <f>'A) Base RI'!A272</f>
        <v>5863</v>
      </c>
      <c r="B270" s="33" t="str">
        <f>'A) Base RI'!B272</f>
        <v>Vinzel</v>
      </c>
      <c r="C270" s="311">
        <f>'B) D RI'!U272</f>
        <v>22777.907701128508</v>
      </c>
      <c r="D270" s="33">
        <f>'B) D RI'!AA272</f>
        <v>371</v>
      </c>
      <c r="E270" s="211">
        <f t="shared" si="34"/>
        <v>61.395977631074146</v>
      </c>
      <c r="F270" s="409">
        <f t="shared" si="35"/>
        <v>1.3576907706218946</v>
      </c>
      <c r="G270" s="420">
        <f t="shared" si="36"/>
        <v>16.175093052952192</v>
      </c>
      <c r="H270" s="417">
        <f t="shared" si="37"/>
        <v>7.1309161373278016</v>
      </c>
      <c r="I270" s="420">
        <f t="shared" si="38"/>
        <v>0</v>
      </c>
      <c r="J270" s="417">
        <f t="shared" si="39"/>
        <v>0</v>
      </c>
      <c r="K270" s="412">
        <f t="shared" si="40"/>
        <v>0</v>
      </c>
      <c r="L270" s="416">
        <f t="shared" si="41"/>
        <v>3.9481102243232185</v>
      </c>
      <c r="M270" s="119">
        <f>L270*D270*'B) D RI'!S272</f>
        <v>98138.175846002254</v>
      </c>
    </row>
    <row r="271" spans="1:13" x14ac:dyDescent="0.25">
      <c r="A271" s="313">
        <f>'A) Base RI'!A273</f>
        <v>5871</v>
      </c>
      <c r="B271" s="33" t="str">
        <f>'A) Base RI'!B273</f>
        <v>L'Abbaye</v>
      </c>
      <c r="C271" s="311">
        <f>'B) D RI'!U273</f>
        <v>46463.831419219103</v>
      </c>
      <c r="D271" s="33">
        <f>'B) D RI'!AA273</f>
        <v>1492</v>
      </c>
      <c r="E271" s="211">
        <f t="shared" si="34"/>
        <v>31.141978163015484</v>
      </c>
      <c r="F271" s="409">
        <f t="shared" si="35"/>
        <v>0.68866362198677777</v>
      </c>
      <c r="G271" s="420">
        <f t="shared" si="36"/>
        <v>0</v>
      </c>
      <c r="H271" s="417">
        <f t="shared" si="37"/>
        <v>0</v>
      </c>
      <c r="I271" s="420">
        <f t="shared" si="38"/>
        <v>0</v>
      </c>
      <c r="J271" s="417">
        <f t="shared" si="39"/>
        <v>0</v>
      </c>
      <c r="K271" s="412">
        <f t="shared" si="40"/>
        <v>0</v>
      </c>
      <c r="L271" s="416">
        <f t="shared" si="41"/>
        <v>0</v>
      </c>
      <c r="M271" s="119">
        <f>L271*D271*'B) D RI'!S273</f>
        <v>0</v>
      </c>
    </row>
    <row r="272" spans="1:13" x14ac:dyDescent="0.25">
      <c r="A272" s="313">
        <f>'A) Base RI'!A274</f>
        <v>5872</v>
      </c>
      <c r="B272" s="33" t="str">
        <f>'A) Base RI'!B274</f>
        <v>Le Chenit</v>
      </c>
      <c r="C272" s="311">
        <f>'B) D RI'!U274</f>
        <v>203474.88252883923</v>
      </c>
      <c r="D272" s="33">
        <f>'B) D RI'!AA274</f>
        <v>4612</v>
      </c>
      <c r="E272" s="211">
        <f t="shared" si="34"/>
        <v>44.118578171907899</v>
      </c>
      <c r="F272" s="409">
        <f t="shared" si="35"/>
        <v>0.97562395303635097</v>
      </c>
      <c r="G272" s="420">
        <f t="shared" si="36"/>
        <v>0</v>
      </c>
      <c r="H272" s="417">
        <f t="shared" si="37"/>
        <v>0</v>
      </c>
      <c r="I272" s="420">
        <f t="shared" si="38"/>
        <v>0</v>
      </c>
      <c r="J272" s="417">
        <f t="shared" si="39"/>
        <v>0</v>
      </c>
      <c r="K272" s="412">
        <f t="shared" si="40"/>
        <v>0</v>
      </c>
      <c r="L272" s="416">
        <f t="shared" si="41"/>
        <v>0</v>
      </c>
      <c r="M272" s="119">
        <f>L272*D272*'B) D RI'!S274</f>
        <v>0</v>
      </c>
    </row>
    <row r="273" spans="1:13" x14ac:dyDescent="0.25">
      <c r="A273" s="313">
        <f>'A) Base RI'!A275</f>
        <v>5873</v>
      </c>
      <c r="B273" s="33" t="str">
        <f>'A) Base RI'!B275</f>
        <v>Le Lieu</v>
      </c>
      <c r="C273" s="311">
        <f>'B) D RI'!U275</f>
        <v>32044.127943123549</v>
      </c>
      <c r="D273" s="33">
        <f>'B) D RI'!AA275</f>
        <v>869</v>
      </c>
      <c r="E273" s="211">
        <f t="shared" si="34"/>
        <v>36.874715699796951</v>
      </c>
      <c r="F273" s="409">
        <f t="shared" si="35"/>
        <v>0.81543552373668271</v>
      </c>
      <c r="G273" s="420">
        <f t="shared" si="36"/>
        <v>0</v>
      </c>
      <c r="H273" s="417">
        <f t="shared" si="37"/>
        <v>0</v>
      </c>
      <c r="I273" s="420">
        <f t="shared" si="38"/>
        <v>0</v>
      </c>
      <c r="J273" s="417">
        <f t="shared" si="39"/>
        <v>0</v>
      </c>
      <c r="K273" s="412">
        <f t="shared" si="40"/>
        <v>0</v>
      </c>
      <c r="L273" s="416">
        <f t="shared" si="41"/>
        <v>0</v>
      </c>
      <c r="M273" s="119">
        <f>L273*D273*'B) D RI'!S275</f>
        <v>0</v>
      </c>
    </row>
    <row r="274" spans="1:13" x14ac:dyDescent="0.25">
      <c r="A274" s="313">
        <f>'A) Base RI'!A276</f>
        <v>5881</v>
      </c>
      <c r="B274" s="33" t="str">
        <f>'A) Base RI'!B276</f>
        <v>Blonay</v>
      </c>
      <c r="C274" s="311">
        <f>'B) D RI'!U276</f>
        <v>337666.7615162601</v>
      </c>
      <c r="D274" s="33">
        <f>'B) D RI'!AA276</f>
        <v>6183</v>
      </c>
      <c r="E274" s="211">
        <f t="shared" si="34"/>
        <v>54.612123809843133</v>
      </c>
      <c r="F274" s="409">
        <f t="shared" si="35"/>
        <v>1.2076748236867683</v>
      </c>
      <c r="G274" s="420">
        <f t="shared" si="36"/>
        <v>9.3912392317211797</v>
      </c>
      <c r="H274" s="417">
        <f t="shared" si="37"/>
        <v>0.34706231609678895</v>
      </c>
      <c r="I274" s="420">
        <f t="shared" si="38"/>
        <v>0</v>
      </c>
      <c r="J274" s="417">
        <f t="shared" si="39"/>
        <v>0</v>
      </c>
      <c r="K274" s="412">
        <f t="shared" si="40"/>
        <v>0</v>
      </c>
      <c r="L274" s="416">
        <f t="shared" si="41"/>
        <v>1.9129540779539149</v>
      </c>
      <c r="M274" s="119">
        <f>L274*D274*'B) D RI'!S276</f>
        <v>827945.65447923401</v>
      </c>
    </row>
    <row r="275" spans="1:13" x14ac:dyDescent="0.25">
      <c r="A275" s="313">
        <f>'A) Base RI'!A277</f>
        <v>5882</v>
      </c>
      <c r="B275" s="33" t="str">
        <f>'A) Base RI'!B277</f>
        <v>Chardonne</v>
      </c>
      <c r="C275" s="311">
        <f>'B) D RI'!U277</f>
        <v>156481.45987298383</v>
      </c>
      <c r="D275" s="33">
        <f>'B) D RI'!AA277</f>
        <v>2921</v>
      </c>
      <c r="E275" s="211">
        <f t="shared" si="34"/>
        <v>53.57119475281884</v>
      </c>
      <c r="F275" s="409">
        <f t="shared" si="35"/>
        <v>1.1846560555504215</v>
      </c>
      <c r="G275" s="420">
        <f t="shared" si="36"/>
        <v>8.3503101746968866</v>
      </c>
      <c r="H275" s="417">
        <f t="shared" si="37"/>
        <v>0</v>
      </c>
      <c r="I275" s="420">
        <f t="shared" si="38"/>
        <v>0</v>
      </c>
      <c r="J275" s="417">
        <f t="shared" si="39"/>
        <v>0</v>
      </c>
      <c r="K275" s="412">
        <f t="shared" si="40"/>
        <v>0</v>
      </c>
      <c r="L275" s="416">
        <f t="shared" si="41"/>
        <v>1.6700620349393773</v>
      </c>
      <c r="M275" s="119">
        <f>L275*D275*'B) D RI'!S277</f>
        <v>331721.08187593863</v>
      </c>
    </row>
    <row r="276" spans="1:13" x14ac:dyDescent="0.25">
      <c r="A276" s="313">
        <f>'A) Base RI'!A278</f>
        <v>5883</v>
      </c>
      <c r="B276" s="33" t="str">
        <f>'A) Base RI'!B278</f>
        <v>Corseaux</v>
      </c>
      <c r="C276" s="311">
        <f>'B) D RI'!U278</f>
        <v>150144.54939318728</v>
      </c>
      <c r="D276" s="33">
        <f>'B) D RI'!AA278</f>
        <v>2289</v>
      </c>
      <c r="E276" s="211">
        <f t="shared" si="34"/>
        <v>65.593949057748915</v>
      </c>
      <c r="F276" s="409">
        <f t="shared" si="35"/>
        <v>1.4505233515375224</v>
      </c>
      <c r="G276" s="420">
        <f t="shared" si="36"/>
        <v>20.373064479626962</v>
      </c>
      <c r="H276" s="417">
        <f t="shared" si="37"/>
        <v>11.328887564002571</v>
      </c>
      <c r="I276" s="420">
        <f t="shared" si="38"/>
        <v>0</v>
      </c>
      <c r="J276" s="417">
        <f t="shared" si="39"/>
        <v>0</v>
      </c>
      <c r="K276" s="412">
        <f t="shared" si="40"/>
        <v>0</v>
      </c>
      <c r="L276" s="416">
        <f t="shared" si="41"/>
        <v>5.2075016523256492</v>
      </c>
      <c r="M276" s="119">
        <f>L276*D276*'B) D RI'!S278</f>
        <v>822478.01846996532</v>
      </c>
    </row>
    <row r="277" spans="1:13" x14ac:dyDescent="0.25">
      <c r="A277" s="313">
        <f>'A) Base RI'!A279</f>
        <v>5884</v>
      </c>
      <c r="B277" s="33" t="str">
        <f>'A) Base RI'!B279</f>
        <v>Corsier-sur-Vevey</v>
      </c>
      <c r="C277" s="311">
        <f>'B) D RI'!U279</f>
        <v>120582.14380721933</v>
      </c>
      <c r="D277" s="33">
        <f>'B) D RI'!AA279</f>
        <v>3396</v>
      </c>
      <c r="E277" s="211">
        <f t="shared" si="34"/>
        <v>35.507109483869058</v>
      </c>
      <c r="F277" s="409">
        <f t="shared" si="35"/>
        <v>0.78519272267945728</v>
      </c>
      <c r="G277" s="420">
        <f t="shared" si="36"/>
        <v>0</v>
      </c>
      <c r="H277" s="417">
        <f t="shared" si="37"/>
        <v>0</v>
      </c>
      <c r="I277" s="420">
        <f t="shared" si="38"/>
        <v>0</v>
      </c>
      <c r="J277" s="417">
        <f t="shared" si="39"/>
        <v>0</v>
      </c>
      <c r="K277" s="412">
        <f t="shared" si="40"/>
        <v>0</v>
      </c>
      <c r="L277" s="416">
        <f t="shared" si="41"/>
        <v>0</v>
      </c>
      <c r="M277" s="119">
        <f>L277*D277*'B) D RI'!S279</f>
        <v>0</v>
      </c>
    </row>
    <row r="278" spans="1:13" x14ac:dyDescent="0.25">
      <c r="A278" s="313">
        <f>'A) Base RI'!A280</f>
        <v>5885</v>
      </c>
      <c r="B278" s="33" t="str">
        <f>'A) Base RI'!B280</f>
        <v>Jongny</v>
      </c>
      <c r="C278" s="311">
        <f>'B) D RI'!U280</f>
        <v>92637.81830716609</v>
      </c>
      <c r="D278" s="33">
        <f>'B) D RI'!AA280</f>
        <v>1549</v>
      </c>
      <c r="E278" s="211">
        <f t="shared" si="34"/>
        <v>59.804918209920004</v>
      </c>
      <c r="F278" s="409">
        <f t="shared" si="35"/>
        <v>1.3225065977336909</v>
      </c>
      <c r="G278" s="420">
        <f t="shared" si="36"/>
        <v>14.58403363179805</v>
      </c>
      <c r="H278" s="417">
        <f t="shared" si="37"/>
        <v>5.5398567161736594</v>
      </c>
      <c r="I278" s="420">
        <f t="shared" si="38"/>
        <v>0</v>
      </c>
      <c r="J278" s="417">
        <f t="shared" si="39"/>
        <v>0</v>
      </c>
      <c r="K278" s="412">
        <f t="shared" si="40"/>
        <v>0</v>
      </c>
      <c r="L278" s="416">
        <f t="shared" si="41"/>
        <v>3.4707923979769761</v>
      </c>
      <c r="M278" s="119">
        <f>L278*D278*'B) D RI'!S280</f>
        <v>381714.27713710989</v>
      </c>
    </row>
    <row r="279" spans="1:13" x14ac:dyDescent="0.25">
      <c r="A279" s="313">
        <f>'A) Base RI'!A281</f>
        <v>5886</v>
      </c>
      <c r="B279" s="33" t="str">
        <f>'A) Base RI'!B281</f>
        <v>Montreux</v>
      </c>
      <c r="C279" s="311">
        <f>'B) D RI'!U281</f>
        <v>1120957.3291830304</v>
      </c>
      <c r="D279" s="33">
        <f>'B) D RI'!AA281</f>
        <v>26653</v>
      </c>
      <c r="E279" s="211">
        <f t="shared" si="34"/>
        <v>42.057454289687108</v>
      </c>
      <c r="F279" s="409">
        <f t="shared" si="35"/>
        <v>0.93004492685299378</v>
      </c>
      <c r="G279" s="420">
        <f t="shared" si="36"/>
        <v>0</v>
      </c>
      <c r="H279" s="417">
        <f t="shared" si="37"/>
        <v>0</v>
      </c>
      <c r="I279" s="420">
        <f t="shared" si="38"/>
        <v>0</v>
      </c>
      <c r="J279" s="417">
        <f t="shared" si="39"/>
        <v>0</v>
      </c>
      <c r="K279" s="412">
        <f t="shared" si="40"/>
        <v>0</v>
      </c>
      <c r="L279" s="416">
        <f t="shared" si="41"/>
        <v>0</v>
      </c>
      <c r="M279" s="119">
        <f>L279*D279*'B) D RI'!S281</f>
        <v>0</v>
      </c>
    </row>
    <row r="280" spans="1:13" x14ac:dyDescent="0.25">
      <c r="A280" s="313">
        <f>'A) Base RI'!A282</f>
        <v>5888</v>
      </c>
      <c r="B280" s="33" t="str">
        <f>'A) Base RI'!B282</f>
        <v>Saint-Légier-La Chiésaz</v>
      </c>
      <c r="C280" s="311">
        <f>'B) D RI'!U282</f>
        <v>291113.86411428853</v>
      </c>
      <c r="D280" s="33">
        <f>'B) D RI'!AA282</f>
        <v>5167</v>
      </c>
      <c r="E280" s="211">
        <f t="shared" si="34"/>
        <v>56.340983958639157</v>
      </c>
      <c r="F280" s="409">
        <f t="shared" si="35"/>
        <v>1.2459062772490999</v>
      </c>
      <c r="G280" s="420">
        <f t="shared" si="36"/>
        <v>11.120099380517203</v>
      </c>
      <c r="H280" s="417">
        <f t="shared" si="37"/>
        <v>2.0759224648928125</v>
      </c>
      <c r="I280" s="420">
        <f t="shared" si="38"/>
        <v>0</v>
      </c>
      <c r="J280" s="417">
        <f t="shared" si="39"/>
        <v>0</v>
      </c>
      <c r="K280" s="412">
        <f t="shared" si="40"/>
        <v>0</v>
      </c>
      <c r="L280" s="416">
        <f t="shared" si="41"/>
        <v>2.4316121225927221</v>
      </c>
      <c r="M280" s="119">
        <f>L280*D280*'B) D RI'!S282</f>
        <v>841797.36910825188</v>
      </c>
    </row>
    <row r="281" spans="1:13" x14ac:dyDescent="0.25">
      <c r="A281" s="313">
        <f>'A) Base RI'!A283</f>
        <v>5889</v>
      </c>
      <c r="B281" s="33" t="str">
        <f>'A) Base RI'!B283</f>
        <v>La Tour-de-Peilz</v>
      </c>
      <c r="C281" s="311">
        <f>'B) D RI'!U283</f>
        <v>674531.22490925156</v>
      </c>
      <c r="D281" s="33">
        <f>'B) D RI'!AA283</f>
        <v>11779</v>
      </c>
      <c r="E281" s="211">
        <f t="shared" si="34"/>
        <v>57.26557644190946</v>
      </c>
      <c r="F281" s="409">
        <f t="shared" si="35"/>
        <v>1.2663524160607591</v>
      </c>
      <c r="G281" s="420">
        <f t="shared" si="36"/>
        <v>12.044691863787506</v>
      </c>
      <c r="H281" s="417">
        <f t="shared" si="37"/>
        <v>3.000514948163115</v>
      </c>
      <c r="I281" s="420">
        <f t="shared" si="38"/>
        <v>0</v>
      </c>
      <c r="J281" s="417">
        <f t="shared" si="39"/>
        <v>0</v>
      </c>
      <c r="K281" s="412">
        <f t="shared" si="40"/>
        <v>0</v>
      </c>
      <c r="L281" s="416">
        <f t="shared" si="41"/>
        <v>2.7089898675738127</v>
      </c>
      <c r="M281" s="119">
        <f>L281*D281*'B) D RI'!S283</f>
        <v>2042188.2656097242</v>
      </c>
    </row>
    <row r="282" spans="1:13" x14ac:dyDescent="0.25">
      <c r="A282" s="313">
        <f>'A) Base RI'!A284</f>
        <v>5890</v>
      </c>
      <c r="B282" s="33" t="str">
        <f>'A) Base RI'!B284</f>
        <v>Vevey</v>
      </c>
      <c r="C282" s="311">
        <f>'B) D RI'!U284</f>
        <v>953247.91463963222</v>
      </c>
      <c r="D282" s="33">
        <f>'B) D RI'!AA284</f>
        <v>19829</v>
      </c>
      <c r="E282" s="211">
        <f t="shared" si="34"/>
        <v>48.073423502931675</v>
      </c>
      <c r="F282" s="409">
        <f t="shared" si="35"/>
        <v>1.0630801221918111</v>
      </c>
      <c r="G282" s="420">
        <f t="shared" si="36"/>
        <v>2.8525389248097213</v>
      </c>
      <c r="H282" s="417">
        <f t="shared" si="37"/>
        <v>0</v>
      </c>
      <c r="I282" s="420">
        <f t="shared" si="38"/>
        <v>0</v>
      </c>
      <c r="J282" s="417">
        <f t="shared" si="39"/>
        <v>0</v>
      </c>
      <c r="K282" s="412">
        <f t="shared" si="40"/>
        <v>0</v>
      </c>
      <c r="L282" s="416">
        <f t="shared" si="41"/>
        <v>0.57050778496194432</v>
      </c>
      <c r="M282" s="119">
        <f>L282*D282*'B) D RI'!S284</f>
        <v>825819.71736475884</v>
      </c>
    </row>
    <row r="283" spans="1:13" x14ac:dyDescent="0.25">
      <c r="A283" s="313">
        <f>'A) Base RI'!A285</f>
        <v>5891</v>
      </c>
      <c r="B283" s="33" t="str">
        <f>'A) Base RI'!B285</f>
        <v>Veytaux</v>
      </c>
      <c r="C283" s="311">
        <f>'B) D RI'!U285</f>
        <v>35139.330604262883</v>
      </c>
      <c r="D283" s="33">
        <f>'B) D RI'!AA285</f>
        <v>870</v>
      </c>
      <c r="E283" s="211">
        <f t="shared" si="34"/>
        <v>40.390035177313656</v>
      </c>
      <c r="F283" s="409">
        <f t="shared" si="35"/>
        <v>0.89317216047681025</v>
      </c>
      <c r="G283" s="420">
        <f t="shared" si="36"/>
        <v>0</v>
      </c>
      <c r="H283" s="417">
        <f t="shared" si="37"/>
        <v>0</v>
      </c>
      <c r="I283" s="420">
        <f t="shared" si="38"/>
        <v>0</v>
      </c>
      <c r="J283" s="417">
        <f t="shared" si="39"/>
        <v>0</v>
      </c>
      <c r="K283" s="412">
        <f t="shared" si="40"/>
        <v>0</v>
      </c>
      <c r="L283" s="416">
        <f t="shared" si="41"/>
        <v>0</v>
      </c>
      <c r="M283" s="119">
        <f>L283*D283*'B) D RI'!S285</f>
        <v>0</v>
      </c>
    </row>
    <row r="284" spans="1:13" x14ac:dyDescent="0.25">
      <c r="A284" s="313">
        <f>'A) Base RI'!A286</f>
        <v>5902</v>
      </c>
      <c r="B284" s="33" t="str">
        <f>'A) Base RI'!B286</f>
        <v>Belmont-sur-Yverdon</v>
      </c>
      <c r="C284" s="311">
        <f>'B) D RI'!U286</f>
        <v>9890.2176826722334</v>
      </c>
      <c r="D284" s="33">
        <f>'B) D RI'!AA286</f>
        <v>378</v>
      </c>
      <c r="E284" s="211">
        <f t="shared" si="34"/>
        <v>26.164597044106436</v>
      </c>
      <c r="F284" s="409">
        <f t="shared" si="35"/>
        <v>0.57859542749336168</v>
      </c>
      <c r="G284" s="420">
        <f t="shared" si="36"/>
        <v>0</v>
      </c>
      <c r="H284" s="417">
        <f t="shared" si="37"/>
        <v>0</v>
      </c>
      <c r="I284" s="420">
        <f t="shared" si="38"/>
        <v>0</v>
      </c>
      <c r="J284" s="417">
        <f t="shared" si="39"/>
        <v>0</v>
      </c>
      <c r="K284" s="412">
        <f t="shared" si="40"/>
        <v>0</v>
      </c>
      <c r="L284" s="416">
        <f t="shared" si="41"/>
        <v>0</v>
      </c>
      <c r="M284" s="119">
        <f>L284*D284*'B) D RI'!S286</f>
        <v>0</v>
      </c>
    </row>
    <row r="285" spans="1:13" x14ac:dyDescent="0.25">
      <c r="A285" s="313">
        <f>'A) Base RI'!A287</f>
        <v>5903</v>
      </c>
      <c r="B285" s="33" t="str">
        <f>'A) Base RI'!B287</f>
        <v>Bioley-Magnoux</v>
      </c>
      <c r="C285" s="311">
        <f>'B) D RI'!U287</f>
        <v>5925.8519470372794</v>
      </c>
      <c r="D285" s="33">
        <f>'B) D RI'!AA287</f>
        <v>225</v>
      </c>
      <c r="E285" s="211">
        <f t="shared" si="34"/>
        <v>26.337119764610129</v>
      </c>
      <c r="F285" s="409">
        <f t="shared" si="35"/>
        <v>0.58241053907539297</v>
      </c>
      <c r="G285" s="420">
        <f t="shared" si="36"/>
        <v>0</v>
      </c>
      <c r="H285" s="417">
        <f t="shared" si="37"/>
        <v>0</v>
      </c>
      <c r="I285" s="420">
        <f t="shared" si="38"/>
        <v>0</v>
      </c>
      <c r="J285" s="417">
        <f t="shared" si="39"/>
        <v>0</v>
      </c>
      <c r="K285" s="412">
        <f t="shared" si="40"/>
        <v>0</v>
      </c>
      <c r="L285" s="416">
        <f t="shared" si="41"/>
        <v>0</v>
      </c>
      <c r="M285" s="119">
        <f>L285*D285*'B) D RI'!S287</f>
        <v>0</v>
      </c>
    </row>
    <row r="286" spans="1:13" x14ac:dyDescent="0.25">
      <c r="A286" s="313">
        <f>'A) Base RI'!A288</f>
        <v>5904</v>
      </c>
      <c r="B286" s="33" t="str">
        <f>'A) Base RI'!B288</f>
        <v>Chamblon</v>
      </c>
      <c r="C286" s="311">
        <f>'B) D RI'!U288</f>
        <v>21650.618671075306</v>
      </c>
      <c r="D286" s="33">
        <f>'B) D RI'!AA288</f>
        <v>534</v>
      </c>
      <c r="E286" s="211">
        <f t="shared" si="34"/>
        <v>40.544229721114803</v>
      </c>
      <c r="F286" s="409">
        <f t="shared" si="35"/>
        <v>0.89658196869351525</v>
      </c>
      <c r="G286" s="420">
        <f t="shared" si="36"/>
        <v>0</v>
      </c>
      <c r="H286" s="417">
        <f t="shared" si="37"/>
        <v>0</v>
      </c>
      <c r="I286" s="420">
        <f t="shared" si="38"/>
        <v>0</v>
      </c>
      <c r="J286" s="417">
        <f t="shared" si="39"/>
        <v>0</v>
      </c>
      <c r="K286" s="412">
        <f t="shared" si="40"/>
        <v>0</v>
      </c>
      <c r="L286" s="416">
        <f t="shared" si="41"/>
        <v>0</v>
      </c>
      <c r="M286" s="119">
        <f>L286*D286*'B) D RI'!S288</f>
        <v>0</v>
      </c>
    </row>
    <row r="287" spans="1:13" x14ac:dyDescent="0.25">
      <c r="A287" s="313">
        <f>'A) Base RI'!A289</f>
        <v>5905</v>
      </c>
      <c r="B287" s="33" t="str">
        <f>'A) Base RI'!B289</f>
        <v>Champvent</v>
      </c>
      <c r="C287" s="311">
        <f>'B) D RI'!U289</f>
        <v>22161.114023042239</v>
      </c>
      <c r="D287" s="33">
        <f>'B) D RI'!AA289</f>
        <v>669</v>
      </c>
      <c r="E287" s="211">
        <f t="shared" si="34"/>
        <v>33.125730976146848</v>
      </c>
      <c r="F287" s="409">
        <f t="shared" si="35"/>
        <v>0.73253168939939772</v>
      </c>
      <c r="G287" s="420">
        <f t="shared" si="36"/>
        <v>0</v>
      </c>
      <c r="H287" s="417">
        <f t="shared" si="37"/>
        <v>0</v>
      </c>
      <c r="I287" s="420">
        <f t="shared" si="38"/>
        <v>0</v>
      </c>
      <c r="J287" s="417">
        <f t="shared" si="39"/>
        <v>0</v>
      </c>
      <c r="K287" s="412">
        <f t="shared" si="40"/>
        <v>0</v>
      </c>
      <c r="L287" s="416">
        <f t="shared" si="41"/>
        <v>0</v>
      </c>
      <c r="M287" s="119">
        <f>L287*D287*'B) D RI'!S289</f>
        <v>0</v>
      </c>
    </row>
    <row r="288" spans="1:13" x14ac:dyDescent="0.25">
      <c r="A288" s="313">
        <f>'A) Base RI'!A290</f>
        <v>5907</v>
      </c>
      <c r="B288" s="33" t="str">
        <f>'A) Base RI'!B290</f>
        <v>Chavannes-le-Chêne</v>
      </c>
      <c r="C288" s="311">
        <f>'B) D RI'!U290</f>
        <v>8634.8729280902389</v>
      </c>
      <c r="D288" s="33">
        <f>'B) D RI'!AA290</f>
        <v>298</v>
      </c>
      <c r="E288" s="211">
        <f t="shared" si="34"/>
        <v>28.976083651309526</v>
      </c>
      <c r="F288" s="409">
        <f t="shared" si="35"/>
        <v>0.64076773202548698</v>
      </c>
      <c r="G288" s="420">
        <f t="shared" si="36"/>
        <v>0</v>
      </c>
      <c r="H288" s="417">
        <f t="shared" si="37"/>
        <v>0</v>
      </c>
      <c r="I288" s="420">
        <f t="shared" si="38"/>
        <v>0</v>
      </c>
      <c r="J288" s="417">
        <f t="shared" si="39"/>
        <v>0</v>
      </c>
      <c r="K288" s="412">
        <f t="shared" si="40"/>
        <v>0</v>
      </c>
      <c r="L288" s="416">
        <f t="shared" si="41"/>
        <v>0</v>
      </c>
      <c r="M288" s="119">
        <f>L288*D288*'B) D RI'!S290</f>
        <v>0</v>
      </c>
    </row>
    <row r="289" spans="1:13" x14ac:dyDescent="0.25">
      <c r="A289" s="313">
        <f>'A) Base RI'!A291</f>
        <v>5908</v>
      </c>
      <c r="B289" s="33" t="str">
        <f>'A) Base RI'!B291</f>
        <v>Chêne-Pâquier</v>
      </c>
      <c r="C289" s="311">
        <f>'B) D RI'!U291</f>
        <v>2752.8487805406176</v>
      </c>
      <c r="D289" s="33">
        <f>'B) D RI'!AA291</f>
        <v>139</v>
      </c>
      <c r="E289" s="211">
        <f t="shared" si="34"/>
        <v>19.804667485903725</v>
      </c>
      <c r="F289" s="409">
        <f t="shared" si="35"/>
        <v>0.43795400445318361</v>
      </c>
      <c r="G289" s="420">
        <f t="shared" si="36"/>
        <v>0</v>
      </c>
      <c r="H289" s="417">
        <f t="shared" si="37"/>
        <v>0</v>
      </c>
      <c r="I289" s="420">
        <f t="shared" si="38"/>
        <v>0</v>
      </c>
      <c r="J289" s="417">
        <f t="shared" si="39"/>
        <v>0</v>
      </c>
      <c r="K289" s="412">
        <f t="shared" si="40"/>
        <v>0</v>
      </c>
      <c r="L289" s="416">
        <f t="shared" si="41"/>
        <v>0</v>
      </c>
      <c r="M289" s="119">
        <f>L289*D289*'B) D RI'!S291</f>
        <v>0</v>
      </c>
    </row>
    <row r="290" spans="1:13" x14ac:dyDescent="0.25">
      <c r="A290" s="313">
        <f>'A) Base RI'!A292</f>
        <v>5909</v>
      </c>
      <c r="B290" s="33" t="str">
        <f>'A) Base RI'!B292</f>
        <v>Cheseaux-Noréaz</v>
      </c>
      <c r="C290" s="311">
        <f>'B) D RI'!U292</f>
        <v>27860.638922764225</v>
      </c>
      <c r="D290" s="33">
        <f>'B) D RI'!AA292</f>
        <v>705</v>
      </c>
      <c r="E290" s="211">
        <f t="shared" si="34"/>
        <v>39.518636769878334</v>
      </c>
      <c r="F290" s="409">
        <f t="shared" si="35"/>
        <v>0.87390233823505548</v>
      </c>
      <c r="G290" s="420">
        <f t="shared" si="36"/>
        <v>0</v>
      </c>
      <c r="H290" s="417">
        <f t="shared" si="37"/>
        <v>0</v>
      </c>
      <c r="I290" s="420">
        <f t="shared" si="38"/>
        <v>0</v>
      </c>
      <c r="J290" s="417">
        <f t="shared" si="39"/>
        <v>0</v>
      </c>
      <c r="K290" s="412">
        <f t="shared" si="40"/>
        <v>0</v>
      </c>
      <c r="L290" s="416">
        <f t="shared" si="41"/>
        <v>0</v>
      </c>
      <c r="M290" s="119">
        <f>L290*D290*'B) D RI'!S292</f>
        <v>0</v>
      </c>
    </row>
    <row r="291" spans="1:13" x14ac:dyDescent="0.25">
      <c r="A291" s="313">
        <f>'A) Base RI'!A293</f>
        <v>5910</v>
      </c>
      <c r="B291" s="33" t="str">
        <f>'A) Base RI'!B293</f>
        <v>Cronay</v>
      </c>
      <c r="C291" s="311">
        <f>'B) D RI'!U293</f>
        <v>10082.92355515589</v>
      </c>
      <c r="D291" s="33">
        <f>'B) D RI'!AA293</f>
        <v>380</v>
      </c>
      <c r="E291" s="211">
        <f t="shared" si="34"/>
        <v>26.534009355673398</v>
      </c>
      <c r="F291" s="409">
        <f t="shared" si="35"/>
        <v>0.5867644917435042</v>
      </c>
      <c r="G291" s="420">
        <f t="shared" si="36"/>
        <v>0</v>
      </c>
      <c r="H291" s="417">
        <f t="shared" si="37"/>
        <v>0</v>
      </c>
      <c r="I291" s="420">
        <f t="shared" si="38"/>
        <v>0</v>
      </c>
      <c r="J291" s="417">
        <f t="shared" si="39"/>
        <v>0</v>
      </c>
      <c r="K291" s="412">
        <f t="shared" si="40"/>
        <v>0</v>
      </c>
      <c r="L291" s="416">
        <f t="shared" si="41"/>
        <v>0</v>
      </c>
      <c r="M291" s="119">
        <f>L291*D291*'B) D RI'!S293</f>
        <v>0</v>
      </c>
    </row>
    <row r="292" spans="1:13" x14ac:dyDescent="0.25">
      <c r="A292" s="313">
        <f>'A) Base RI'!A294</f>
        <v>5911</v>
      </c>
      <c r="B292" s="33" t="str">
        <f>'A) Base RI'!B294</f>
        <v>Cuarny</v>
      </c>
      <c r="C292" s="311">
        <f>'B) D RI'!U294</f>
        <v>7082.7432735873799</v>
      </c>
      <c r="D292" s="33">
        <f>'B) D RI'!AA294</f>
        <v>241</v>
      </c>
      <c r="E292" s="211">
        <f t="shared" si="34"/>
        <v>29.388976238951784</v>
      </c>
      <c r="F292" s="409">
        <f t="shared" si="35"/>
        <v>0.64989830502277013</v>
      </c>
      <c r="G292" s="420">
        <f t="shared" si="36"/>
        <v>0</v>
      </c>
      <c r="H292" s="417">
        <f t="shared" si="37"/>
        <v>0</v>
      </c>
      <c r="I292" s="420">
        <f t="shared" si="38"/>
        <v>0</v>
      </c>
      <c r="J292" s="417">
        <f t="shared" si="39"/>
        <v>0</v>
      </c>
      <c r="K292" s="412">
        <f t="shared" si="40"/>
        <v>0</v>
      </c>
      <c r="L292" s="416">
        <f t="shared" si="41"/>
        <v>0</v>
      </c>
      <c r="M292" s="119">
        <f>L292*D292*'B) D RI'!S294</f>
        <v>0</v>
      </c>
    </row>
    <row r="293" spans="1:13" x14ac:dyDescent="0.25">
      <c r="A293" s="313">
        <f>'A) Base RI'!A295</f>
        <v>5912</v>
      </c>
      <c r="B293" s="33" t="str">
        <f>'A) Base RI'!B295</f>
        <v>Démoret</v>
      </c>
      <c r="C293" s="311">
        <f>'B) D RI'!U295</f>
        <v>3186.2414803898018</v>
      </c>
      <c r="D293" s="33">
        <f>'B) D RI'!AA295</f>
        <v>146</v>
      </c>
      <c r="E293" s="211">
        <f t="shared" si="34"/>
        <v>21.823571783491793</v>
      </c>
      <c r="F293" s="409">
        <f t="shared" si="35"/>
        <v>0.48259940041177624</v>
      </c>
      <c r="G293" s="420">
        <f t="shared" si="36"/>
        <v>0</v>
      </c>
      <c r="H293" s="417">
        <f t="shared" si="37"/>
        <v>0</v>
      </c>
      <c r="I293" s="420">
        <f t="shared" si="38"/>
        <v>0</v>
      </c>
      <c r="J293" s="417">
        <f t="shared" si="39"/>
        <v>0</v>
      </c>
      <c r="K293" s="412">
        <f t="shared" si="40"/>
        <v>0</v>
      </c>
      <c r="L293" s="416">
        <f t="shared" si="41"/>
        <v>0</v>
      </c>
      <c r="M293" s="119">
        <f>L293*D293*'B) D RI'!S295</f>
        <v>0</v>
      </c>
    </row>
    <row r="294" spans="1:13" x14ac:dyDescent="0.25">
      <c r="A294" s="313">
        <f>'A) Base RI'!A296</f>
        <v>5913</v>
      </c>
      <c r="B294" s="33" t="str">
        <f>'A) Base RI'!B296</f>
        <v>Donneloye</v>
      </c>
      <c r="C294" s="311">
        <f>'B) D RI'!U296</f>
        <v>20035.3963318641</v>
      </c>
      <c r="D294" s="33">
        <f>'B) D RI'!AA296</f>
        <v>813</v>
      </c>
      <c r="E294" s="211">
        <f t="shared" si="34"/>
        <v>24.643783926032103</v>
      </c>
      <c r="F294" s="409">
        <f t="shared" si="35"/>
        <v>0.54496465860720611</v>
      </c>
      <c r="G294" s="420">
        <f t="shared" si="36"/>
        <v>0</v>
      </c>
      <c r="H294" s="417">
        <f t="shared" si="37"/>
        <v>0</v>
      </c>
      <c r="I294" s="420">
        <f t="shared" si="38"/>
        <v>0</v>
      </c>
      <c r="J294" s="417">
        <f t="shared" si="39"/>
        <v>0</v>
      </c>
      <c r="K294" s="412">
        <f t="shared" si="40"/>
        <v>0</v>
      </c>
      <c r="L294" s="416">
        <f t="shared" si="41"/>
        <v>0</v>
      </c>
      <c r="M294" s="119">
        <f>L294*D294*'B) D RI'!S296</f>
        <v>0</v>
      </c>
    </row>
    <row r="295" spans="1:13" x14ac:dyDescent="0.25">
      <c r="A295" s="313">
        <f>'A) Base RI'!A297</f>
        <v>5914</v>
      </c>
      <c r="B295" s="33" t="str">
        <f>'A) Base RI'!B297</f>
        <v>Ependes</v>
      </c>
      <c r="C295" s="311">
        <f>'B) D RI'!U297</f>
        <v>10170.223624242424</v>
      </c>
      <c r="D295" s="33">
        <f>'B) D RI'!AA297</f>
        <v>361</v>
      </c>
      <c r="E295" s="211">
        <f t="shared" si="34"/>
        <v>28.172364610089819</v>
      </c>
      <c r="F295" s="409">
        <f t="shared" si="35"/>
        <v>0.62299454937508503</v>
      </c>
      <c r="G295" s="420">
        <f t="shared" si="36"/>
        <v>0</v>
      </c>
      <c r="H295" s="417">
        <f t="shared" si="37"/>
        <v>0</v>
      </c>
      <c r="I295" s="420">
        <f t="shared" si="38"/>
        <v>0</v>
      </c>
      <c r="J295" s="417">
        <f t="shared" si="39"/>
        <v>0</v>
      </c>
      <c r="K295" s="412">
        <f t="shared" si="40"/>
        <v>0</v>
      </c>
      <c r="L295" s="416">
        <f t="shared" si="41"/>
        <v>0</v>
      </c>
      <c r="M295" s="119">
        <f>L295*D295*'B) D RI'!S297</f>
        <v>0</v>
      </c>
    </row>
    <row r="296" spans="1:13" x14ac:dyDescent="0.25">
      <c r="A296" s="313">
        <f>'A) Base RI'!A298</f>
        <v>5919</v>
      </c>
      <c r="B296" s="33" t="str">
        <f>'A) Base RI'!B298</f>
        <v>Mathod</v>
      </c>
      <c r="C296" s="311">
        <f>'B) D RI'!U298</f>
        <v>15960.347228765168</v>
      </c>
      <c r="D296" s="33">
        <f>'B) D RI'!AA298</f>
        <v>617</v>
      </c>
      <c r="E296" s="211">
        <f t="shared" si="34"/>
        <v>25.867661634951649</v>
      </c>
      <c r="F296" s="409">
        <f t="shared" si="35"/>
        <v>0.57202909399668245</v>
      </c>
      <c r="G296" s="420">
        <f t="shared" si="36"/>
        <v>0</v>
      </c>
      <c r="H296" s="417">
        <f t="shared" si="37"/>
        <v>0</v>
      </c>
      <c r="I296" s="420">
        <f t="shared" si="38"/>
        <v>0</v>
      </c>
      <c r="J296" s="417">
        <f t="shared" si="39"/>
        <v>0</v>
      </c>
      <c r="K296" s="412">
        <f t="shared" si="40"/>
        <v>0</v>
      </c>
      <c r="L296" s="416">
        <f t="shared" si="41"/>
        <v>0</v>
      </c>
      <c r="M296" s="119">
        <f>L296*D296*'B) D RI'!S298</f>
        <v>0</v>
      </c>
    </row>
    <row r="297" spans="1:13" x14ac:dyDescent="0.25">
      <c r="A297" s="313">
        <f>'A) Base RI'!A299</f>
        <v>5921</v>
      </c>
      <c r="B297" s="33" t="str">
        <f>'A) Base RI'!B299</f>
        <v>Molondin</v>
      </c>
      <c r="C297" s="311">
        <f>'B) D RI'!U299</f>
        <v>5323.6574375620139</v>
      </c>
      <c r="D297" s="33">
        <f>'B) D RI'!AA299</f>
        <v>232</v>
      </c>
      <c r="E297" s="211">
        <f t="shared" si="34"/>
        <v>22.946799299836268</v>
      </c>
      <c r="F297" s="409">
        <f t="shared" si="35"/>
        <v>0.5074380900310389</v>
      </c>
      <c r="G297" s="420">
        <f t="shared" si="36"/>
        <v>0</v>
      </c>
      <c r="H297" s="417">
        <f t="shared" si="37"/>
        <v>0</v>
      </c>
      <c r="I297" s="420">
        <f t="shared" si="38"/>
        <v>0</v>
      </c>
      <c r="J297" s="417">
        <f t="shared" si="39"/>
        <v>0</v>
      </c>
      <c r="K297" s="412">
        <f t="shared" si="40"/>
        <v>0</v>
      </c>
      <c r="L297" s="416">
        <f t="shared" si="41"/>
        <v>0</v>
      </c>
      <c r="M297" s="119">
        <f>L297*D297*'B) D RI'!S299</f>
        <v>0</v>
      </c>
    </row>
    <row r="298" spans="1:13" x14ac:dyDescent="0.25">
      <c r="A298" s="313">
        <f>'A) Base RI'!A300</f>
        <v>5922</v>
      </c>
      <c r="B298" s="33" t="str">
        <f>'A) Base RI'!B300</f>
        <v>Montagny-près-Yverdon</v>
      </c>
      <c r="C298" s="311">
        <f>'B) D RI'!U300</f>
        <v>42538.107931378596</v>
      </c>
      <c r="D298" s="33">
        <f>'B) D RI'!AA300</f>
        <v>717</v>
      </c>
      <c r="E298" s="211">
        <f t="shared" si="34"/>
        <v>59.327905064684231</v>
      </c>
      <c r="F298" s="409">
        <f t="shared" si="35"/>
        <v>1.3119580834866575</v>
      </c>
      <c r="G298" s="420">
        <f t="shared" si="36"/>
        <v>14.107020486562277</v>
      </c>
      <c r="H298" s="417">
        <f t="shared" si="37"/>
        <v>5.0628435709378863</v>
      </c>
      <c r="I298" s="420">
        <f t="shared" si="38"/>
        <v>0</v>
      </c>
      <c r="J298" s="417">
        <f t="shared" si="39"/>
        <v>0</v>
      </c>
      <c r="K298" s="412">
        <f t="shared" si="40"/>
        <v>0</v>
      </c>
      <c r="L298" s="416">
        <f t="shared" si="41"/>
        <v>3.3276884544062444</v>
      </c>
      <c r="M298" s="119">
        <f>L298*D298*'B) D RI'!S300</f>
        <v>145543.10993036593</v>
      </c>
    </row>
    <row r="299" spans="1:13" x14ac:dyDescent="0.25">
      <c r="A299" s="313">
        <f>'A) Base RI'!A301</f>
        <v>5923</v>
      </c>
      <c r="B299" s="33" t="str">
        <f>'A) Base RI'!B301</f>
        <v>Oppens</v>
      </c>
      <c r="C299" s="311">
        <f>'B) D RI'!U301</f>
        <v>4631.0916713851466</v>
      </c>
      <c r="D299" s="33">
        <f>'B) D RI'!AA301</f>
        <v>187</v>
      </c>
      <c r="E299" s="211">
        <f t="shared" si="34"/>
        <v>24.765196103663886</v>
      </c>
      <c r="F299" s="409">
        <f t="shared" si="35"/>
        <v>0.54764952819267465</v>
      </c>
      <c r="G299" s="420">
        <f t="shared" si="36"/>
        <v>0</v>
      </c>
      <c r="H299" s="417">
        <f t="shared" si="37"/>
        <v>0</v>
      </c>
      <c r="I299" s="420">
        <f t="shared" si="38"/>
        <v>0</v>
      </c>
      <c r="J299" s="417">
        <f t="shared" si="39"/>
        <v>0</v>
      </c>
      <c r="K299" s="412">
        <f t="shared" si="40"/>
        <v>0</v>
      </c>
      <c r="L299" s="416">
        <f t="shared" si="41"/>
        <v>0</v>
      </c>
      <c r="M299" s="119">
        <f>L299*D299*'B) D RI'!S301</f>
        <v>0</v>
      </c>
    </row>
    <row r="300" spans="1:13" x14ac:dyDescent="0.25">
      <c r="A300" s="313">
        <f>'A) Base RI'!A302</f>
        <v>5924</v>
      </c>
      <c r="B300" s="33" t="str">
        <f>'A) Base RI'!B302</f>
        <v>Orges</v>
      </c>
      <c r="C300" s="311">
        <f>'B) D RI'!U302</f>
        <v>10396.618626656635</v>
      </c>
      <c r="D300" s="33">
        <f>'B) D RI'!AA302</f>
        <v>336</v>
      </c>
      <c r="E300" s="211">
        <f t="shared" si="34"/>
        <v>30.942317341239985</v>
      </c>
      <c r="F300" s="409">
        <f t="shared" si="35"/>
        <v>0.68424838721996173</v>
      </c>
      <c r="G300" s="420">
        <f t="shared" si="36"/>
        <v>0</v>
      </c>
      <c r="H300" s="417">
        <f t="shared" si="37"/>
        <v>0</v>
      </c>
      <c r="I300" s="420">
        <f t="shared" si="38"/>
        <v>0</v>
      </c>
      <c r="J300" s="417">
        <f t="shared" si="39"/>
        <v>0</v>
      </c>
      <c r="K300" s="412">
        <f t="shared" si="40"/>
        <v>0</v>
      </c>
      <c r="L300" s="416">
        <f t="shared" si="41"/>
        <v>0</v>
      </c>
      <c r="M300" s="119">
        <f>L300*D300*'B) D RI'!S302</f>
        <v>0</v>
      </c>
    </row>
    <row r="301" spans="1:13" x14ac:dyDescent="0.25">
      <c r="A301" s="313">
        <f>'A) Base RI'!A303</f>
        <v>5925</v>
      </c>
      <c r="B301" s="33" t="str">
        <f>'A) Base RI'!B303</f>
        <v>Orzens</v>
      </c>
      <c r="C301" s="311">
        <f>'B) D RI'!U303</f>
        <v>4755.0256411268865</v>
      </c>
      <c r="D301" s="33">
        <f>'B) D RI'!AA303</f>
        <v>195</v>
      </c>
      <c r="E301" s="211">
        <f t="shared" si="34"/>
        <v>24.384746877573775</v>
      </c>
      <c r="F301" s="409">
        <f t="shared" si="35"/>
        <v>0.53923639718828531</v>
      </c>
      <c r="G301" s="420">
        <f t="shared" si="36"/>
        <v>0</v>
      </c>
      <c r="H301" s="417">
        <f t="shared" si="37"/>
        <v>0</v>
      </c>
      <c r="I301" s="420">
        <f t="shared" si="38"/>
        <v>0</v>
      </c>
      <c r="J301" s="417">
        <f t="shared" si="39"/>
        <v>0</v>
      </c>
      <c r="K301" s="412">
        <f t="shared" si="40"/>
        <v>0</v>
      </c>
      <c r="L301" s="416">
        <f t="shared" si="41"/>
        <v>0</v>
      </c>
      <c r="M301" s="119">
        <f>L301*D301*'B) D RI'!S303</f>
        <v>0</v>
      </c>
    </row>
    <row r="302" spans="1:13" x14ac:dyDescent="0.25">
      <c r="A302" s="313">
        <f>'A) Base RI'!A304</f>
        <v>5926</v>
      </c>
      <c r="B302" s="33" t="str">
        <f>'A) Base RI'!B304</f>
        <v>Pomy</v>
      </c>
      <c r="C302" s="311">
        <f>'B) D RI'!U304</f>
        <v>23259.861194280857</v>
      </c>
      <c r="D302" s="33">
        <f>'B) D RI'!AA304</f>
        <v>785</v>
      </c>
      <c r="E302" s="211">
        <f t="shared" si="34"/>
        <v>29.630396425835485</v>
      </c>
      <c r="F302" s="409">
        <f t="shared" si="35"/>
        <v>0.65523699286879478</v>
      </c>
      <c r="G302" s="420">
        <f t="shared" si="36"/>
        <v>0</v>
      </c>
      <c r="H302" s="417">
        <f t="shared" si="37"/>
        <v>0</v>
      </c>
      <c r="I302" s="420">
        <f t="shared" si="38"/>
        <v>0</v>
      </c>
      <c r="J302" s="417">
        <f t="shared" si="39"/>
        <v>0</v>
      </c>
      <c r="K302" s="412">
        <f t="shared" si="40"/>
        <v>0</v>
      </c>
      <c r="L302" s="416">
        <f t="shared" si="41"/>
        <v>0</v>
      </c>
      <c r="M302" s="119">
        <f>L302*D302*'B) D RI'!S304</f>
        <v>0</v>
      </c>
    </row>
    <row r="303" spans="1:13" x14ac:dyDescent="0.25">
      <c r="A303" s="313">
        <f>'A) Base RI'!A305</f>
        <v>5928</v>
      </c>
      <c r="B303" s="33" t="str">
        <f>'A) Base RI'!B305</f>
        <v>Rovray</v>
      </c>
      <c r="C303" s="311">
        <f>'B) D RI'!U305</f>
        <v>4486.3585880513701</v>
      </c>
      <c r="D303" s="33">
        <f>'B) D RI'!AA305</f>
        <v>187</v>
      </c>
      <c r="E303" s="211">
        <f t="shared" si="34"/>
        <v>23.991222395996633</v>
      </c>
      <c r="F303" s="409">
        <f t="shared" si="35"/>
        <v>0.53053412421754531</v>
      </c>
      <c r="G303" s="420">
        <f t="shared" si="36"/>
        <v>0</v>
      </c>
      <c r="H303" s="417">
        <f t="shared" si="37"/>
        <v>0</v>
      </c>
      <c r="I303" s="420">
        <f t="shared" si="38"/>
        <v>0</v>
      </c>
      <c r="J303" s="417">
        <f t="shared" si="39"/>
        <v>0</v>
      </c>
      <c r="K303" s="412">
        <f t="shared" si="40"/>
        <v>0</v>
      </c>
      <c r="L303" s="416">
        <f t="shared" si="41"/>
        <v>0</v>
      </c>
      <c r="M303" s="119">
        <f>L303*D303*'B) D RI'!S305</f>
        <v>0</v>
      </c>
    </row>
    <row r="304" spans="1:13" x14ac:dyDescent="0.25">
      <c r="A304" s="313">
        <f>'A) Base RI'!A306</f>
        <v>5929</v>
      </c>
      <c r="B304" s="33" t="str">
        <f>'A) Base RI'!B306</f>
        <v>Suchy</v>
      </c>
      <c r="C304" s="311">
        <f>'B) D RI'!U306</f>
        <v>17021.216382984901</v>
      </c>
      <c r="D304" s="33">
        <f>'B) D RI'!AA306</f>
        <v>605</v>
      </c>
      <c r="E304" s="211">
        <f t="shared" si="34"/>
        <v>28.134241955346944</v>
      </c>
      <c r="F304" s="409">
        <f t="shared" si="35"/>
        <v>0.62215151733140583</v>
      </c>
      <c r="G304" s="420">
        <f t="shared" si="36"/>
        <v>0</v>
      </c>
      <c r="H304" s="417">
        <f t="shared" si="37"/>
        <v>0</v>
      </c>
      <c r="I304" s="420">
        <f t="shared" si="38"/>
        <v>0</v>
      </c>
      <c r="J304" s="417">
        <f t="shared" si="39"/>
        <v>0</v>
      </c>
      <c r="K304" s="412">
        <f t="shared" si="40"/>
        <v>0</v>
      </c>
      <c r="L304" s="416">
        <f t="shared" si="41"/>
        <v>0</v>
      </c>
      <c r="M304" s="119">
        <f>L304*D304*'B) D RI'!S306</f>
        <v>0</v>
      </c>
    </row>
    <row r="305" spans="1:13" x14ac:dyDescent="0.25">
      <c r="A305" s="313">
        <f>'A) Base RI'!A307</f>
        <v>5930</v>
      </c>
      <c r="B305" s="33" t="str">
        <f>'A) Base RI'!B307</f>
        <v>Suscévaz</v>
      </c>
      <c r="C305" s="311">
        <f>'B) D RI'!U307</f>
        <v>5363.6524098848004</v>
      </c>
      <c r="D305" s="33">
        <f>'B) D RI'!AA307</f>
        <v>200</v>
      </c>
      <c r="E305" s="211">
        <f t="shared" si="34"/>
        <v>26.818262049424003</v>
      </c>
      <c r="F305" s="409">
        <f t="shared" si="35"/>
        <v>0.59305036377812892</v>
      </c>
      <c r="G305" s="420">
        <f t="shared" si="36"/>
        <v>0</v>
      </c>
      <c r="H305" s="417">
        <f t="shared" si="37"/>
        <v>0</v>
      </c>
      <c r="I305" s="420">
        <f t="shared" si="38"/>
        <v>0</v>
      </c>
      <c r="J305" s="417">
        <f t="shared" si="39"/>
        <v>0</v>
      </c>
      <c r="K305" s="412">
        <f t="shared" si="40"/>
        <v>0</v>
      </c>
      <c r="L305" s="416">
        <f t="shared" si="41"/>
        <v>0</v>
      </c>
      <c r="M305" s="119">
        <f>L305*D305*'B) D RI'!S307</f>
        <v>0</v>
      </c>
    </row>
    <row r="306" spans="1:13" x14ac:dyDescent="0.25">
      <c r="A306" s="313">
        <f>'A) Base RI'!A308</f>
        <v>5931</v>
      </c>
      <c r="B306" s="33" t="str">
        <f>'A) Base RI'!B308</f>
        <v>Treycovagnes</v>
      </c>
      <c r="C306" s="311">
        <f>'B) D RI'!U308</f>
        <v>13443.123228865978</v>
      </c>
      <c r="D306" s="33">
        <f>'B) D RI'!AA308</f>
        <v>456</v>
      </c>
      <c r="E306" s="211">
        <f t="shared" si="34"/>
        <v>29.480533396635916</v>
      </c>
      <c r="F306" s="409">
        <f t="shared" si="35"/>
        <v>0.65192297036353675</v>
      </c>
      <c r="G306" s="420">
        <f t="shared" si="36"/>
        <v>0</v>
      </c>
      <c r="H306" s="417">
        <f t="shared" si="37"/>
        <v>0</v>
      </c>
      <c r="I306" s="420">
        <f t="shared" si="38"/>
        <v>0</v>
      </c>
      <c r="J306" s="417">
        <f t="shared" si="39"/>
        <v>0</v>
      </c>
      <c r="K306" s="412">
        <f t="shared" si="40"/>
        <v>0</v>
      </c>
      <c r="L306" s="416">
        <f t="shared" si="41"/>
        <v>0</v>
      </c>
      <c r="M306" s="119">
        <f>L306*D306*'B) D RI'!S308</f>
        <v>0</v>
      </c>
    </row>
    <row r="307" spans="1:13" x14ac:dyDescent="0.25">
      <c r="A307" s="313">
        <f>'A) Base RI'!A309</f>
        <v>5932</v>
      </c>
      <c r="B307" s="33" t="str">
        <f>'A) Base RI'!B309</f>
        <v>Ursins</v>
      </c>
      <c r="C307" s="311">
        <f>'B) D RI'!U309</f>
        <v>6855.3003269100209</v>
      </c>
      <c r="D307" s="33">
        <f>'B) D RI'!AA309</f>
        <v>218</v>
      </c>
      <c r="E307" s="211">
        <f t="shared" si="34"/>
        <v>31.44633177481661</v>
      </c>
      <c r="F307" s="409">
        <f t="shared" si="35"/>
        <v>0.69539399921492184</v>
      </c>
      <c r="G307" s="420">
        <f t="shared" si="36"/>
        <v>0</v>
      </c>
      <c r="H307" s="417">
        <f t="shared" si="37"/>
        <v>0</v>
      </c>
      <c r="I307" s="420">
        <f t="shared" si="38"/>
        <v>0</v>
      </c>
      <c r="J307" s="417">
        <f t="shared" si="39"/>
        <v>0</v>
      </c>
      <c r="K307" s="412">
        <f t="shared" si="40"/>
        <v>0</v>
      </c>
      <c r="L307" s="416">
        <f t="shared" si="41"/>
        <v>0</v>
      </c>
      <c r="M307" s="119">
        <f>L307*D307*'B) D RI'!S309</f>
        <v>0</v>
      </c>
    </row>
    <row r="308" spans="1:13" x14ac:dyDescent="0.25">
      <c r="A308" s="313">
        <f>'A) Base RI'!A310</f>
        <v>5933</v>
      </c>
      <c r="B308" s="33" t="str">
        <f>'A) Base RI'!B310</f>
        <v>Valeyres-sous-Montagny</v>
      </c>
      <c r="C308" s="311">
        <f>'B) D RI'!U310</f>
        <v>20669.421262090575</v>
      </c>
      <c r="D308" s="33">
        <f>'B) D RI'!AA310</f>
        <v>705</v>
      </c>
      <c r="E308" s="211">
        <f t="shared" si="34"/>
        <v>29.318328031334147</v>
      </c>
      <c r="F308" s="409">
        <f t="shared" si="35"/>
        <v>0.64833601343390068</v>
      </c>
      <c r="G308" s="420">
        <f t="shared" si="36"/>
        <v>0</v>
      </c>
      <c r="H308" s="417">
        <f t="shared" si="37"/>
        <v>0</v>
      </c>
      <c r="I308" s="420">
        <f t="shared" si="38"/>
        <v>0</v>
      </c>
      <c r="J308" s="417">
        <f t="shared" si="39"/>
        <v>0</v>
      </c>
      <c r="K308" s="412">
        <f t="shared" si="40"/>
        <v>0</v>
      </c>
      <c r="L308" s="416">
        <f t="shared" si="41"/>
        <v>0</v>
      </c>
      <c r="M308" s="119">
        <f>L308*D308*'B) D RI'!S310</f>
        <v>0</v>
      </c>
    </row>
    <row r="309" spans="1:13" x14ac:dyDescent="0.25">
      <c r="A309" s="313">
        <f>'A) Base RI'!A311</f>
        <v>5934</v>
      </c>
      <c r="B309" s="33" t="str">
        <f>'A) Base RI'!B311</f>
        <v>Valeyres-sous-Ursins</v>
      </c>
      <c r="C309" s="311">
        <f>'B) D RI'!U311</f>
        <v>6791.6761133712571</v>
      </c>
      <c r="D309" s="33">
        <f>'B) D RI'!AA311</f>
        <v>238</v>
      </c>
      <c r="E309" s="211">
        <f t="shared" si="34"/>
        <v>28.536454257862424</v>
      </c>
      <c r="F309" s="409">
        <f t="shared" si="35"/>
        <v>0.63104590996144461</v>
      </c>
      <c r="G309" s="420">
        <f t="shared" si="36"/>
        <v>0</v>
      </c>
      <c r="H309" s="417">
        <f t="shared" si="37"/>
        <v>0</v>
      </c>
      <c r="I309" s="420">
        <f t="shared" si="38"/>
        <v>0</v>
      </c>
      <c r="J309" s="417">
        <f t="shared" si="39"/>
        <v>0</v>
      </c>
      <c r="K309" s="412">
        <f t="shared" si="40"/>
        <v>0</v>
      </c>
      <c r="L309" s="416">
        <f t="shared" si="41"/>
        <v>0</v>
      </c>
      <c r="M309" s="119">
        <f>L309*D309*'B) D RI'!S311</f>
        <v>0</v>
      </c>
    </row>
    <row r="310" spans="1:13" x14ac:dyDescent="0.25">
      <c r="A310" s="313">
        <f>'A) Base RI'!A312</f>
        <v>5935</v>
      </c>
      <c r="B310" s="33" t="str">
        <f>'A) Base RI'!B312</f>
        <v>Villars-Epeney</v>
      </c>
      <c r="C310" s="311">
        <f>'B) D RI'!U312</f>
        <v>5529.6840523560213</v>
      </c>
      <c r="D310" s="33">
        <f>'B) D RI'!AA312</f>
        <v>106</v>
      </c>
      <c r="E310" s="211">
        <f t="shared" si="34"/>
        <v>52.166830682603972</v>
      </c>
      <c r="F310" s="409">
        <f t="shared" si="35"/>
        <v>1.1536004032049054</v>
      </c>
      <c r="G310" s="420">
        <f t="shared" si="36"/>
        <v>6.9459461044820188</v>
      </c>
      <c r="H310" s="417">
        <f t="shared" si="37"/>
        <v>0</v>
      </c>
      <c r="I310" s="420">
        <f t="shared" si="38"/>
        <v>0</v>
      </c>
      <c r="J310" s="417">
        <f t="shared" si="39"/>
        <v>0</v>
      </c>
      <c r="K310" s="412">
        <f t="shared" si="40"/>
        <v>0</v>
      </c>
      <c r="L310" s="416">
        <f t="shared" si="41"/>
        <v>1.3891892208964038</v>
      </c>
      <c r="M310" s="119">
        <f>L310*D310*'B) D RI'!S312</f>
        <v>8835.2434449011289</v>
      </c>
    </row>
    <row r="311" spans="1:13" x14ac:dyDescent="0.25">
      <c r="A311" s="313">
        <f>'A) Base RI'!A313</f>
        <v>5937</v>
      </c>
      <c r="B311" s="33" t="str">
        <f>'A) Base RI'!B313</f>
        <v>Vugelles-La Mothe</v>
      </c>
      <c r="C311" s="311">
        <f>'B) D RI'!U313</f>
        <v>2865.8382395608655</v>
      </c>
      <c r="D311" s="33">
        <f>'B) D RI'!AA313</f>
        <v>122</v>
      </c>
      <c r="E311" s="211">
        <f t="shared" si="34"/>
        <v>23.490477373449718</v>
      </c>
      <c r="F311" s="409">
        <f t="shared" si="35"/>
        <v>0.51946081091953045</v>
      </c>
      <c r="G311" s="420">
        <f t="shared" si="36"/>
        <v>0</v>
      </c>
      <c r="H311" s="417">
        <f t="shared" si="37"/>
        <v>0</v>
      </c>
      <c r="I311" s="420">
        <f t="shared" si="38"/>
        <v>0</v>
      </c>
      <c r="J311" s="417">
        <f t="shared" si="39"/>
        <v>0</v>
      </c>
      <c r="K311" s="412">
        <f t="shared" si="40"/>
        <v>0</v>
      </c>
      <c r="L311" s="416">
        <f t="shared" si="41"/>
        <v>0</v>
      </c>
      <c r="M311" s="119">
        <f>L311*D311*'B) D RI'!S313</f>
        <v>0</v>
      </c>
    </row>
    <row r="312" spans="1:13" x14ac:dyDescent="0.25">
      <c r="A312" s="313">
        <f>'A) Base RI'!A314</f>
        <v>5938</v>
      </c>
      <c r="B312" s="33" t="str">
        <f>'A) Base RI'!B314</f>
        <v>Yverdon-les-Bains</v>
      </c>
      <c r="C312" s="311">
        <f>'B) D RI'!U314</f>
        <v>774260.97307948919</v>
      </c>
      <c r="D312" s="33">
        <f>'B) D RI'!AA314</f>
        <v>30208</v>
      </c>
      <c r="E312" s="211">
        <f t="shared" si="34"/>
        <v>25.630990899082665</v>
      </c>
      <c r="F312" s="409">
        <f t="shared" si="35"/>
        <v>0.56679543397262599</v>
      </c>
      <c r="G312" s="420">
        <f t="shared" si="36"/>
        <v>0</v>
      </c>
      <c r="H312" s="417">
        <f t="shared" si="37"/>
        <v>0</v>
      </c>
      <c r="I312" s="420">
        <f t="shared" si="38"/>
        <v>0</v>
      </c>
      <c r="J312" s="417">
        <f t="shared" si="39"/>
        <v>0</v>
      </c>
      <c r="K312" s="412">
        <f t="shared" si="40"/>
        <v>0</v>
      </c>
      <c r="L312" s="416">
        <f t="shared" si="41"/>
        <v>0</v>
      </c>
      <c r="M312" s="119">
        <f>L312*D312*'B) D RI'!S314</f>
        <v>0</v>
      </c>
    </row>
    <row r="313" spans="1:13" x14ac:dyDescent="0.25">
      <c r="A313" s="313">
        <f>'A) Base RI'!A315</f>
        <v>5939</v>
      </c>
      <c r="B313" s="33" t="str">
        <f>'A) Base RI'!B315</f>
        <v>Yvonand</v>
      </c>
      <c r="C313" s="311">
        <f>'B) D RI'!U315</f>
        <v>92761.457314991218</v>
      </c>
      <c r="D313" s="33">
        <f>'B) D RI'!AA315</f>
        <v>3351</v>
      </c>
      <c r="E313" s="211">
        <f t="shared" si="34"/>
        <v>27.681724056995289</v>
      </c>
      <c r="F313" s="409">
        <f t="shared" si="35"/>
        <v>0.61214468304292791</v>
      </c>
      <c r="G313" s="421">
        <f t="shared" si="36"/>
        <v>0</v>
      </c>
      <c r="H313" s="417">
        <f t="shared" si="37"/>
        <v>0</v>
      </c>
      <c r="I313" s="421">
        <f t="shared" si="38"/>
        <v>0</v>
      </c>
      <c r="J313" s="417">
        <f t="shared" si="39"/>
        <v>0</v>
      </c>
      <c r="K313" s="413">
        <f t="shared" si="40"/>
        <v>0</v>
      </c>
      <c r="L313" s="422">
        <f t="shared" si="41"/>
        <v>0</v>
      </c>
      <c r="M313" s="119">
        <f>L313*D313*'B) D RI'!S315</f>
        <v>0</v>
      </c>
    </row>
    <row r="314" spans="1:13" x14ac:dyDescent="0.25">
      <c r="A314" s="7"/>
      <c r="B314" s="124">
        <f>COUNTA(B5:B313)</f>
        <v>309</v>
      </c>
      <c r="C314" s="312">
        <f>SUM(C5:C313)</f>
        <v>35922747.174706832</v>
      </c>
      <c r="D314" s="287">
        <f>SUM(D5:D313)</f>
        <v>794384</v>
      </c>
      <c r="E314" s="63">
        <f>C314/D314</f>
        <v>45.220884578121954</v>
      </c>
      <c r="F314" s="64">
        <v>1</v>
      </c>
      <c r="G314" s="31"/>
      <c r="H314" s="31"/>
      <c r="I314" s="31"/>
      <c r="J314" s="31"/>
      <c r="K314" s="31"/>
      <c r="L314" s="415"/>
      <c r="M314" s="38">
        <f>SUM(M5:M313)</f>
        <v>117814186.50886749</v>
      </c>
    </row>
    <row r="315" spans="1:13" x14ac:dyDescent="0.25">
      <c r="M315" s="13"/>
    </row>
    <row r="317" spans="1:13" x14ac:dyDescent="0.25">
      <c r="F317" s="15"/>
    </row>
    <row r="318" spans="1:13" x14ac:dyDescent="0.25">
      <c r="F318" s="15"/>
    </row>
    <row r="319" spans="1:13" x14ac:dyDescent="0.25">
      <c r="F319" s="15"/>
      <c r="G319" s="18"/>
      <c r="H319" s="18"/>
    </row>
    <row r="320" spans="1:13" x14ac:dyDescent="0.25">
      <c r="E320" s="29"/>
    </row>
  </sheetData>
  <mergeCells count="6">
    <mergeCell ref="A3:A4"/>
    <mergeCell ref="B3:B4"/>
    <mergeCell ref="F3:F4"/>
    <mergeCell ref="C3:E3"/>
    <mergeCell ref="M3:M4"/>
    <mergeCell ref="L3:L4"/>
  </mergeCells>
  <phoneticPr fontId="9"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00B050"/>
  </sheetPr>
  <dimension ref="A1:AG332"/>
  <sheetViews>
    <sheetView workbookViewId="0">
      <selection activeCell="H19" sqref="H19"/>
    </sheetView>
  </sheetViews>
  <sheetFormatPr baseColWidth="10" defaultColWidth="10.75" defaultRowHeight="15" x14ac:dyDescent="0.25"/>
  <cols>
    <col min="1" max="1" width="7.25" style="13" customWidth="1"/>
    <col min="2" max="2" width="18" style="13" customWidth="1"/>
    <col min="3" max="3" width="10.375" style="13" customWidth="1"/>
    <col min="4" max="4" width="12.75" style="13" customWidth="1"/>
    <col min="5" max="5" width="10.75" style="13" bestFit="1" customWidth="1"/>
    <col min="6" max="6" width="15.125" style="13" customWidth="1"/>
    <col min="7" max="7" width="12.125" style="13" customWidth="1"/>
    <col min="8" max="8" width="9.25" style="13" customWidth="1"/>
    <col min="9" max="10" width="12.125" style="13" customWidth="1"/>
    <col min="11" max="11" width="9.25" style="13" customWidth="1"/>
    <col min="12" max="12" width="13" style="13" bestFit="1" customWidth="1"/>
    <col min="13" max="13" width="12.125" style="13" customWidth="1"/>
    <col min="14" max="14" width="14" style="13" customWidth="1"/>
    <col min="15" max="20" width="12.125" style="13" customWidth="1"/>
    <col min="21" max="23" width="8.125" style="13" customWidth="1"/>
    <col min="24" max="31" width="11" style="13" customWidth="1"/>
    <col min="32" max="32" width="9.25" style="13" customWidth="1"/>
    <col min="33" max="33" width="11" style="13" customWidth="1"/>
    <col min="34" max="16384" width="10.75" style="13"/>
  </cols>
  <sheetData>
    <row r="1" spans="1:33" s="44" customFormat="1" ht="20.25" customHeight="1" x14ac:dyDescent="0.25">
      <c r="A1" s="52" t="s">
        <v>93</v>
      </c>
      <c r="B1" s="43"/>
      <c r="C1" s="72"/>
      <c r="D1" s="72"/>
      <c r="E1" s="72"/>
      <c r="F1" s="72"/>
      <c r="G1" s="72"/>
      <c r="H1" s="72"/>
      <c r="I1" s="72"/>
      <c r="J1" s="72"/>
      <c r="K1" s="13"/>
      <c r="L1" s="13"/>
      <c r="M1" s="72"/>
      <c r="N1" s="13"/>
      <c r="O1" s="13"/>
      <c r="P1" s="13"/>
      <c r="Q1" s="13"/>
      <c r="R1" s="13"/>
      <c r="S1" s="13"/>
      <c r="T1" s="13"/>
      <c r="U1" s="13"/>
      <c r="V1" s="13"/>
      <c r="W1" s="13"/>
      <c r="X1" s="13"/>
      <c r="Y1" s="13"/>
      <c r="Z1" s="13"/>
      <c r="AA1" s="13"/>
      <c r="AB1" s="13"/>
      <c r="AC1" s="13"/>
      <c r="AD1" s="13"/>
      <c r="AE1" s="13"/>
      <c r="AF1" s="13"/>
      <c r="AG1" s="13"/>
    </row>
    <row r="2" spans="1:33" s="54" customFormat="1" x14ac:dyDescent="0.25">
      <c r="A2" s="28"/>
      <c r="D2" s="13"/>
      <c r="E2" s="13"/>
      <c r="F2" s="13"/>
      <c r="G2" s="13"/>
      <c r="K2" s="13"/>
      <c r="L2" s="13"/>
      <c r="N2" s="13"/>
      <c r="O2" s="13"/>
      <c r="P2" s="13"/>
      <c r="Q2" s="13"/>
      <c r="R2" s="13"/>
      <c r="S2" s="13"/>
      <c r="T2" s="13"/>
      <c r="U2" s="13"/>
      <c r="V2" s="13"/>
      <c r="W2" s="13"/>
      <c r="X2" s="13"/>
      <c r="Y2" s="13"/>
      <c r="Z2" s="13"/>
      <c r="AA2" s="13"/>
      <c r="AB2" s="13"/>
      <c r="AC2" s="13"/>
      <c r="AD2" s="13"/>
      <c r="AE2" s="13"/>
      <c r="AF2" s="13"/>
      <c r="AG2" s="13"/>
    </row>
    <row r="3" spans="1:33" s="54" customFormat="1" x14ac:dyDescent="0.25">
      <c r="A3" s="496" t="s">
        <v>92</v>
      </c>
      <c r="B3" s="497"/>
      <c r="C3" s="498"/>
      <c r="D3" s="65" t="s">
        <v>558</v>
      </c>
      <c r="E3" s="68" t="s">
        <v>558</v>
      </c>
      <c r="F3" s="13"/>
      <c r="G3" s="13"/>
      <c r="K3" s="13"/>
      <c r="L3" s="13"/>
      <c r="N3" s="13"/>
      <c r="O3" s="13"/>
      <c r="P3" s="13"/>
      <c r="Q3" s="13"/>
      <c r="R3" s="13"/>
      <c r="S3" s="13"/>
      <c r="T3" s="13"/>
      <c r="U3" s="13"/>
      <c r="V3" s="13"/>
      <c r="W3" s="13"/>
      <c r="X3" s="13"/>
      <c r="Y3" s="13"/>
      <c r="Z3" s="13"/>
      <c r="AA3" s="13"/>
      <c r="AB3" s="13"/>
      <c r="AC3" s="13"/>
      <c r="AD3" s="13"/>
      <c r="AE3" s="13"/>
      <c r="AF3" s="13"/>
      <c r="AG3" s="13"/>
    </row>
    <row r="4" spans="1:33" s="54" customFormat="1" x14ac:dyDescent="0.25">
      <c r="A4" s="83" t="s">
        <v>407</v>
      </c>
      <c r="B4" s="84"/>
      <c r="C4" s="93">
        <f>+Paramètres!B58</f>
        <v>817485000</v>
      </c>
      <c r="D4" s="91">
        <f>C4/$E$4</f>
        <v>22.756750646720871</v>
      </c>
      <c r="E4" s="96">
        <f>+'D) Ecrêtage'!C314</f>
        <v>35922747.174706832</v>
      </c>
      <c r="F4" s="13"/>
      <c r="G4" s="13"/>
      <c r="K4" s="13"/>
      <c r="L4" s="414"/>
      <c r="N4" s="13"/>
      <c r="O4" s="13"/>
      <c r="P4" s="13"/>
      <c r="Q4" s="13"/>
      <c r="R4" s="13"/>
      <c r="S4" s="13"/>
      <c r="T4" s="13"/>
      <c r="U4" s="13"/>
      <c r="V4" s="13"/>
      <c r="W4" s="13"/>
      <c r="X4" s="13"/>
      <c r="Y4" s="13"/>
      <c r="Z4" s="13"/>
      <c r="AA4" s="13"/>
      <c r="AB4" s="13"/>
      <c r="AC4" s="13"/>
      <c r="AD4" s="13"/>
      <c r="AE4" s="13"/>
      <c r="AF4" s="13"/>
      <c r="AG4" s="13"/>
    </row>
    <row r="5" spans="1:33" s="54" customFormat="1" x14ac:dyDescent="0.25">
      <c r="A5" s="85" t="s">
        <v>376</v>
      </c>
      <c r="B5" s="86"/>
      <c r="C5" s="9">
        <f>-'C) Prél. conj.'!H314</f>
        <v>-132947500.20500003</v>
      </c>
      <c r="D5" s="34">
        <f>C5/$E$4</f>
        <v>-3.7009279818835297</v>
      </c>
      <c r="E5" s="76"/>
      <c r="F5" s="13"/>
      <c r="G5" s="13"/>
      <c r="K5" s="13"/>
      <c r="L5" s="13"/>
      <c r="N5" s="13"/>
      <c r="O5" s="13"/>
      <c r="P5" s="13"/>
      <c r="Q5" s="13"/>
      <c r="R5" s="13"/>
      <c r="S5" s="13"/>
      <c r="T5" s="13"/>
      <c r="U5" s="13"/>
      <c r="V5" s="13"/>
      <c r="W5" s="13"/>
      <c r="X5" s="13"/>
      <c r="Y5" s="13"/>
      <c r="Z5" s="13"/>
      <c r="AA5" s="13"/>
      <c r="AB5" s="13"/>
      <c r="AC5" s="13"/>
      <c r="AD5" s="13"/>
      <c r="AE5" s="13"/>
      <c r="AF5" s="13"/>
      <c r="AG5" s="13"/>
    </row>
    <row r="6" spans="1:33" s="54" customFormat="1" x14ac:dyDescent="0.25">
      <c r="A6" s="87" t="s">
        <v>377</v>
      </c>
      <c r="B6" s="88"/>
      <c r="C6" s="94">
        <f>-'D) Ecrêtage'!M314</f>
        <v>-117814186.50886749</v>
      </c>
      <c r="D6" s="34">
        <f>C6/$E$4</f>
        <v>-3.2796541404778843</v>
      </c>
      <c r="E6" s="76"/>
      <c r="F6" s="13"/>
      <c r="G6" s="13"/>
      <c r="K6" s="13"/>
      <c r="L6" s="13"/>
      <c r="N6" s="13"/>
      <c r="O6" s="13"/>
      <c r="P6" s="13"/>
      <c r="Q6" s="13"/>
      <c r="R6" s="13"/>
      <c r="S6" s="13"/>
      <c r="T6" s="13"/>
      <c r="U6" s="13"/>
      <c r="V6" s="13"/>
      <c r="W6" s="13"/>
      <c r="X6" s="13"/>
      <c r="Y6" s="13"/>
      <c r="Z6" s="13"/>
      <c r="AA6" s="13"/>
      <c r="AB6" s="13"/>
      <c r="AC6" s="13"/>
      <c r="AD6" s="13"/>
      <c r="AE6" s="13"/>
      <c r="AF6" s="13"/>
      <c r="AG6" s="13"/>
    </row>
    <row r="7" spans="1:33" s="54" customFormat="1" x14ac:dyDescent="0.25">
      <c r="A7" s="79" t="s">
        <v>290</v>
      </c>
      <c r="B7" s="81"/>
      <c r="C7" s="95">
        <f>C4+C6+C5</f>
        <v>566723313.28613245</v>
      </c>
      <c r="D7" s="20">
        <f>C7/$E$4</f>
        <v>15.776168524359456</v>
      </c>
      <c r="E7" s="76"/>
      <c r="F7" s="13"/>
      <c r="G7" s="13"/>
      <c r="K7" s="13"/>
      <c r="L7" s="13"/>
      <c r="N7" s="13"/>
      <c r="O7" s="13"/>
      <c r="P7" s="13"/>
      <c r="Q7" s="13"/>
      <c r="R7" s="13"/>
      <c r="S7" s="13"/>
      <c r="T7" s="13"/>
      <c r="U7" s="13"/>
      <c r="V7" s="13"/>
      <c r="W7" s="13"/>
      <c r="X7" s="13"/>
      <c r="Y7" s="13"/>
      <c r="Z7" s="13"/>
      <c r="AA7" s="13"/>
      <c r="AB7" s="13"/>
      <c r="AC7" s="13"/>
      <c r="AD7" s="13"/>
      <c r="AE7" s="13"/>
      <c r="AF7" s="13"/>
      <c r="AG7" s="13"/>
    </row>
    <row r="8" spans="1:33" s="54" customFormat="1" x14ac:dyDescent="0.25">
      <c r="A8" s="28"/>
      <c r="D8" s="13"/>
      <c r="E8" s="13"/>
      <c r="F8" s="13"/>
      <c r="G8" s="13"/>
      <c r="K8" s="13"/>
      <c r="L8" s="13"/>
      <c r="N8" s="13"/>
      <c r="O8" s="13"/>
      <c r="P8" s="13"/>
      <c r="Q8" s="13"/>
      <c r="R8" s="13"/>
      <c r="S8" s="13"/>
      <c r="T8" s="13"/>
      <c r="U8" s="13"/>
      <c r="V8" s="13"/>
      <c r="W8" s="13"/>
      <c r="X8" s="13"/>
      <c r="Y8" s="13"/>
      <c r="Z8" s="13"/>
      <c r="AA8" s="13"/>
      <c r="AB8" s="13"/>
      <c r="AC8" s="13"/>
      <c r="AD8" s="13"/>
      <c r="AE8" s="13"/>
      <c r="AF8" s="13"/>
      <c r="AG8" s="13"/>
    </row>
    <row r="9" spans="1:33" ht="38.25" customHeight="1" x14ac:dyDescent="0.25">
      <c r="A9" s="485" t="s">
        <v>46</v>
      </c>
      <c r="B9" s="485" t="s">
        <v>96</v>
      </c>
      <c r="C9" s="485" t="s">
        <v>304</v>
      </c>
      <c r="D9" s="485" t="s">
        <v>436</v>
      </c>
      <c r="E9" s="501" t="s">
        <v>474</v>
      </c>
      <c r="F9" s="302" t="s">
        <v>557</v>
      </c>
      <c r="G9" s="499" t="s">
        <v>406</v>
      </c>
    </row>
    <row r="10" spans="1:33" x14ac:dyDescent="0.25">
      <c r="A10" s="487"/>
      <c r="B10" s="487"/>
      <c r="C10" s="487"/>
      <c r="D10" s="487"/>
      <c r="E10" s="502"/>
      <c r="F10" s="317">
        <f>D7</f>
        <v>15.776168524359456</v>
      </c>
      <c r="G10" s="500"/>
    </row>
    <row r="11" spans="1:33" x14ac:dyDescent="0.25">
      <c r="A11" s="50">
        <f>'A) Base RI'!A7</f>
        <v>5401</v>
      </c>
      <c r="B11" s="308" t="str">
        <f>'A) Base RI'!B7</f>
        <v>Aigle</v>
      </c>
      <c r="C11" s="10">
        <f>'A) Base RI'!V7</f>
        <v>10153</v>
      </c>
      <c r="D11" s="14">
        <f>'C) Prél. conj.'!H5</f>
        <v>1280761.5049999999</v>
      </c>
      <c r="E11" s="10">
        <f>'D) Ecrêtage'!M5</f>
        <v>0</v>
      </c>
      <c r="F11" s="14">
        <f>$F$10*'D) Ecrêtage'!C5</f>
        <v>4162742.1178761125</v>
      </c>
      <c r="G11" s="58">
        <f>D11+F11+E11</f>
        <v>5443503.6228761123</v>
      </c>
    </row>
    <row r="12" spans="1:33" x14ac:dyDescent="0.25">
      <c r="A12" s="50">
        <f>'A) Base RI'!A8</f>
        <v>5402</v>
      </c>
      <c r="B12" s="308" t="str">
        <f>'A) Base RI'!B8</f>
        <v>Bex</v>
      </c>
      <c r="C12" s="10">
        <f>'A) Base RI'!V8</f>
        <v>7719</v>
      </c>
      <c r="D12" s="14">
        <f>'C) Prél. conj.'!H6</f>
        <v>887740.06500000006</v>
      </c>
      <c r="E12" s="10">
        <f>'D) Ecrêtage'!M6</f>
        <v>0</v>
      </c>
      <c r="F12" s="14">
        <f>$F$10*'D) Ecrêtage'!C6</f>
        <v>2739229.63506361</v>
      </c>
      <c r="G12" s="58">
        <f t="shared" ref="G12:G75" si="0">D12+F12+E12</f>
        <v>3626969.70006361</v>
      </c>
    </row>
    <row r="13" spans="1:33" x14ac:dyDescent="0.25">
      <c r="A13" s="50">
        <f>'A) Base RI'!A9</f>
        <v>5403</v>
      </c>
      <c r="B13" s="308" t="str">
        <f>'A) Base RI'!B9</f>
        <v>Chessel</v>
      </c>
      <c r="C13" s="10">
        <f>'A) Base RI'!V9</f>
        <v>403</v>
      </c>
      <c r="D13" s="14">
        <f>'C) Prél. conj.'!H7</f>
        <v>35621.384999999995</v>
      </c>
      <c r="E13" s="10">
        <f>'D) Ecrêtage'!M7</f>
        <v>0</v>
      </c>
      <c r="F13" s="14">
        <f>$F$10*'D) Ecrêtage'!C7</f>
        <v>153567.6036328816</v>
      </c>
      <c r="G13" s="58">
        <f t="shared" si="0"/>
        <v>189188.98863288161</v>
      </c>
    </row>
    <row r="14" spans="1:33" x14ac:dyDescent="0.25">
      <c r="A14" s="50">
        <f>'A) Base RI'!A10</f>
        <v>5404</v>
      </c>
      <c r="B14" s="308" t="str">
        <f>'A) Base RI'!B10</f>
        <v>Corbeyrier</v>
      </c>
      <c r="C14" s="10">
        <f>'A) Base RI'!V10</f>
        <v>437</v>
      </c>
      <c r="D14" s="14">
        <f>'C) Prél. conj.'!H8</f>
        <v>197377.27499999999</v>
      </c>
      <c r="E14" s="10">
        <f>'D) Ecrêtage'!M8</f>
        <v>0</v>
      </c>
      <c r="F14" s="14">
        <f>$F$10*'D) Ecrêtage'!C8</f>
        <v>171402.77172703354</v>
      </c>
      <c r="G14" s="58">
        <f t="shared" si="0"/>
        <v>368780.04672703356</v>
      </c>
    </row>
    <row r="15" spans="1:33" x14ac:dyDescent="0.25">
      <c r="A15" s="50">
        <f>'A) Base RI'!A11</f>
        <v>5405</v>
      </c>
      <c r="B15" s="308" t="str">
        <f>'A) Base RI'!B11</f>
        <v>Gryon</v>
      </c>
      <c r="C15" s="10">
        <f>'A) Base RI'!V11</f>
        <v>1364</v>
      </c>
      <c r="D15" s="14">
        <f>'C) Prél. conj.'!H9</f>
        <v>324099.375</v>
      </c>
      <c r="E15" s="10">
        <f>'D) Ecrêtage'!M9</f>
        <v>122117.5961982913</v>
      </c>
      <c r="F15" s="14">
        <f>$F$10*'D) Ecrêtage'!C9</f>
        <v>1101530.8901360426</v>
      </c>
      <c r="G15" s="58">
        <f t="shared" si="0"/>
        <v>1547747.8613343339</v>
      </c>
    </row>
    <row r="16" spans="1:33" x14ac:dyDescent="0.25">
      <c r="A16" s="50">
        <f>'A) Base RI'!A12</f>
        <v>5406</v>
      </c>
      <c r="B16" s="308" t="str">
        <f>'A) Base RI'!B12</f>
        <v>Lavey-Morcles</v>
      </c>
      <c r="C16" s="10">
        <f>'A) Base RI'!V12</f>
        <v>926</v>
      </c>
      <c r="D16" s="14">
        <f>'C) Prél. conj.'!H10</f>
        <v>77750.899999999994</v>
      </c>
      <c r="E16" s="10">
        <f>'D) Ecrêtage'!M10</f>
        <v>0</v>
      </c>
      <c r="F16" s="14">
        <f>$F$10*'D) Ecrêtage'!C10</f>
        <v>339643.9594600437</v>
      </c>
      <c r="G16" s="58">
        <f t="shared" si="0"/>
        <v>417394.85946004372</v>
      </c>
    </row>
    <row r="17" spans="1:7" x14ac:dyDescent="0.25">
      <c r="A17" s="50">
        <f>'A) Base RI'!A13</f>
        <v>5407</v>
      </c>
      <c r="B17" s="308" t="str">
        <f>'A) Base RI'!B13</f>
        <v>Leysin</v>
      </c>
      <c r="C17" s="10">
        <f>'A) Base RI'!V13</f>
        <v>4023</v>
      </c>
      <c r="D17" s="14">
        <f>'C) Prél. conj.'!H11</f>
        <v>350943.45</v>
      </c>
      <c r="E17" s="10">
        <f>'D) Ecrêtage'!M11</f>
        <v>0</v>
      </c>
      <c r="F17" s="14">
        <f>$F$10*'D) Ecrêtage'!C11</f>
        <v>1428280.6282061846</v>
      </c>
      <c r="G17" s="58">
        <f t="shared" si="0"/>
        <v>1779224.0782061846</v>
      </c>
    </row>
    <row r="18" spans="1:7" x14ac:dyDescent="0.25">
      <c r="A18" s="50">
        <f>'A) Base RI'!A14</f>
        <v>5408</v>
      </c>
      <c r="B18" s="308" t="str">
        <f>'A) Base RI'!B14</f>
        <v>Noville</v>
      </c>
      <c r="C18" s="10">
        <f>'A) Base RI'!V14</f>
        <v>1055</v>
      </c>
      <c r="D18" s="14">
        <f>'C) Prél. conj.'!H12</f>
        <v>142205.97500000001</v>
      </c>
      <c r="E18" s="10">
        <f>'D) Ecrêtage'!M12</f>
        <v>0</v>
      </c>
      <c r="F18" s="14">
        <f>$F$10*'D) Ecrêtage'!C12</f>
        <v>500668.22304881766</v>
      </c>
      <c r="G18" s="58">
        <f t="shared" si="0"/>
        <v>642874.19804881769</v>
      </c>
    </row>
    <row r="19" spans="1:7" x14ac:dyDescent="0.25">
      <c r="A19" s="50">
        <f>'A) Base RI'!A15</f>
        <v>5409</v>
      </c>
      <c r="B19" s="308" t="str">
        <f>'A) Base RI'!B15</f>
        <v>Ollon</v>
      </c>
      <c r="C19" s="10">
        <f>'A) Base RI'!V15</f>
        <v>7494</v>
      </c>
      <c r="D19" s="14">
        <f>'C) Prél. conj.'!H13</f>
        <v>1467573.6099999999</v>
      </c>
      <c r="E19" s="10">
        <f>'D) Ecrêtage'!M13</f>
        <v>387336.29644390463</v>
      </c>
      <c r="F19" s="14">
        <f>$F$10*'D) Ecrêtage'!C13</f>
        <v>5795626.6492138878</v>
      </c>
      <c r="G19" s="58">
        <f t="shared" si="0"/>
        <v>7650536.5556577919</v>
      </c>
    </row>
    <row r="20" spans="1:7" x14ac:dyDescent="0.25">
      <c r="A20" s="50">
        <f>'A) Base RI'!A16</f>
        <v>5410</v>
      </c>
      <c r="B20" s="308" t="str">
        <f>'A) Base RI'!B16</f>
        <v>Ormont-Dessous</v>
      </c>
      <c r="C20" s="10">
        <f>'A) Base RI'!V16</f>
        <v>1117</v>
      </c>
      <c r="D20" s="14">
        <f>'C) Prél. conj.'!H14</f>
        <v>202023.125</v>
      </c>
      <c r="E20" s="10">
        <f>'D) Ecrêtage'!M14</f>
        <v>0</v>
      </c>
      <c r="F20" s="14">
        <f>$F$10*'D) Ecrêtage'!C14</f>
        <v>592960.71545456338</v>
      </c>
      <c r="G20" s="58">
        <f t="shared" si="0"/>
        <v>794983.84045456338</v>
      </c>
    </row>
    <row r="21" spans="1:7" x14ac:dyDescent="0.25">
      <c r="A21" s="50">
        <f>'A) Base RI'!A17</f>
        <v>5411</v>
      </c>
      <c r="B21" s="308" t="str">
        <f>'A) Base RI'!B17</f>
        <v>Ormont-Dessus</v>
      </c>
      <c r="C21" s="10">
        <f>'A) Base RI'!V17</f>
        <v>1467</v>
      </c>
      <c r="D21" s="14">
        <f>'C) Prél. conj.'!H15</f>
        <v>262764.40000000002</v>
      </c>
      <c r="E21" s="10">
        <f>'D) Ecrêtage'!M15</f>
        <v>185356.82265653869</v>
      </c>
      <c r="F21" s="14">
        <f>$F$10*'D) Ecrêtage'!C15</f>
        <v>1238958.7638700467</v>
      </c>
      <c r="G21" s="58">
        <f t="shared" si="0"/>
        <v>1687079.9865265856</v>
      </c>
    </row>
    <row r="22" spans="1:7" x14ac:dyDescent="0.25">
      <c r="A22" s="50">
        <f>'A) Base RI'!A18</f>
        <v>5412</v>
      </c>
      <c r="B22" s="308" t="str">
        <f>'A) Base RI'!B18</f>
        <v>Rennaz</v>
      </c>
      <c r="C22" s="10">
        <f>'A) Base RI'!V18</f>
        <v>839</v>
      </c>
      <c r="D22" s="14">
        <f>'C) Prél. conj.'!H16</f>
        <v>76388.789999999994</v>
      </c>
      <c r="E22" s="10">
        <f>'D) Ecrêtage'!M16</f>
        <v>0</v>
      </c>
      <c r="F22" s="14">
        <f>$F$10*'D) Ecrêtage'!C16</f>
        <v>484067.11099823122</v>
      </c>
      <c r="G22" s="58">
        <f t="shared" si="0"/>
        <v>560455.90099823126</v>
      </c>
    </row>
    <row r="23" spans="1:7" x14ac:dyDescent="0.25">
      <c r="A23" s="50">
        <f>'A) Base RI'!A19</f>
        <v>5413</v>
      </c>
      <c r="B23" s="308" t="str">
        <f>'A) Base RI'!B19</f>
        <v>Roche</v>
      </c>
      <c r="C23" s="10">
        <f>'A) Base RI'!V19</f>
        <v>1650</v>
      </c>
      <c r="D23" s="14">
        <f>'C) Prél. conj.'!H17</f>
        <v>163136.33500000002</v>
      </c>
      <c r="E23" s="10">
        <f>'D) Ecrêtage'!M17</f>
        <v>0</v>
      </c>
      <c r="F23" s="14">
        <f>$F$10*'D) Ecrêtage'!C17</f>
        <v>579837.74106904096</v>
      </c>
      <c r="G23" s="58">
        <f t="shared" si="0"/>
        <v>742974.07606904092</v>
      </c>
    </row>
    <row r="24" spans="1:7" x14ac:dyDescent="0.25">
      <c r="A24" s="50">
        <f>'A) Base RI'!A20</f>
        <v>5414</v>
      </c>
      <c r="B24" s="308" t="str">
        <f>'A) Base RI'!B20</f>
        <v>Villeneuve</v>
      </c>
      <c r="C24" s="10">
        <f>'A) Base RI'!V20</f>
        <v>5672</v>
      </c>
      <c r="D24" s="14">
        <f>'C) Prél. conj.'!H18</f>
        <v>963159.67500000005</v>
      </c>
      <c r="E24" s="10">
        <f>'D) Ecrêtage'!M18</f>
        <v>0</v>
      </c>
      <c r="F24" s="14">
        <f>$F$10*'D) Ecrêtage'!C18</f>
        <v>2545864.7707131128</v>
      </c>
      <c r="G24" s="58">
        <f t="shared" si="0"/>
        <v>3509024.4457131131</v>
      </c>
    </row>
    <row r="25" spans="1:7" x14ac:dyDescent="0.25">
      <c r="A25" s="50">
        <f>'A) Base RI'!A21</f>
        <v>5415</v>
      </c>
      <c r="B25" s="308" t="str">
        <f>'A) Base RI'!B21</f>
        <v>Yvorne</v>
      </c>
      <c r="C25" s="10">
        <f>'A) Base RI'!V21</f>
        <v>1057</v>
      </c>
      <c r="D25" s="14">
        <f>'C) Prél. conj.'!H19</f>
        <v>125816.31</v>
      </c>
      <c r="E25" s="10">
        <f>'D) Ecrêtage'!M19</f>
        <v>0</v>
      </c>
      <c r="F25" s="14">
        <f>$F$10*'D) Ecrêtage'!C19</f>
        <v>542967.04689951206</v>
      </c>
      <c r="G25" s="58">
        <f t="shared" si="0"/>
        <v>668783.356899512</v>
      </c>
    </row>
    <row r="26" spans="1:7" x14ac:dyDescent="0.25">
      <c r="A26" s="50">
        <f>'A) Base RI'!A22</f>
        <v>5421</v>
      </c>
      <c r="B26" s="308" t="str">
        <f>'A) Base RI'!B22</f>
        <v>Apples</v>
      </c>
      <c r="C26" s="10">
        <f>'A) Base RI'!V22</f>
        <v>1437</v>
      </c>
      <c r="D26" s="14">
        <f>'C) Prél. conj.'!H20</f>
        <v>129860.14500000002</v>
      </c>
      <c r="E26" s="10">
        <f>'D) Ecrêtage'!M20</f>
        <v>0</v>
      </c>
      <c r="F26" s="14">
        <f>$F$10*'D) Ecrêtage'!C20</f>
        <v>924848.90556159115</v>
      </c>
      <c r="G26" s="58">
        <f t="shared" si="0"/>
        <v>1054709.0505615911</v>
      </c>
    </row>
    <row r="27" spans="1:7" x14ac:dyDescent="0.25">
      <c r="A27" s="50">
        <f>'A) Base RI'!A23</f>
        <v>5422</v>
      </c>
      <c r="B27" s="308" t="str">
        <f>'A) Base RI'!B23</f>
        <v>Aubonne</v>
      </c>
      <c r="C27" s="10">
        <f>'A) Base RI'!V23</f>
        <v>3269</v>
      </c>
      <c r="D27" s="14">
        <f>'C) Prél. conj.'!H21</f>
        <v>701334.78</v>
      </c>
      <c r="E27" s="10">
        <f>'D) Ecrêtage'!M21</f>
        <v>1920629.3449192543</v>
      </c>
      <c r="F27" s="14">
        <f>$F$10*'D) Ecrêtage'!C21</f>
        <v>3854247.0543599161</v>
      </c>
      <c r="G27" s="58">
        <f t="shared" si="0"/>
        <v>6476211.17927917</v>
      </c>
    </row>
    <row r="28" spans="1:7" x14ac:dyDescent="0.25">
      <c r="A28" s="50">
        <f>'A) Base RI'!A24</f>
        <v>5423</v>
      </c>
      <c r="B28" s="308" t="str">
        <f>'A) Base RI'!B24</f>
        <v>Ballens</v>
      </c>
      <c r="C28" s="10">
        <f>'A) Base RI'!V24</f>
        <v>527</v>
      </c>
      <c r="D28" s="14">
        <f>'C) Prél. conj.'!H22</f>
        <v>70321.574999999997</v>
      </c>
      <c r="E28" s="10">
        <f>'D) Ecrêtage'!M22</f>
        <v>0</v>
      </c>
      <c r="F28" s="14">
        <f>$F$10*'D) Ecrêtage'!C22</f>
        <v>265485.27138763224</v>
      </c>
      <c r="G28" s="58">
        <f t="shared" si="0"/>
        <v>335806.84638763225</v>
      </c>
    </row>
    <row r="29" spans="1:7" x14ac:dyDescent="0.25">
      <c r="A29" s="50">
        <f>'A) Base RI'!A25</f>
        <v>5424</v>
      </c>
      <c r="B29" s="308" t="str">
        <f>'A) Base RI'!B25</f>
        <v>Berolle</v>
      </c>
      <c r="C29" s="10">
        <f>'A) Base RI'!V25</f>
        <v>301</v>
      </c>
      <c r="D29" s="14">
        <f>'C) Prél. conj.'!H23</f>
        <v>20209.824999999997</v>
      </c>
      <c r="E29" s="10">
        <f>'D) Ecrêtage'!M23</f>
        <v>0</v>
      </c>
      <c r="F29" s="14">
        <f>$F$10*'D) Ecrêtage'!C23</f>
        <v>178808.64913455895</v>
      </c>
      <c r="G29" s="58">
        <f t="shared" si="0"/>
        <v>199018.47413455893</v>
      </c>
    </row>
    <row r="30" spans="1:7" x14ac:dyDescent="0.25">
      <c r="A30" s="50">
        <f>'A) Base RI'!A26</f>
        <v>5425</v>
      </c>
      <c r="B30" s="308" t="str">
        <f>'A) Base RI'!B26</f>
        <v>Bière</v>
      </c>
      <c r="C30" s="10">
        <f>'A) Base RI'!V26</f>
        <v>1577</v>
      </c>
      <c r="D30" s="14">
        <f>'C) Prél. conj.'!H24</f>
        <v>77702.084999999992</v>
      </c>
      <c r="E30" s="10">
        <f>'D) Ecrêtage'!M24</f>
        <v>0</v>
      </c>
      <c r="F30" s="14">
        <f>$F$10*'D) Ecrêtage'!C24</f>
        <v>640188.83895219688</v>
      </c>
      <c r="G30" s="58">
        <f t="shared" si="0"/>
        <v>717890.92395219684</v>
      </c>
    </row>
    <row r="31" spans="1:7" x14ac:dyDescent="0.25">
      <c r="A31" s="50">
        <f>'A) Base RI'!A27</f>
        <v>5426</v>
      </c>
      <c r="B31" s="308" t="str">
        <f>'A) Base RI'!B27</f>
        <v>Bougy-Villars</v>
      </c>
      <c r="C31" s="10">
        <f>'A) Base RI'!V27</f>
        <v>483</v>
      </c>
      <c r="D31" s="14">
        <f>'C) Prél. conj.'!H25</f>
        <v>418518.935</v>
      </c>
      <c r="E31" s="10">
        <f>'D) Ecrêtage'!M25</f>
        <v>612654.54808381444</v>
      </c>
      <c r="F31" s="14">
        <f>$F$10*'D) Ecrêtage'!C25</f>
        <v>754623.83943484537</v>
      </c>
      <c r="G31" s="58">
        <f t="shared" si="0"/>
        <v>1785797.3225186598</v>
      </c>
    </row>
    <row r="32" spans="1:7" x14ac:dyDescent="0.25">
      <c r="A32" s="50">
        <f>'A) Base RI'!A28</f>
        <v>5427</v>
      </c>
      <c r="B32" s="308" t="str">
        <f>'A) Base RI'!B28</f>
        <v>Féchy</v>
      </c>
      <c r="C32" s="10">
        <f>'A) Base RI'!V28</f>
        <v>895</v>
      </c>
      <c r="D32" s="14">
        <f>'C) Prél. conj.'!H26</f>
        <v>244792.375</v>
      </c>
      <c r="E32" s="10">
        <f>'D) Ecrêtage'!M26</f>
        <v>812886.2986647092</v>
      </c>
      <c r="F32" s="14">
        <f>$F$10*'D) Ecrêtage'!C26</f>
        <v>1251188.7384708331</v>
      </c>
      <c r="G32" s="58">
        <f t="shared" si="0"/>
        <v>2308867.4121355424</v>
      </c>
    </row>
    <row r="33" spans="1:7" x14ac:dyDescent="0.25">
      <c r="A33" s="50">
        <f>'A) Base RI'!A29</f>
        <v>5428</v>
      </c>
      <c r="B33" s="308" t="str">
        <f>'A) Base RI'!B29</f>
        <v>Gimel</v>
      </c>
      <c r="C33" s="10">
        <f>'A) Base RI'!V29</f>
        <v>2016</v>
      </c>
      <c r="D33" s="14">
        <f>'C) Prél. conj.'!H27</f>
        <v>421912.82499999995</v>
      </c>
      <c r="E33" s="10">
        <f>'D) Ecrêtage'!M27</f>
        <v>0</v>
      </c>
      <c r="F33" s="14">
        <f>$F$10*'D) Ecrêtage'!C27</f>
        <v>973839.64239569311</v>
      </c>
      <c r="G33" s="58">
        <f t="shared" si="0"/>
        <v>1395752.4673956931</v>
      </c>
    </row>
    <row r="34" spans="1:7" x14ac:dyDescent="0.25">
      <c r="A34" s="50">
        <f>'A) Base RI'!A30</f>
        <v>5429</v>
      </c>
      <c r="B34" s="308" t="str">
        <f>'A) Base RI'!B30</f>
        <v>Longirod</v>
      </c>
      <c r="C34" s="10">
        <f>'A) Base RI'!V30</f>
        <v>469</v>
      </c>
      <c r="D34" s="14">
        <f>'C) Prél. conj.'!H28</f>
        <v>41538.649999999994</v>
      </c>
      <c r="E34" s="10">
        <f>'D) Ecrêtage'!M28</f>
        <v>0</v>
      </c>
      <c r="F34" s="14">
        <f>$F$10*'D) Ecrêtage'!C28</f>
        <v>235692.52984570767</v>
      </c>
      <c r="G34" s="58">
        <f t="shared" si="0"/>
        <v>277231.17984570767</v>
      </c>
    </row>
    <row r="35" spans="1:7" x14ac:dyDescent="0.25">
      <c r="A35" s="50">
        <f>'A) Base RI'!A31</f>
        <v>5430</v>
      </c>
      <c r="B35" s="308" t="str">
        <f>'A) Base RI'!B31</f>
        <v>Marchissy</v>
      </c>
      <c r="C35" s="10">
        <f>'A) Base RI'!V31</f>
        <v>455</v>
      </c>
      <c r="D35" s="14">
        <f>'C) Prél. conj.'!H29</f>
        <v>52078.805</v>
      </c>
      <c r="E35" s="10">
        <f>'D) Ecrêtage'!M29</f>
        <v>0</v>
      </c>
      <c r="F35" s="14">
        <f>$F$10*'D) Ecrêtage'!C29</f>
        <v>214772.52069194496</v>
      </c>
      <c r="G35" s="58">
        <f t="shared" si="0"/>
        <v>266851.32569194498</v>
      </c>
    </row>
    <row r="36" spans="1:7" x14ac:dyDescent="0.25">
      <c r="A36" s="50">
        <f>'A) Base RI'!A32</f>
        <v>5431</v>
      </c>
      <c r="B36" s="308" t="str">
        <f>'A) Base RI'!B32</f>
        <v>Mollens</v>
      </c>
      <c r="C36" s="10">
        <f>'A) Base RI'!V32</f>
        <v>301</v>
      </c>
      <c r="D36" s="14">
        <f>'C) Prél. conj.'!H30</f>
        <v>14493.800000000001</v>
      </c>
      <c r="E36" s="10">
        <f>'D) Ecrêtage'!M30</f>
        <v>0</v>
      </c>
      <c r="F36" s="14">
        <f>$F$10*'D) Ecrêtage'!C30</f>
        <v>141575.04000146329</v>
      </c>
      <c r="G36" s="58">
        <f t="shared" si="0"/>
        <v>156068.84000146328</v>
      </c>
    </row>
    <row r="37" spans="1:7" x14ac:dyDescent="0.25">
      <c r="A37" s="50">
        <f>'A) Base RI'!A33</f>
        <v>5432</v>
      </c>
      <c r="B37" s="308" t="str">
        <f>'A) Base RI'!B33</f>
        <v>Montherod</v>
      </c>
      <c r="C37" s="10">
        <f>'A) Base RI'!V33</f>
        <v>534</v>
      </c>
      <c r="D37" s="14">
        <f>'C) Prél. conj.'!H31</f>
        <v>60137.34</v>
      </c>
      <c r="E37" s="10">
        <f>'D) Ecrêtage'!M31</f>
        <v>0</v>
      </c>
      <c r="F37" s="14">
        <f>$F$10*'D) Ecrêtage'!C31</f>
        <v>282192.46258299093</v>
      </c>
      <c r="G37" s="58">
        <f t="shared" si="0"/>
        <v>342329.80258299096</v>
      </c>
    </row>
    <row r="38" spans="1:7" x14ac:dyDescent="0.25">
      <c r="A38" s="50">
        <f>'A) Base RI'!A34</f>
        <v>5434</v>
      </c>
      <c r="B38" s="308" t="str">
        <f>'A) Base RI'!B34</f>
        <v>Saint-George</v>
      </c>
      <c r="C38" s="10">
        <f>'A) Base RI'!V34</f>
        <v>1031</v>
      </c>
      <c r="D38" s="14">
        <f>'C) Prél. conj.'!H32</f>
        <v>224882.54500000001</v>
      </c>
      <c r="E38" s="10">
        <f>'D) Ecrêtage'!M32</f>
        <v>0</v>
      </c>
      <c r="F38" s="14">
        <f>$F$10*'D) Ecrêtage'!C32</f>
        <v>585822.84738630767</v>
      </c>
      <c r="G38" s="58">
        <f t="shared" si="0"/>
        <v>810705.39238630771</v>
      </c>
    </row>
    <row r="39" spans="1:7" x14ac:dyDescent="0.25">
      <c r="A39" s="50">
        <f>'A) Base RI'!A35</f>
        <v>5435</v>
      </c>
      <c r="B39" s="308" t="str">
        <f>'A) Base RI'!B35</f>
        <v>Saint-Livres</v>
      </c>
      <c r="C39" s="10">
        <f>'A) Base RI'!V35</f>
        <v>683</v>
      </c>
      <c r="D39" s="14">
        <f>'C) Prél. conj.'!H33</f>
        <v>4404.9400000000005</v>
      </c>
      <c r="E39" s="10">
        <f>'D) Ecrêtage'!M33</f>
        <v>0</v>
      </c>
      <c r="F39" s="14">
        <f>$F$10*'D) Ecrêtage'!C33</f>
        <v>404495.92859545728</v>
      </c>
      <c r="G39" s="58">
        <f t="shared" si="0"/>
        <v>408900.86859545729</v>
      </c>
    </row>
    <row r="40" spans="1:7" x14ac:dyDescent="0.25">
      <c r="A40" s="50">
        <f>'A) Base RI'!A36</f>
        <v>5436</v>
      </c>
      <c r="B40" s="308" t="str">
        <f>'A) Base RI'!B36</f>
        <v>Saint-Oyens</v>
      </c>
      <c r="C40" s="10">
        <f>'A) Base RI'!V36</f>
        <v>366</v>
      </c>
      <c r="D40" s="14">
        <f>'C) Prél. conj.'!H34</f>
        <v>86284.225000000006</v>
      </c>
      <c r="E40" s="10">
        <f>'D) Ecrêtage'!M34</f>
        <v>0</v>
      </c>
      <c r="F40" s="14">
        <f>$F$10*'D) Ecrêtage'!C34</f>
        <v>178690.35332952254</v>
      </c>
      <c r="G40" s="58">
        <f t="shared" si="0"/>
        <v>264974.57832952251</v>
      </c>
    </row>
    <row r="41" spans="1:7" x14ac:dyDescent="0.25">
      <c r="A41" s="50">
        <f>'A) Base RI'!A37</f>
        <v>5437</v>
      </c>
      <c r="B41" s="308" t="str">
        <f>'A) Base RI'!B37</f>
        <v>Saubraz</v>
      </c>
      <c r="C41" s="10">
        <f>'A) Base RI'!V37</f>
        <v>420</v>
      </c>
      <c r="D41" s="14">
        <f>'C) Prél. conj.'!H35</f>
        <v>22300.6</v>
      </c>
      <c r="E41" s="10">
        <f>'D) Ecrêtage'!M35</f>
        <v>0</v>
      </c>
      <c r="F41" s="14">
        <f>$F$10*'D) Ecrêtage'!C35</f>
        <v>156403.48728703754</v>
      </c>
      <c r="G41" s="58">
        <f t="shared" si="0"/>
        <v>178704.08728703755</v>
      </c>
    </row>
    <row r="42" spans="1:7" x14ac:dyDescent="0.25">
      <c r="A42" s="50">
        <f>'A) Base RI'!A38</f>
        <v>5451</v>
      </c>
      <c r="B42" s="308" t="str">
        <f>'A) Base RI'!B38</f>
        <v>Avenches</v>
      </c>
      <c r="C42" s="10">
        <f>'A) Base RI'!V38</f>
        <v>4210</v>
      </c>
      <c r="D42" s="14">
        <f>'C) Prél. conj.'!H36</f>
        <v>453307.01500000001</v>
      </c>
      <c r="E42" s="10">
        <f>'D) Ecrêtage'!M36</f>
        <v>0</v>
      </c>
      <c r="F42" s="14">
        <f>$F$10*'D) Ecrêtage'!C36</f>
        <v>1507215.3253253181</v>
      </c>
      <c r="G42" s="58">
        <f t="shared" si="0"/>
        <v>1960522.3403253183</v>
      </c>
    </row>
    <row r="43" spans="1:7" x14ac:dyDescent="0.25">
      <c r="A43" s="50">
        <f>'A) Base RI'!A39</f>
        <v>5456</v>
      </c>
      <c r="B43" s="308" t="str">
        <f>'A) Base RI'!B39</f>
        <v>Cudrefin</v>
      </c>
      <c r="C43" s="10">
        <f>'A) Base RI'!V39</f>
        <v>1589</v>
      </c>
      <c r="D43" s="14">
        <f>'C) Prél. conj.'!H37</f>
        <v>188601.89</v>
      </c>
      <c r="E43" s="10">
        <f>'D) Ecrêtage'!M37</f>
        <v>0</v>
      </c>
      <c r="F43" s="14">
        <f>$F$10*'D) Ecrêtage'!C37</f>
        <v>863365.67794194398</v>
      </c>
      <c r="G43" s="58">
        <f t="shared" si="0"/>
        <v>1051967.5679419441</v>
      </c>
    </row>
    <row r="44" spans="1:7" x14ac:dyDescent="0.25">
      <c r="A44" s="50">
        <f>'A) Base RI'!A40</f>
        <v>5458</v>
      </c>
      <c r="B44" s="308" t="str">
        <f>'A) Base RI'!B40</f>
        <v>Faoug</v>
      </c>
      <c r="C44" s="10">
        <f>'A) Base RI'!V40</f>
        <v>893</v>
      </c>
      <c r="D44" s="14">
        <f>'C) Prél. conj.'!H38</f>
        <v>129691.95000000001</v>
      </c>
      <c r="E44" s="10">
        <f>'D) Ecrêtage'!M38</f>
        <v>0</v>
      </c>
      <c r="F44" s="14">
        <f>$F$10*'D) Ecrêtage'!C38</f>
        <v>545975.23368759546</v>
      </c>
      <c r="G44" s="58">
        <f t="shared" si="0"/>
        <v>675667.18368759542</v>
      </c>
    </row>
    <row r="45" spans="1:7" x14ac:dyDescent="0.25">
      <c r="A45" s="50">
        <f>'A) Base RI'!A41</f>
        <v>5464</v>
      </c>
      <c r="B45" s="308" t="str">
        <f>'A) Base RI'!B41</f>
        <v>Vully-les-Lacs</v>
      </c>
      <c r="C45" s="10">
        <f>'A) Base RI'!V41</f>
        <v>3080</v>
      </c>
      <c r="D45" s="14">
        <f>'C) Prél. conj.'!H39</f>
        <v>300884.55</v>
      </c>
      <c r="E45" s="10">
        <f>'D) Ecrêtage'!M39</f>
        <v>0</v>
      </c>
      <c r="F45" s="14">
        <f>$F$10*'D) Ecrêtage'!C39</f>
        <v>1557538.4544700845</v>
      </c>
      <c r="G45" s="58">
        <f t="shared" si="0"/>
        <v>1858423.0044700846</v>
      </c>
    </row>
    <row r="46" spans="1:7" x14ac:dyDescent="0.25">
      <c r="A46" s="50">
        <f>'A) Base RI'!A42</f>
        <v>5471</v>
      </c>
      <c r="B46" s="308" t="str">
        <f>'A) Base RI'!B42</f>
        <v>Bettens</v>
      </c>
      <c r="C46" s="10">
        <f>'A) Base RI'!V42</f>
        <v>574</v>
      </c>
      <c r="D46" s="14">
        <f>'C) Prél. conj.'!H40</f>
        <v>107357.485</v>
      </c>
      <c r="E46" s="10">
        <f>'D) Ecrêtage'!M40</f>
        <v>0</v>
      </c>
      <c r="F46" s="14">
        <f>$F$10*'D) Ecrêtage'!C40</f>
        <v>302049.60078839661</v>
      </c>
      <c r="G46" s="58">
        <f t="shared" si="0"/>
        <v>409407.08578839659</v>
      </c>
    </row>
    <row r="47" spans="1:7" x14ac:dyDescent="0.25">
      <c r="A47" s="50">
        <f>'A) Base RI'!A43</f>
        <v>5472</v>
      </c>
      <c r="B47" s="308" t="str">
        <f>'A) Base RI'!B43</f>
        <v>Bournens</v>
      </c>
      <c r="C47" s="10">
        <f>'A) Base RI'!V43</f>
        <v>419</v>
      </c>
      <c r="D47" s="14">
        <f>'C) Prél. conj.'!H41</f>
        <v>25346.050000000003</v>
      </c>
      <c r="E47" s="10">
        <f>'D) Ecrêtage'!M41</f>
        <v>0</v>
      </c>
      <c r="F47" s="14">
        <f>$F$10*'D) Ecrêtage'!C41</f>
        <v>233014.20433487467</v>
      </c>
      <c r="G47" s="58">
        <f t="shared" si="0"/>
        <v>258360.25433487468</v>
      </c>
    </row>
    <row r="48" spans="1:7" x14ac:dyDescent="0.25">
      <c r="A48" s="50">
        <f>'A) Base RI'!A44</f>
        <v>5473</v>
      </c>
      <c r="B48" s="308" t="str">
        <f>'A) Base RI'!B44</f>
        <v>Boussens</v>
      </c>
      <c r="C48" s="10">
        <f>'A) Base RI'!V44</f>
        <v>982</v>
      </c>
      <c r="D48" s="14">
        <f>'C) Prél. conj.'!H42</f>
        <v>46871.25</v>
      </c>
      <c r="E48" s="10">
        <f>'D) Ecrêtage'!M42</f>
        <v>0</v>
      </c>
      <c r="F48" s="14">
        <f>$F$10*'D) Ecrêtage'!C42</f>
        <v>520654.09691136476</v>
      </c>
      <c r="G48" s="58">
        <f t="shared" si="0"/>
        <v>567525.3469113647</v>
      </c>
    </row>
    <row r="49" spans="1:7" x14ac:dyDescent="0.25">
      <c r="A49" s="50">
        <f>'A) Base RI'!A45</f>
        <v>5474</v>
      </c>
      <c r="B49" s="308" t="str">
        <f>'A) Base RI'!B45</f>
        <v>La Chaux (Cossonay)</v>
      </c>
      <c r="C49" s="10">
        <f>'A) Base RI'!V45</f>
        <v>420</v>
      </c>
      <c r="D49" s="14">
        <f>'C) Prél. conj.'!H43</f>
        <v>107889.505</v>
      </c>
      <c r="E49" s="10">
        <f>'D) Ecrêtage'!M43</f>
        <v>0</v>
      </c>
      <c r="F49" s="14">
        <f>$F$10*'D) Ecrêtage'!C43</f>
        <v>211212.05993679163</v>
      </c>
      <c r="G49" s="58">
        <f t="shared" si="0"/>
        <v>319101.56493679166</v>
      </c>
    </row>
    <row r="50" spans="1:7" x14ac:dyDescent="0.25">
      <c r="A50" s="50">
        <f>'A) Base RI'!A46</f>
        <v>5475</v>
      </c>
      <c r="B50" s="308" t="str">
        <f>'A) Base RI'!B46</f>
        <v>Chavannes-le-Veyron</v>
      </c>
      <c r="C50" s="10">
        <f>'A) Base RI'!V46</f>
        <v>141</v>
      </c>
      <c r="D50" s="14">
        <f>'C) Prél. conj.'!H44</f>
        <v>2750</v>
      </c>
      <c r="E50" s="10">
        <f>'D) Ecrêtage'!M44</f>
        <v>0</v>
      </c>
      <c r="F50" s="14">
        <f>$F$10*'D) Ecrêtage'!C44</f>
        <v>59565.755778641287</v>
      </c>
      <c r="G50" s="58">
        <f t="shared" si="0"/>
        <v>62315.755778641287</v>
      </c>
    </row>
    <row r="51" spans="1:7" x14ac:dyDescent="0.25">
      <c r="A51" s="50">
        <f>'A) Base RI'!A47</f>
        <v>5476</v>
      </c>
      <c r="B51" s="308" t="str">
        <f>'A) Base RI'!B47</f>
        <v>Chevilly</v>
      </c>
      <c r="C51" s="10">
        <f>'A) Base RI'!V47</f>
        <v>298</v>
      </c>
      <c r="D51" s="14">
        <f>'C) Prél. conj.'!H45</f>
        <v>2204.6</v>
      </c>
      <c r="E51" s="10">
        <f>'D) Ecrêtage'!M45</f>
        <v>0</v>
      </c>
      <c r="F51" s="14">
        <f>$F$10*'D) Ecrêtage'!C45</f>
        <v>158985.45471687891</v>
      </c>
      <c r="G51" s="58">
        <f t="shared" si="0"/>
        <v>161190.05471687892</v>
      </c>
    </row>
    <row r="52" spans="1:7" x14ac:dyDescent="0.25">
      <c r="A52" s="50">
        <f>'A) Base RI'!A48</f>
        <v>5477</v>
      </c>
      <c r="B52" s="308" t="str">
        <f>'A) Base RI'!B48</f>
        <v>Cossonay</v>
      </c>
      <c r="C52" s="10">
        <f>'A) Base RI'!V48</f>
        <v>3808</v>
      </c>
      <c r="D52" s="14">
        <f>'C) Prél. conj.'!H46</f>
        <v>588208.54</v>
      </c>
      <c r="E52" s="10">
        <f>'D) Ecrêtage'!M46</f>
        <v>0</v>
      </c>
      <c r="F52" s="14">
        <f>$F$10*'D) Ecrêtage'!C46</f>
        <v>1949001.053709043</v>
      </c>
      <c r="G52" s="58">
        <f t="shared" si="0"/>
        <v>2537209.5937090432</v>
      </c>
    </row>
    <row r="53" spans="1:7" x14ac:dyDescent="0.25">
      <c r="A53" s="50">
        <f>'A) Base RI'!A49</f>
        <v>5478</v>
      </c>
      <c r="B53" s="308" t="str">
        <f>'A) Base RI'!B49</f>
        <v>Cottens</v>
      </c>
      <c r="C53" s="10">
        <f>'A) Base RI'!V49</f>
        <v>477</v>
      </c>
      <c r="D53" s="14">
        <f>'C) Prél. conj.'!H47</f>
        <v>40354.449999999997</v>
      </c>
      <c r="E53" s="10">
        <f>'D) Ecrêtage'!M47</f>
        <v>0</v>
      </c>
      <c r="F53" s="14">
        <f>$F$10*'D) Ecrêtage'!C47</f>
        <v>266190.16159674444</v>
      </c>
      <c r="G53" s="58">
        <f t="shared" si="0"/>
        <v>306544.61159674445</v>
      </c>
    </row>
    <row r="54" spans="1:7" x14ac:dyDescent="0.25">
      <c r="A54" s="50">
        <f>'A) Base RI'!A50</f>
        <v>5479</v>
      </c>
      <c r="B54" s="308" t="str">
        <f>'A) Base RI'!B50</f>
        <v>Cuarnens</v>
      </c>
      <c r="C54" s="10">
        <f>'A) Base RI'!V50</f>
        <v>479</v>
      </c>
      <c r="D54" s="14">
        <f>'C) Prél. conj.'!H48</f>
        <v>62652.090000000004</v>
      </c>
      <c r="E54" s="10">
        <f>'D) Ecrêtage'!M48</f>
        <v>0</v>
      </c>
      <c r="F54" s="14">
        <f>$F$10*'D) Ecrêtage'!C48</f>
        <v>238193.68992718021</v>
      </c>
      <c r="G54" s="58">
        <f t="shared" si="0"/>
        <v>300845.77992718021</v>
      </c>
    </row>
    <row r="55" spans="1:7" x14ac:dyDescent="0.25">
      <c r="A55" s="50">
        <f>'A) Base RI'!A51</f>
        <v>5480</v>
      </c>
      <c r="B55" s="308" t="str">
        <f>'A) Base RI'!B51</f>
        <v>Daillens</v>
      </c>
      <c r="C55" s="10">
        <f>'A) Base RI'!V51</f>
        <v>998</v>
      </c>
      <c r="D55" s="14">
        <f>'C) Prél. conj.'!H49</f>
        <v>76567.76999999999</v>
      </c>
      <c r="E55" s="10">
        <f>'D) Ecrêtage'!M49</f>
        <v>0</v>
      </c>
      <c r="F55" s="14">
        <f>$F$10*'D) Ecrêtage'!C49</f>
        <v>648491.37930590939</v>
      </c>
      <c r="G55" s="58">
        <f t="shared" si="0"/>
        <v>725059.14930590941</v>
      </c>
    </row>
    <row r="56" spans="1:7" x14ac:dyDescent="0.25">
      <c r="A56" s="50">
        <f>'A) Base RI'!A52</f>
        <v>5481</v>
      </c>
      <c r="B56" s="308" t="str">
        <f>'A) Base RI'!B52</f>
        <v>Dizy</v>
      </c>
      <c r="C56" s="10">
        <f>'A) Base RI'!V52</f>
        <v>229</v>
      </c>
      <c r="D56" s="14">
        <f>'C) Prél. conj.'!H50</f>
        <v>8811.7250000000004</v>
      </c>
      <c r="E56" s="10">
        <f>'D) Ecrêtage'!M50</f>
        <v>0</v>
      </c>
      <c r="F56" s="14">
        <f>$F$10*'D) Ecrêtage'!C50</f>
        <v>132797.53208618215</v>
      </c>
      <c r="G56" s="58">
        <f t="shared" si="0"/>
        <v>141609.25708618216</v>
      </c>
    </row>
    <row r="57" spans="1:7" x14ac:dyDescent="0.25">
      <c r="A57" s="50">
        <f>'A) Base RI'!A53</f>
        <v>5482</v>
      </c>
      <c r="B57" s="308" t="str">
        <f>'A) Base RI'!B53</f>
        <v>Eclépens</v>
      </c>
      <c r="C57" s="10">
        <f>'A) Base RI'!V53</f>
        <v>1091</v>
      </c>
      <c r="D57" s="14">
        <f>'C) Prél. conj.'!H51</f>
        <v>265543.25</v>
      </c>
      <c r="E57" s="10">
        <f>'D) Ecrêtage'!M51</f>
        <v>0</v>
      </c>
      <c r="F57" s="14">
        <f>$F$10*'D) Ecrêtage'!C51</f>
        <v>771793.25915054337</v>
      </c>
      <c r="G57" s="58">
        <f t="shared" si="0"/>
        <v>1037336.5091505434</v>
      </c>
    </row>
    <row r="58" spans="1:7" x14ac:dyDescent="0.25">
      <c r="A58" s="50">
        <f>'A) Base RI'!A54</f>
        <v>5483</v>
      </c>
      <c r="B58" s="308" t="str">
        <f>'A) Base RI'!B54</f>
        <v>Ferreyres</v>
      </c>
      <c r="C58" s="10">
        <f>'A) Base RI'!V54</f>
        <v>322</v>
      </c>
      <c r="D58" s="14">
        <f>'C) Prél. conj.'!H52</f>
        <v>13100.484999999999</v>
      </c>
      <c r="E58" s="10">
        <f>'D) Ecrêtage'!M52</f>
        <v>0</v>
      </c>
      <c r="F58" s="14">
        <f>$F$10*'D) Ecrêtage'!C52</f>
        <v>194660.85434303794</v>
      </c>
      <c r="G58" s="58">
        <f t="shared" si="0"/>
        <v>207761.33934303792</v>
      </c>
    </row>
    <row r="59" spans="1:7" x14ac:dyDescent="0.25">
      <c r="A59" s="50">
        <f>'A) Base RI'!A55</f>
        <v>5484</v>
      </c>
      <c r="B59" s="308" t="str">
        <f>'A) Base RI'!B55</f>
        <v>Gollion</v>
      </c>
      <c r="C59" s="10">
        <f>'A) Base RI'!V55</f>
        <v>918</v>
      </c>
      <c r="D59" s="14">
        <f>'C) Prél. conj.'!H53</f>
        <v>175393.46500000003</v>
      </c>
      <c r="E59" s="10">
        <f>'D) Ecrêtage'!M53</f>
        <v>0</v>
      </c>
      <c r="F59" s="14">
        <f>$F$10*'D) Ecrêtage'!C53</f>
        <v>535850.84362632001</v>
      </c>
      <c r="G59" s="58">
        <f t="shared" si="0"/>
        <v>711244.30862631998</v>
      </c>
    </row>
    <row r="60" spans="1:7" x14ac:dyDescent="0.25">
      <c r="A60" s="50">
        <f>'A) Base RI'!A56</f>
        <v>5485</v>
      </c>
      <c r="B60" s="308" t="str">
        <f>'A) Base RI'!B56</f>
        <v>Grancy</v>
      </c>
      <c r="C60" s="10">
        <f>'A) Base RI'!V56</f>
        <v>403</v>
      </c>
      <c r="D60" s="14">
        <f>'C) Prél. conj.'!H54</f>
        <v>44408.32</v>
      </c>
      <c r="E60" s="10">
        <f>'D) Ecrêtage'!M54</f>
        <v>0</v>
      </c>
      <c r="F60" s="14">
        <f>$F$10*'D) Ecrêtage'!C54</f>
        <v>279875.15019281016</v>
      </c>
      <c r="G60" s="58">
        <f t="shared" si="0"/>
        <v>324283.47019281017</v>
      </c>
    </row>
    <row r="61" spans="1:7" x14ac:dyDescent="0.25">
      <c r="A61" s="50">
        <f>'A) Base RI'!A57</f>
        <v>5486</v>
      </c>
      <c r="B61" s="308" t="str">
        <f>'A) Base RI'!B57</f>
        <v>L'Isle</v>
      </c>
      <c r="C61" s="10">
        <f>'A) Base RI'!V57</f>
        <v>1005</v>
      </c>
      <c r="D61" s="14">
        <f>'C) Prél. conj.'!H55</f>
        <v>107453.15000000001</v>
      </c>
      <c r="E61" s="10">
        <f>'D) Ecrêtage'!M55</f>
        <v>0</v>
      </c>
      <c r="F61" s="14">
        <f>$F$10*'D) Ecrêtage'!C55</f>
        <v>405395.40536974656</v>
      </c>
      <c r="G61" s="58">
        <f t="shared" si="0"/>
        <v>512848.55536974658</v>
      </c>
    </row>
    <row r="62" spans="1:7" x14ac:dyDescent="0.25">
      <c r="A62" s="50">
        <f>'A) Base RI'!A58</f>
        <v>5487</v>
      </c>
      <c r="B62" s="308" t="str">
        <f>'A) Base RI'!B58</f>
        <v>Lussery-Villars</v>
      </c>
      <c r="C62" s="10">
        <f>'A) Base RI'!V58</f>
        <v>459</v>
      </c>
      <c r="D62" s="14">
        <f>'C) Prél. conj.'!H56</f>
        <v>45164.505000000005</v>
      </c>
      <c r="E62" s="10">
        <f>'D) Ecrêtage'!M56</f>
        <v>0</v>
      </c>
      <c r="F62" s="14">
        <f>$F$10*'D) Ecrêtage'!C56</f>
        <v>226342.53256311413</v>
      </c>
      <c r="G62" s="58">
        <f t="shared" si="0"/>
        <v>271507.03756311414</v>
      </c>
    </row>
    <row r="63" spans="1:7" x14ac:dyDescent="0.25">
      <c r="A63" s="50">
        <f>'A) Base RI'!A59</f>
        <v>5488</v>
      </c>
      <c r="B63" s="308" t="str">
        <f>'A) Base RI'!B59</f>
        <v>Mauraz</v>
      </c>
      <c r="C63" s="10">
        <f>'A) Base RI'!V59</f>
        <v>60</v>
      </c>
      <c r="D63" s="14">
        <f>'C) Prél. conj.'!H57</f>
        <v>0</v>
      </c>
      <c r="E63" s="10">
        <f>'D) Ecrêtage'!M57</f>
        <v>0</v>
      </c>
      <c r="F63" s="14">
        <f>$F$10*'D) Ecrêtage'!C57</f>
        <v>25813.536160772615</v>
      </c>
      <c r="G63" s="58">
        <f t="shared" si="0"/>
        <v>25813.536160772615</v>
      </c>
    </row>
    <row r="64" spans="1:7" x14ac:dyDescent="0.25">
      <c r="A64" s="50">
        <f>'A) Base RI'!A60</f>
        <v>5489</v>
      </c>
      <c r="B64" s="308" t="str">
        <f>'A) Base RI'!B60</f>
        <v>Mex</v>
      </c>
      <c r="C64" s="10">
        <f>'A) Base RI'!V60</f>
        <v>718</v>
      </c>
      <c r="D64" s="14">
        <f>'C) Prél. conj.'!H58</f>
        <v>156848.5</v>
      </c>
      <c r="E64" s="10">
        <f>'D) Ecrêtage'!M58</f>
        <v>360575.71370628499</v>
      </c>
      <c r="F64" s="14">
        <f>$F$10*'D) Ecrêtage'!C58</f>
        <v>835005.66154002643</v>
      </c>
      <c r="G64" s="58">
        <f t="shared" si="0"/>
        <v>1352429.8752463115</v>
      </c>
    </row>
    <row r="65" spans="1:7" x14ac:dyDescent="0.25">
      <c r="A65" s="50">
        <f>'A) Base RI'!A61</f>
        <v>5490</v>
      </c>
      <c r="B65" s="308" t="str">
        <f>'A) Base RI'!B61</f>
        <v>Moiry</v>
      </c>
      <c r="C65" s="10">
        <f>'A) Base RI'!V61</f>
        <v>316</v>
      </c>
      <c r="D65" s="14">
        <f>'C) Prél. conj.'!H59</f>
        <v>6601.375</v>
      </c>
      <c r="E65" s="10">
        <f>'D) Ecrêtage'!M59</f>
        <v>0</v>
      </c>
      <c r="F65" s="14">
        <f>$F$10*'D) Ecrêtage'!C59</f>
        <v>128984.94106409713</v>
      </c>
      <c r="G65" s="58">
        <f t="shared" si="0"/>
        <v>135586.31606409713</v>
      </c>
    </row>
    <row r="66" spans="1:7" x14ac:dyDescent="0.25">
      <c r="A66" s="50">
        <f>'A) Base RI'!A62</f>
        <v>5491</v>
      </c>
      <c r="B66" s="308" t="str">
        <f>'A) Base RI'!B62</f>
        <v>Mont-la-Ville</v>
      </c>
      <c r="C66" s="10">
        <f>'A) Base RI'!V62</f>
        <v>417</v>
      </c>
      <c r="D66" s="14">
        <f>'C) Prél. conj.'!H60</f>
        <v>23721.454999999998</v>
      </c>
      <c r="E66" s="10">
        <f>'D) Ecrêtage'!M60</f>
        <v>0</v>
      </c>
      <c r="F66" s="14">
        <f>$F$10*'D) Ecrêtage'!C60</f>
        <v>166356.62696394316</v>
      </c>
      <c r="G66" s="58">
        <f t="shared" si="0"/>
        <v>190078.08196394314</v>
      </c>
    </row>
    <row r="67" spans="1:7" x14ac:dyDescent="0.25">
      <c r="A67" s="50">
        <f>'A) Base RI'!A63</f>
        <v>5492</v>
      </c>
      <c r="B67" s="308" t="str">
        <f>'A) Base RI'!B63</f>
        <v>Montricher</v>
      </c>
      <c r="C67" s="10">
        <f>'A) Base RI'!V63</f>
        <v>986</v>
      </c>
      <c r="D67" s="14">
        <f>'C) Prél. conj.'!H61</f>
        <v>81628.19</v>
      </c>
      <c r="E67" s="10">
        <f>'D) Ecrêtage'!M61</f>
        <v>5790340.0345947267</v>
      </c>
      <c r="F67" s="14">
        <f>$F$10*'D) Ecrêtage'!C61</f>
        <v>3516093.089466278</v>
      </c>
      <c r="G67" s="58">
        <f t="shared" si="0"/>
        <v>9388061.3140610047</v>
      </c>
    </row>
    <row r="68" spans="1:7" x14ac:dyDescent="0.25">
      <c r="A68" s="50">
        <f>'A) Base RI'!A64</f>
        <v>5493</v>
      </c>
      <c r="B68" s="308" t="str">
        <f>'A) Base RI'!B64</f>
        <v>Orny</v>
      </c>
      <c r="C68" s="10">
        <f>'A) Base RI'!V64</f>
        <v>356</v>
      </c>
      <c r="D68" s="14">
        <f>'C) Prél. conj.'!H62</f>
        <v>55440.104999999996</v>
      </c>
      <c r="E68" s="10">
        <f>'D) Ecrêtage'!M62</f>
        <v>0</v>
      </c>
      <c r="F68" s="14">
        <f>$F$10*'D) Ecrêtage'!C62</f>
        <v>156126.63133469553</v>
      </c>
      <c r="G68" s="58">
        <f t="shared" si="0"/>
        <v>211566.73633469554</v>
      </c>
    </row>
    <row r="69" spans="1:7" x14ac:dyDescent="0.25">
      <c r="A69" s="50">
        <f>'A) Base RI'!A65</f>
        <v>5494</v>
      </c>
      <c r="B69" s="308" t="str">
        <f>'A) Base RI'!B65</f>
        <v>Pampigny</v>
      </c>
      <c r="C69" s="10">
        <f>'A) Base RI'!V65</f>
        <v>1124</v>
      </c>
      <c r="D69" s="14">
        <f>'C) Prél. conj.'!H63</f>
        <v>29654.49</v>
      </c>
      <c r="E69" s="10">
        <f>'D) Ecrêtage'!M63</f>
        <v>0</v>
      </c>
      <c r="F69" s="14">
        <f>$F$10*'D) Ecrêtage'!C63</f>
        <v>583692.64865960868</v>
      </c>
      <c r="G69" s="58">
        <f t="shared" si="0"/>
        <v>613347.13865960867</v>
      </c>
    </row>
    <row r="70" spans="1:7" x14ac:dyDescent="0.25">
      <c r="A70" s="50">
        <f>'A) Base RI'!A66</f>
        <v>5495</v>
      </c>
      <c r="B70" s="308" t="str">
        <f>'A) Base RI'!B66</f>
        <v>Penthalaz</v>
      </c>
      <c r="C70" s="10">
        <f>'A) Base RI'!V66</f>
        <v>3282</v>
      </c>
      <c r="D70" s="14">
        <f>'C) Prél. conj.'!H64</f>
        <v>379427.91499999998</v>
      </c>
      <c r="E70" s="10">
        <f>'D) Ecrêtage'!M64</f>
        <v>0</v>
      </c>
      <c r="F70" s="14">
        <f>$F$10*'D) Ecrêtage'!C64</f>
        <v>1465055.9814229277</v>
      </c>
      <c r="G70" s="58">
        <f t="shared" si="0"/>
        <v>1844483.8964229277</v>
      </c>
    </row>
    <row r="71" spans="1:7" x14ac:dyDescent="0.25">
      <c r="A71" s="50">
        <f>'A) Base RI'!A67</f>
        <v>5496</v>
      </c>
      <c r="B71" s="308" t="str">
        <f>'A) Base RI'!B67</f>
        <v>Penthaz</v>
      </c>
      <c r="C71" s="10">
        <f>'A) Base RI'!V67</f>
        <v>1726</v>
      </c>
      <c r="D71" s="14">
        <f>'C) Prél. conj.'!H65</f>
        <v>145259.55499999999</v>
      </c>
      <c r="E71" s="10">
        <f>'D) Ecrêtage'!M65</f>
        <v>0</v>
      </c>
      <c r="F71" s="14">
        <f>$F$10*'D) Ecrêtage'!C65</f>
        <v>864926.08625470218</v>
      </c>
      <c r="G71" s="58">
        <f t="shared" si="0"/>
        <v>1010185.6412547021</v>
      </c>
    </row>
    <row r="72" spans="1:7" x14ac:dyDescent="0.25">
      <c r="A72" s="50">
        <f>'A) Base RI'!A68</f>
        <v>5497</v>
      </c>
      <c r="B72" s="308" t="str">
        <f>'A) Base RI'!B68</f>
        <v>Pompaples</v>
      </c>
      <c r="C72" s="10">
        <f>'A) Base RI'!V68</f>
        <v>854</v>
      </c>
      <c r="D72" s="14">
        <f>'C) Prél. conj.'!H66</f>
        <v>251676.08000000002</v>
      </c>
      <c r="E72" s="10">
        <f>'D) Ecrêtage'!M66</f>
        <v>0</v>
      </c>
      <c r="F72" s="14">
        <f>$F$10*'D) Ecrêtage'!C66</f>
        <v>342641.14847046742</v>
      </c>
      <c r="G72" s="58">
        <f t="shared" si="0"/>
        <v>594317.2284704675</v>
      </c>
    </row>
    <row r="73" spans="1:7" x14ac:dyDescent="0.25">
      <c r="A73" s="50">
        <f>'A) Base RI'!A69</f>
        <v>5498</v>
      </c>
      <c r="B73" s="308" t="str">
        <f>'A) Base RI'!B69</f>
        <v>La Sarraz</v>
      </c>
      <c r="C73" s="10">
        <f>'A) Base RI'!V69</f>
        <v>2609</v>
      </c>
      <c r="D73" s="14">
        <f>'C) Prél. conj.'!H67</f>
        <v>431501.66500000004</v>
      </c>
      <c r="E73" s="10">
        <f>'D) Ecrêtage'!M67</f>
        <v>0</v>
      </c>
      <c r="F73" s="14">
        <f>$F$10*'D) Ecrêtage'!C67</f>
        <v>1118760.0541714572</v>
      </c>
      <c r="G73" s="58">
        <f t="shared" si="0"/>
        <v>1550261.7191714572</v>
      </c>
    </row>
    <row r="74" spans="1:7" x14ac:dyDescent="0.25">
      <c r="A74" s="50">
        <f>'A) Base RI'!A70</f>
        <v>5499</v>
      </c>
      <c r="B74" s="308" t="str">
        <f>'A) Base RI'!B70</f>
        <v>Senarclens</v>
      </c>
      <c r="C74" s="10">
        <f>'A) Base RI'!V70</f>
        <v>505</v>
      </c>
      <c r="D74" s="14">
        <f>'C) Prél. conj.'!H68</f>
        <v>177443.16499999998</v>
      </c>
      <c r="E74" s="10">
        <f>'D) Ecrêtage'!M68</f>
        <v>0</v>
      </c>
      <c r="F74" s="14">
        <f>$F$10*'D) Ecrêtage'!C68</f>
        <v>317970.22198205319</v>
      </c>
      <c r="G74" s="58">
        <f t="shared" si="0"/>
        <v>495413.38698205317</v>
      </c>
    </row>
    <row r="75" spans="1:7" x14ac:dyDescent="0.25">
      <c r="A75" s="50">
        <f>'A) Base RI'!A71</f>
        <v>5500</v>
      </c>
      <c r="B75" s="308" t="str">
        <f>'A) Base RI'!B71</f>
        <v>Sévery</v>
      </c>
      <c r="C75" s="10">
        <f>'A) Base RI'!V71</f>
        <v>233</v>
      </c>
      <c r="D75" s="14">
        <f>'C) Prél. conj.'!H69</f>
        <v>16411.044999999998</v>
      </c>
      <c r="E75" s="10">
        <f>'D) Ecrêtage'!M69</f>
        <v>0</v>
      </c>
      <c r="F75" s="14">
        <f>$F$10*'D) Ecrêtage'!C69</f>
        <v>140894.00709114349</v>
      </c>
      <c r="G75" s="58">
        <f t="shared" si="0"/>
        <v>157305.0520911435</v>
      </c>
    </row>
    <row r="76" spans="1:7" x14ac:dyDescent="0.25">
      <c r="A76" s="50">
        <f>'A) Base RI'!A72</f>
        <v>5501</v>
      </c>
      <c r="B76" s="308" t="str">
        <f>'A) Base RI'!B72</f>
        <v>Sullens</v>
      </c>
      <c r="C76" s="10">
        <f>'A) Base RI'!V72</f>
        <v>1005</v>
      </c>
      <c r="D76" s="14">
        <f>'C) Prél. conj.'!H70</f>
        <v>90490.714999999997</v>
      </c>
      <c r="E76" s="10">
        <f>'D) Ecrêtage'!M70</f>
        <v>0</v>
      </c>
      <c r="F76" s="14">
        <f>$F$10*'D) Ecrêtage'!C70</f>
        <v>539954.15677732474</v>
      </c>
      <c r="G76" s="58">
        <f t="shared" ref="G76:G139" si="1">D76+F76+E76</f>
        <v>630444.8717773247</v>
      </c>
    </row>
    <row r="77" spans="1:7" x14ac:dyDescent="0.25">
      <c r="A77" s="50">
        <f>'A) Base RI'!A73</f>
        <v>5503</v>
      </c>
      <c r="B77" s="308" t="str">
        <f>'A) Base RI'!B73</f>
        <v>Vufflens-la-Ville</v>
      </c>
      <c r="C77" s="10">
        <f>'A) Base RI'!V73</f>
        <v>1284</v>
      </c>
      <c r="D77" s="14">
        <f>'C) Prél. conj.'!H71</f>
        <v>142576.85500000001</v>
      </c>
      <c r="E77" s="10">
        <f>'D) Ecrêtage'!M71</f>
        <v>86464.526969331651</v>
      </c>
      <c r="F77" s="14">
        <f>$F$10*'D) Ecrêtage'!C71</f>
        <v>1017818.3244489105</v>
      </c>
      <c r="G77" s="58">
        <f t="shared" si="1"/>
        <v>1246859.7064182421</v>
      </c>
    </row>
    <row r="78" spans="1:7" x14ac:dyDescent="0.25">
      <c r="A78" s="50">
        <f>'A) Base RI'!A74</f>
        <v>5511</v>
      </c>
      <c r="B78" s="308" t="str">
        <f>'A) Base RI'!B74</f>
        <v>Assens</v>
      </c>
      <c r="C78" s="10">
        <f>'A) Base RI'!V74</f>
        <v>1070</v>
      </c>
      <c r="D78" s="14">
        <f>'C) Prél. conj.'!H72</f>
        <v>44396.895000000004</v>
      </c>
      <c r="E78" s="10">
        <f>'D) Ecrêtage'!M72</f>
        <v>0</v>
      </c>
      <c r="F78" s="14">
        <f>$F$10*'D) Ecrêtage'!C72</f>
        <v>758545.34695966309</v>
      </c>
      <c r="G78" s="58">
        <f t="shared" si="1"/>
        <v>802942.24195966311</v>
      </c>
    </row>
    <row r="79" spans="1:7" x14ac:dyDescent="0.25">
      <c r="A79" s="50">
        <f>'A) Base RI'!A75</f>
        <v>5512</v>
      </c>
      <c r="B79" s="308" t="str">
        <f>'A) Base RI'!B75</f>
        <v>Bercher</v>
      </c>
      <c r="C79" s="10">
        <f>'A) Base RI'!V75</f>
        <v>1221</v>
      </c>
      <c r="D79" s="14">
        <f>'C) Prél. conj.'!H73</f>
        <v>119872.855</v>
      </c>
      <c r="E79" s="10">
        <f>'D) Ecrêtage'!M73</f>
        <v>0</v>
      </c>
      <c r="F79" s="14">
        <f>$F$10*'D) Ecrêtage'!C73</f>
        <v>592075.54884601117</v>
      </c>
      <c r="G79" s="58">
        <f t="shared" si="1"/>
        <v>711948.40384601115</v>
      </c>
    </row>
    <row r="80" spans="1:7" x14ac:dyDescent="0.25">
      <c r="A80" s="50">
        <f>'A) Base RI'!A76</f>
        <v>5513</v>
      </c>
      <c r="B80" s="308" t="str">
        <f>'A) Base RI'!B76</f>
        <v>Bioley-Orjulaz</v>
      </c>
      <c r="C80" s="10">
        <f>'A) Base RI'!V76</f>
        <v>499</v>
      </c>
      <c r="D80" s="14">
        <f>'C) Prél. conj.'!H74</f>
        <v>213722.13999999998</v>
      </c>
      <c r="E80" s="10">
        <f>'D) Ecrêtage'!M74</f>
        <v>0</v>
      </c>
      <c r="F80" s="14">
        <f>$F$10*'D) Ecrêtage'!C74</f>
        <v>332018.87661566451</v>
      </c>
      <c r="G80" s="58">
        <f t="shared" si="1"/>
        <v>545741.01661566447</v>
      </c>
    </row>
    <row r="81" spans="1:7" x14ac:dyDescent="0.25">
      <c r="A81" s="50">
        <f>'A) Base RI'!A77</f>
        <v>5514</v>
      </c>
      <c r="B81" s="308" t="str">
        <f>'A) Base RI'!B77</f>
        <v>Bottens</v>
      </c>
      <c r="C81" s="10">
        <f>'A) Base RI'!V77</f>
        <v>1263</v>
      </c>
      <c r="D81" s="14">
        <f>'C) Prél. conj.'!H75</f>
        <v>62290.954999999994</v>
      </c>
      <c r="E81" s="10">
        <f>'D) Ecrêtage'!M75</f>
        <v>0</v>
      </c>
      <c r="F81" s="14">
        <f>$F$10*'D) Ecrêtage'!C75</f>
        <v>645449.80895040836</v>
      </c>
      <c r="G81" s="58">
        <f t="shared" si="1"/>
        <v>707740.76395040832</v>
      </c>
    </row>
    <row r="82" spans="1:7" x14ac:dyDescent="0.25">
      <c r="A82" s="50">
        <f>'A) Base RI'!A78</f>
        <v>5515</v>
      </c>
      <c r="B82" s="308" t="str">
        <f>'A) Base RI'!B78</f>
        <v>Bretigny-sur-Morrens</v>
      </c>
      <c r="C82" s="10">
        <f>'A) Base RI'!V78</f>
        <v>825</v>
      </c>
      <c r="D82" s="14">
        <f>'C) Prél. conj.'!H76</f>
        <v>55714.125</v>
      </c>
      <c r="E82" s="10">
        <f>'D) Ecrêtage'!M76</f>
        <v>0</v>
      </c>
      <c r="F82" s="14">
        <f>$F$10*'D) Ecrêtage'!C76</f>
        <v>436896.1452195067</v>
      </c>
      <c r="G82" s="58">
        <f t="shared" si="1"/>
        <v>492610.2702195067</v>
      </c>
    </row>
    <row r="83" spans="1:7" x14ac:dyDescent="0.25">
      <c r="A83" s="50">
        <f>'A) Base RI'!A79</f>
        <v>5516</v>
      </c>
      <c r="B83" s="308" t="str">
        <f>'A) Base RI'!B79</f>
        <v>Cugy</v>
      </c>
      <c r="C83" s="10">
        <f>'A) Base RI'!V79</f>
        <v>2744</v>
      </c>
      <c r="D83" s="14">
        <f>'C) Prél. conj.'!H77</f>
        <v>306119.81000000006</v>
      </c>
      <c r="E83" s="10">
        <f>'D) Ecrêtage'!M77</f>
        <v>0</v>
      </c>
      <c r="F83" s="14">
        <f>$F$10*'D) Ecrêtage'!C77</f>
        <v>1735668.530701878</v>
      </c>
      <c r="G83" s="58">
        <f t="shared" si="1"/>
        <v>2041788.3407018781</v>
      </c>
    </row>
    <row r="84" spans="1:7" x14ac:dyDescent="0.25">
      <c r="A84" s="50">
        <f>'A) Base RI'!A80</f>
        <v>5518</v>
      </c>
      <c r="B84" s="308" t="str">
        <f>'A) Base RI'!B80</f>
        <v>Echallens</v>
      </c>
      <c r="C84" s="10">
        <f>'A) Base RI'!V80</f>
        <v>5728</v>
      </c>
      <c r="D84" s="14">
        <f>'C) Prél. conj.'!H78</f>
        <v>318802.18000000005</v>
      </c>
      <c r="E84" s="10">
        <f>'D) Ecrêtage'!M78</f>
        <v>0</v>
      </c>
      <c r="F84" s="14">
        <f>$F$10*'D) Ecrêtage'!C78</f>
        <v>2938329.5451791547</v>
      </c>
      <c r="G84" s="58">
        <f t="shared" si="1"/>
        <v>3257131.7251791549</v>
      </c>
    </row>
    <row r="85" spans="1:7" x14ac:dyDescent="0.25">
      <c r="A85" s="50">
        <f>'A) Base RI'!A81</f>
        <v>5520</v>
      </c>
      <c r="B85" s="308" t="str">
        <f>'A) Base RI'!B81</f>
        <v>Essertines-sur-Yverdon</v>
      </c>
      <c r="C85" s="10">
        <f>'A) Base RI'!V81</f>
        <v>981</v>
      </c>
      <c r="D85" s="14">
        <f>'C) Prél. conj.'!H79</f>
        <v>101536.79</v>
      </c>
      <c r="E85" s="10">
        <f>'D) Ecrêtage'!M79</f>
        <v>0</v>
      </c>
      <c r="F85" s="14">
        <f>$F$10*'D) Ecrêtage'!C79</f>
        <v>505251.05688492517</v>
      </c>
      <c r="G85" s="58">
        <f t="shared" si="1"/>
        <v>606787.84688492515</v>
      </c>
    </row>
    <row r="86" spans="1:7" x14ac:dyDescent="0.25">
      <c r="A86" s="50">
        <f>'A) Base RI'!A82</f>
        <v>5521</v>
      </c>
      <c r="B86" s="308" t="str">
        <f>'A) Base RI'!B82</f>
        <v>Etagnières</v>
      </c>
      <c r="C86" s="10">
        <f>'A) Base RI'!V82</f>
        <v>1119</v>
      </c>
      <c r="D86" s="14">
        <f>'C) Prél. conj.'!H80</f>
        <v>88929.62000000001</v>
      </c>
      <c r="E86" s="10">
        <f>'D) Ecrêtage'!M80</f>
        <v>0</v>
      </c>
      <c r="F86" s="14">
        <f>$F$10*'D) Ecrêtage'!C80</f>
        <v>645867.51769961626</v>
      </c>
      <c r="G86" s="58">
        <f t="shared" si="1"/>
        <v>734797.13769961626</v>
      </c>
    </row>
    <row r="87" spans="1:7" x14ac:dyDescent="0.25">
      <c r="A87" s="50">
        <f>'A) Base RI'!A83</f>
        <v>5522</v>
      </c>
      <c r="B87" s="308" t="str">
        <f>'A) Base RI'!B83</f>
        <v>Fey</v>
      </c>
      <c r="C87" s="10">
        <f>'A) Base RI'!V83</f>
        <v>703</v>
      </c>
      <c r="D87" s="14">
        <f>'C) Prél. conj.'!H81</f>
        <v>68943.31</v>
      </c>
      <c r="E87" s="10">
        <f>'D) Ecrêtage'!M81</f>
        <v>0</v>
      </c>
      <c r="F87" s="14">
        <f>$F$10*'D) Ecrêtage'!C81</f>
        <v>318928.07590017043</v>
      </c>
      <c r="G87" s="58">
        <f t="shared" si="1"/>
        <v>387871.38590017043</v>
      </c>
    </row>
    <row r="88" spans="1:7" x14ac:dyDescent="0.25">
      <c r="A88" s="50">
        <f>'A) Base RI'!A84</f>
        <v>5523</v>
      </c>
      <c r="B88" s="308" t="str">
        <f>'A) Base RI'!B84</f>
        <v>Froideville</v>
      </c>
      <c r="C88" s="10">
        <f>'A) Base RI'!V84</f>
        <v>2561</v>
      </c>
      <c r="D88" s="14">
        <f>'C) Prél. conj.'!H82</f>
        <v>144422.67000000001</v>
      </c>
      <c r="E88" s="10">
        <f>'D) Ecrêtage'!M82</f>
        <v>0</v>
      </c>
      <c r="F88" s="14">
        <f>$F$10*'D) Ecrêtage'!C82</f>
        <v>1322534.4475540037</v>
      </c>
      <c r="G88" s="58">
        <f t="shared" si="1"/>
        <v>1466957.1175540036</v>
      </c>
    </row>
    <row r="89" spans="1:7" x14ac:dyDescent="0.25">
      <c r="A89" s="50">
        <f>'A) Base RI'!A85</f>
        <v>5527</v>
      </c>
      <c r="B89" s="308" t="str">
        <f>'A) Base RI'!B85</f>
        <v>Morrens</v>
      </c>
      <c r="C89" s="10">
        <f>'A) Base RI'!V85</f>
        <v>1092</v>
      </c>
      <c r="D89" s="14">
        <f>'C) Prél. conj.'!H83</f>
        <v>81751.23000000001</v>
      </c>
      <c r="E89" s="10">
        <f>'D) Ecrêtage'!M83</f>
        <v>0</v>
      </c>
      <c r="F89" s="14">
        <f>$F$10*'D) Ecrêtage'!C83</f>
        <v>625790.07496015471</v>
      </c>
      <c r="G89" s="58">
        <f t="shared" si="1"/>
        <v>707541.3049601547</v>
      </c>
    </row>
    <row r="90" spans="1:7" x14ac:dyDescent="0.25">
      <c r="A90" s="50">
        <f>'A) Base RI'!A86</f>
        <v>5529</v>
      </c>
      <c r="B90" s="308" t="str">
        <f>'A) Base RI'!B86</f>
        <v>Oulens-sous-Echallens</v>
      </c>
      <c r="C90" s="10">
        <f>'A) Base RI'!V86</f>
        <v>577</v>
      </c>
      <c r="D90" s="14">
        <f>'C) Prél. conj.'!H84</f>
        <v>52841.350000000006</v>
      </c>
      <c r="E90" s="10">
        <f>'D) Ecrêtage'!M84</f>
        <v>0</v>
      </c>
      <c r="F90" s="14">
        <f>$F$10*'D) Ecrêtage'!C84</f>
        <v>319062.95165323466</v>
      </c>
      <c r="G90" s="58">
        <f t="shared" si="1"/>
        <v>371904.30165323464</v>
      </c>
    </row>
    <row r="91" spans="1:7" x14ac:dyDescent="0.25">
      <c r="A91" s="50">
        <f>'A) Base RI'!A87</f>
        <v>5530</v>
      </c>
      <c r="B91" s="308" t="str">
        <f>'A) Base RI'!B87</f>
        <v>Pailly</v>
      </c>
      <c r="C91" s="10">
        <f>'A) Base RI'!V87</f>
        <v>543</v>
      </c>
      <c r="D91" s="14">
        <f>'C) Prél. conj.'!H85</f>
        <v>51085.574999999997</v>
      </c>
      <c r="E91" s="10">
        <f>'D) Ecrêtage'!M85</f>
        <v>0</v>
      </c>
      <c r="F91" s="14">
        <f>$F$10*'D) Ecrêtage'!C85</f>
        <v>256759.44401892004</v>
      </c>
      <c r="G91" s="58">
        <f t="shared" si="1"/>
        <v>307845.01901892002</v>
      </c>
    </row>
    <row r="92" spans="1:7" x14ac:dyDescent="0.25">
      <c r="A92" s="50">
        <f>'A) Base RI'!A88</f>
        <v>5531</v>
      </c>
      <c r="B92" s="308" t="str">
        <f>'A) Base RI'!B88</f>
        <v>Penthéréaz</v>
      </c>
      <c r="C92" s="10">
        <f>'A) Base RI'!V88</f>
        <v>418</v>
      </c>
      <c r="D92" s="14">
        <f>'C) Prél. conj.'!H86</f>
        <v>28803.79</v>
      </c>
      <c r="E92" s="10">
        <f>'D) Ecrêtage'!M86</f>
        <v>0</v>
      </c>
      <c r="F92" s="14">
        <f>$F$10*'D) Ecrêtage'!C86</f>
        <v>206914.03118547428</v>
      </c>
      <c r="G92" s="58">
        <f t="shared" si="1"/>
        <v>235717.82118547428</v>
      </c>
    </row>
    <row r="93" spans="1:7" x14ac:dyDescent="0.25">
      <c r="A93" s="50">
        <f>'A) Base RI'!A89</f>
        <v>5533</v>
      </c>
      <c r="B93" s="308" t="str">
        <f>'A) Base RI'!B89</f>
        <v>Poliez-Pittet</v>
      </c>
      <c r="C93" s="10">
        <f>'A) Base RI'!V89</f>
        <v>849</v>
      </c>
      <c r="D93" s="14">
        <f>'C) Prél. conj.'!H87</f>
        <v>18748.120000000003</v>
      </c>
      <c r="E93" s="10">
        <f>'D) Ecrêtage'!M87</f>
        <v>0</v>
      </c>
      <c r="F93" s="14">
        <f>$F$10*'D) Ecrêtage'!C87</f>
        <v>433990.57064472209</v>
      </c>
      <c r="G93" s="58">
        <f t="shared" si="1"/>
        <v>452738.69064472208</v>
      </c>
    </row>
    <row r="94" spans="1:7" x14ac:dyDescent="0.25">
      <c r="A94" s="50">
        <f>'A) Base RI'!A90</f>
        <v>5534</v>
      </c>
      <c r="B94" s="308" t="str">
        <f>'A) Base RI'!B90</f>
        <v>Rueyres</v>
      </c>
      <c r="C94" s="10">
        <f>'A) Base RI'!V90</f>
        <v>257</v>
      </c>
      <c r="D94" s="14">
        <f>'C) Prél. conj.'!H88</f>
        <v>11559.824999999999</v>
      </c>
      <c r="E94" s="10">
        <f>'D) Ecrêtage'!M88</f>
        <v>0</v>
      </c>
      <c r="F94" s="14">
        <f>$F$10*'D) Ecrêtage'!C88</f>
        <v>146442.63875087872</v>
      </c>
      <c r="G94" s="58">
        <f t="shared" si="1"/>
        <v>158002.46375087873</v>
      </c>
    </row>
    <row r="95" spans="1:7" x14ac:dyDescent="0.25">
      <c r="A95" s="50">
        <f>'A) Base RI'!A91</f>
        <v>5535</v>
      </c>
      <c r="B95" s="308" t="str">
        <f>'A) Base RI'!B91</f>
        <v>Saint-Barthélemy</v>
      </c>
      <c r="C95" s="10">
        <f>'A) Base RI'!V91</f>
        <v>769</v>
      </c>
      <c r="D95" s="14">
        <f>'C) Prél. conj.'!H89</f>
        <v>26262.370000000003</v>
      </c>
      <c r="E95" s="10">
        <f>'D) Ecrêtage'!M89</f>
        <v>0</v>
      </c>
      <c r="F95" s="14">
        <f>$F$10*'D) Ecrêtage'!C89</f>
        <v>366104.41594328586</v>
      </c>
      <c r="G95" s="58">
        <f t="shared" si="1"/>
        <v>392366.78594328585</v>
      </c>
    </row>
    <row r="96" spans="1:7" x14ac:dyDescent="0.25">
      <c r="A96" s="50">
        <f>'A) Base RI'!A92</f>
        <v>5537</v>
      </c>
      <c r="B96" s="308" t="str">
        <f>'A) Base RI'!B92</f>
        <v>Villars-le-Terroir</v>
      </c>
      <c r="C96" s="10">
        <f>'A) Base RI'!V92</f>
        <v>1150</v>
      </c>
      <c r="D96" s="14">
        <f>'C) Prél. conj.'!H90</f>
        <v>72601.065000000002</v>
      </c>
      <c r="E96" s="10">
        <f>'D) Ecrêtage'!M90</f>
        <v>0</v>
      </c>
      <c r="F96" s="14">
        <f>$F$10*'D) Ecrêtage'!C90</f>
        <v>528574.61790938338</v>
      </c>
      <c r="G96" s="58">
        <f t="shared" si="1"/>
        <v>601175.68290938344</v>
      </c>
    </row>
    <row r="97" spans="1:7" x14ac:dyDescent="0.25">
      <c r="A97" s="50">
        <f>'A) Base RI'!A93</f>
        <v>5539</v>
      </c>
      <c r="B97" s="308" t="str">
        <f>'A) Base RI'!B93</f>
        <v>Vuarrens</v>
      </c>
      <c r="C97" s="10">
        <f>'A) Base RI'!V93</f>
        <v>1003</v>
      </c>
      <c r="D97" s="14">
        <f>'C) Prél. conj.'!H91</f>
        <v>47760.654999999999</v>
      </c>
      <c r="E97" s="10">
        <f>'D) Ecrêtage'!M91</f>
        <v>0</v>
      </c>
      <c r="F97" s="14">
        <f>$F$10*'D) Ecrêtage'!C91</f>
        <v>424795.93267281121</v>
      </c>
      <c r="G97" s="58">
        <f t="shared" si="1"/>
        <v>472556.58767281123</v>
      </c>
    </row>
    <row r="98" spans="1:7" x14ac:dyDescent="0.25">
      <c r="A98" s="50">
        <f>'A) Base RI'!A94</f>
        <v>5540</v>
      </c>
      <c r="B98" s="308" t="str">
        <f>'A) Base RI'!B94</f>
        <v>Montilliez</v>
      </c>
      <c r="C98" s="10">
        <f>'A) Base RI'!V94</f>
        <v>1731</v>
      </c>
      <c r="D98" s="14">
        <f>'C) Prél. conj.'!H92</f>
        <v>105571.76500000001</v>
      </c>
      <c r="E98" s="10">
        <f>'D) Ecrêtage'!M92</f>
        <v>0</v>
      </c>
      <c r="F98" s="14">
        <f>$F$10*'D) Ecrêtage'!C92</f>
        <v>898983.6665990731</v>
      </c>
      <c r="G98" s="58">
        <f t="shared" si="1"/>
        <v>1004555.4315990731</v>
      </c>
    </row>
    <row r="99" spans="1:7" x14ac:dyDescent="0.25">
      <c r="A99" s="50">
        <f>'A) Base RI'!A95</f>
        <v>5541</v>
      </c>
      <c r="B99" s="308" t="str">
        <f>'A) Base RI'!B95</f>
        <v>Goumoëns</v>
      </c>
      <c r="C99" s="10">
        <f>'A) Base RI'!V95</f>
        <v>1110</v>
      </c>
      <c r="D99" s="14">
        <f>'C) Prél. conj.'!H93</f>
        <v>72099.475000000006</v>
      </c>
      <c r="E99" s="10">
        <f>'D) Ecrêtage'!M93</f>
        <v>0</v>
      </c>
      <c r="F99" s="14">
        <f>$F$10*'D) Ecrêtage'!C93</f>
        <v>608144.06121039554</v>
      </c>
      <c r="G99" s="58">
        <f t="shared" si="1"/>
        <v>680243.53621039551</v>
      </c>
    </row>
    <row r="100" spans="1:7" x14ac:dyDescent="0.25">
      <c r="A100" s="50">
        <f>'A) Base RI'!A96</f>
        <v>5551</v>
      </c>
      <c r="B100" s="308" t="str">
        <f>'A) Base RI'!B96</f>
        <v>Bonvillars</v>
      </c>
      <c r="C100" s="10">
        <f>'A) Base RI'!V96</f>
        <v>495</v>
      </c>
      <c r="D100" s="14">
        <f>'C) Prél. conj.'!H94</f>
        <v>61100.754999999997</v>
      </c>
      <c r="E100" s="10">
        <f>'D) Ecrêtage'!M94</f>
        <v>0</v>
      </c>
      <c r="F100" s="14">
        <f>$F$10*'D) Ecrêtage'!C94</f>
        <v>296202.78165403893</v>
      </c>
      <c r="G100" s="58">
        <f t="shared" si="1"/>
        <v>357303.53665403894</v>
      </c>
    </row>
    <row r="101" spans="1:7" x14ac:dyDescent="0.25">
      <c r="A101" s="50">
        <f>'A) Base RI'!A97</f>
        <v>5552</v>
      </c>
      <c r="B101" s="308" t="str">
        <f>'A) Base RI'!B97</f>
        <v>Bullet</v>
      </c>
      <c r="C101" s="10">
        <f>'A) Base RI'!V97</f>
        <v>644</v>
      </c>
      <c r="D101" s="14">
        <f>'C) Prél. conj.'!H95</f>
        <v>59174.979999999989</v>
      </c>
      <c r="E101" s="10">
        <f>'D) Ecrêtage'!M95</f>
        <v>0</v>
      </c>
      <c r="F101" s="14">
        <f>$F$10*'D) Ecrêtage'!C95</f>
        <v>280640.97499522642</v>
      </c>
      <c r="G101" s="58">
        <f t="shared" si="1"/>
        <v>339815.95499522641</v>
      </c>
    </row>
    <row r="102" spans="1:7" x14ac:dyDescent="0.25">
      <c r="A102" s="50">
        <f>'A) Base RI'!A98</f>
        <v>5553</v>
      </c>
      <c r="B102" s="308" t="str">
        <f>'A) Base RI'!B98</f>
        <v>Champagne</v>
      </c>
      <c r="C102" s="10">
        <f>'A) Base RI'!V98</f>
        <v>1027</v>
      </c>
      <c r="D102" s="14">
        <f>'C) Prél. conj.'!H96</f>
        <v>105785.22500000001</v>
      </c>
      <c r="E102" s="10">
        <f>'D) Ecrêtage'!M96</f>
        <v>0</v>
      </c>
      <c r="F102" s="14">
        <f>$F$10*'D) Ecrêtage'!C96</f>
        <v>537342.29973792809</v>
      </c>
      <c r="G102" s="58">
        <f t="shared" si="1"/>
        <v>643127.52473792806</v>
      </c>
    </row>
    <row r="103" spans="1:7" x14ac:dyDescent="0.25">
      <c r="A103" s="50">
        <f>'A) Base RI'!A99</f>
        <v>5554</v>
      </c>
      <c r="B103" s="308" t="str">
        <f>'A) Base RI'!B99</f>
        <v>Concise</v>
      </c>
      <c r="C103" s="10">
        <f>'A) Base RI'!V99</f>
        <v>969</v>
      </c>
      <c r="D103" s="14">
        <f>'C) Prél. conj.'!H97</f>
        <v>59102.64</v>
      </c>
      <c r="E103" s="10">
        <f>'D) Ecrêtage'!M97</f>
        <v>0</v>
      </c>
      <c r="F103" s="14">
        <f>$F$10*'D) Ecrêtage'!C97</f>
        <v>500120.68860480719</v>
      </c>
      <c r="G103" s="58">
        <f t="shared" si="1"/>
        <v>559223.32860480715</v>
      </c>
    </row>
    <row r="104" spans="1:7" x14ac:dyDescent="0.25">
      <c r="A104" s="50">
        <f>'A) Base RI'!A100</f>
        <v>5555</v>
      </c>
      <c r="B104" s="308" t="str">
        <f>'A) Base RI'!B100</f>
        <v>Corcelles-près-Concise</v>
      </c>
      <c r="C104" s="10">
        <f>'A) Base RI'!V100</f>
        <v>377</v>
      </c>
      <c r="D104" s="14">
        <f>'C) Prél. conj.'!H98</f>
        <v>61953.000000000007</v>
      </c>
      <c r="E104" s="10">
        <f>'D) Ecrêtage'!M98</f>
        <v>0</v>
      </c>
      <c r="F104" s="14">
        <f>$F$10*'D) Ecrêtage'!C98</f>
        <v>215058.77618996485</v>
      </c>
      <c r="G104" s="58">
        <f t="shared" si="1"/>
        <v>277011.77618996485</v>
      </c>
    </row>
    <row r="105" spans="1:7" x14ac:dyDescent="0.25">
      <c r="A105" s="50">
        <f>'A) Base RI'!A101</f>
        <v>5556</v>
      </c>
      <c r="B105" s="308" t="str">
        <f>'A) Base RI'!B101</f>
        <v>Fiez</v>
      </c>
      <c r="C105" s="10">
        <f>'A) Base RI'!V101</f>
        <v>425</v>
      </c>
      <c r="D105" s="14">
        <f>'C) Prél. conj.'!H99</f>
        <v>237273.02499999999</v>
      </c>
      <c r="E105" s="10">
        <f>'D) Ecrêtage'!M99</f>
        <v>0</v>
      </c>
      <c r="F105" s="14">
        <f>$F$10*'D) Ecrêtage'!C99</f>
        <v>203648.3831490856</v>
      </c>
      <c r="G105" s="58">
        <f t="shared" si="1"/>
        <v>440921.40814908559</v>
      </c>
    </row>
    <row r="106" spans="1:7" x14ac:dyDescent="0.25">
      <c r="A106" s="50">
        <f>'A) Base RI'!A102</f>
        <v>5557</v>
      </c>
      <c r="B106" s="308" t="str">
        <f>'A) Base RI'!B102</f>
        <v>Fontaines-sur-Grandson</v>
      </c>
      <c r="C106" s="10">
        <f>'A) Base RI'!V102</f>
        <v>210</v>
      </c>
      <c r="D106" s="14">
        <f>'C) Prél. conj.'!H100</f>
        <v>15313.699999999999</v>
      </c>
      <c r="E106" s="10">
        <f>'D) Ecrêtage'!M100</f>
        <v>0</v>
      </c>
      <c r="F106" s="14">
        <f>$F$10*'D) Ecrêtage'!C100</f>
        <v>69913.700442168687</v>
      </c>
      <c r="G106" s="58">
        <f t="shared" si="1"/>
        <v>85227.400442168684</v>
      </c>
    </row>
    <row r="107" spans="1:7" x14ac:dyDescent="0.25">
      <c r="A107" s="50">
        <f>'A) Base RI'!A103</f>
        <v>5559</v>
      </c>
      <c r="B107" s="308" t="str">
        <f>'A) Base RI'!B103</f>
        <v>Giez</v>
      </c>
      <c r="C107" s="10">
        <f>'A) Base RI'!V103</f>
        <v>421</v>
      </c>
      <c r="D107" s="14">
        <f>'C) Prél. conj.'!H101</f>
        <v>34206.379999999997</v>
      </c>
      <c r="E107" s="10">
        <f>'D) Ecrêtage'!M101</f>
        <v>0</v>
      </c>
      <c r="F107" s="14">
        <f>$F$10*'D) Ecrêtage'!C101</f>
        <v>249100.75062917918</v>
      </c>
      <c r="G107" s="58">
        <f t="shared" si="1"/>
        <v>283307.13062917918</v>
      </c>
    </row>
    <row r="108" spans="1:7" x14ac:dyDescent="0.25">
      <c r="A108" s="50">
        <f>'A) Base RI'!A104</f>
        <v>5560</v>
      </c>
      <c r="B108" s="308" t="str">
        <f>'A) Base RI'!B104</f>
        <v>Grandevent</v>
      </c>
      <c r="C108" s="10">
        <f>'A) Base RI'!V104</f>
        <v>229</v>
      </c>
      <c r="D108" s="14">
        <f>'C) Prél. conj.'!H102</f>
        <v>13683.525</v>
      </c>
      <c r="E108" s="10">
        <f>'D) Ecrêtage'!M102</f>
        <v>0</v>
      </c>
      <c r="F108" s="14">
        <f>$F$10*'D) Ecrêtage'!C102</f>
        <v>98811.154721594532</v>
      </c>
      <c r="G108" s="58">
        <f t="shared" si="1"/>
        <v>112494.67972159453</v>
      </c>
    </row>
    <row r="109" spans="1:7" x14ac:dyDescent="0.25">
      <c r="A109" s="50">
        <f>'A) Base RI'!A105</f>
        <v>5561</v>
      </c>
      <c r="B109" s="308" t="str">
        <f>'A) Base RI'!B105</f>
        <v>Grandson</v>
      </c>
      <c r="C109" s="10">
        <f>'A) Base RI'!V105</f>
        <v>3284</v>
      </c>
      <c r="D109" s="14">
        <f>'C) Prél. conj.'!H103</f>
        <v>278434.28000000003</v>
      </c>
      <c r="E109" s="10">
        <f>'D) Ecrêtage'!M103</f>
        <v>0</v>
      </c>
      <c r="F109" s="14">
        <f>$F$10*'D) Ecrêtage'!C103</f>
        <v>1824646.5834242695</v>
      </c>
      <c r="G109" s="58">
        <f t="shared" si="1"/>
        <v>2103080.8634242695</v>
      </c>
    </row>
    <row r="110" spans="1:7" x14ac:dyDescent="0.25">
      <c r="A110" s="50">
        <f>'A) Base RI'!A106</f>
        <v>5562</v>
      </c>
      <c r="B110" s="308" t="str">
        <f>'A) Base RI'!B106</f>
        <v>Mauborget</v>
      </c>
      <c r="C110" s="10">
        <f>'A) Base RI'!V106</f>
        <v>119</v>
      </c>
      <c r="D110" s="14">
        <f>'C) Prél. conj.'!H104</f>
        <v>6552.7250000000004</v>
      </c>
      <c r="E110" s="10">
        <f>'D) Ecrêtage'!M104</f>
        <v>7300.6992928488389</v>
      </c>
      <c r="F110" s="14">
        <f>$F$10*'D) Ecrêtage'!C104</f>
        <v>93122.996242914582</v>
      </c>
      <c r="G110" s="58">
        <f t="shared" si="1"/>
        <v>106976.42053576342</v>
      </c>
    </row>
    <row r="111" spans="1:7" x14ac:dyDescent="0.25">
      <c r="A111" s="50">
        <f>'A) Base RI'!A107</f>
        <v>5563</v>
      </c>
      <c r="B111" s="308" t="str">
        <f>'A) Base RI'!B107</f>
        <v>Mutrux</v>
      </c>
      <c r="C111" s="10">
        <f>'A) Base RI'!V107</f>
        <v>163</v>
      </c>
      <c r="D111" s="14">
        <f>'C) Prél. conj.'!H105</f>
        <v>6121.5</v>
      </c>
      <c r="E111" s="10">
        <f>'D) Ecrêtage'!M105</f>
        <v>0</v>
      </c>
      <c r="F111" s="14">
        <f>$F$10*'D) Ecrêtage'!C105</f>
        <v>49052.473017142453</v>
      </c>
      <c r="G111" s="58">
        <f t="shared" si="1"/>
        <v>55173.973017142453</v>
      </c>
    </row>
    <row r="112" spans="1:7" x14ac:dyDescent="0.25">
      <c r="A112" s="50">
        <f>'A) Base RI'!A108</f>
        <v>5564</v>
      </c>
      <c r="B112" s="308" t="str">
        <f>'A) Base RI'!B108</f>
        <v>Novalles</v>
      </c>
      <c r="C112" s="10">
        <f>'A) Base RI'!V108</f>
        <v>101</v>
      </c>
      <c r="D112" s="14">
        <f>'C) Prél. conj.'!H106</f>
        <v>8426.1</v>
      </c>
      <c r="E112" s="10">
        <f>'D) Ecrêtage'!M106</f>
        <v>0</v>
      </c>
      <c r="F112" s="14">
        <f>$F$10*'D) Ecrêtage'!C106</f>
        <v>41424.902954813253</v>
      </c>
      <c r="G112" s="58">
        <f t="shared" si="1"/>
        <v>49851.002954813252</v>
      </c>
    </row>
    <row r="113" spans="1:7" x14ac:dyDescent="0.25">
      <c r="A113" s="50">
        <f>'A) Base RI'!A109</f>
        <v>5565</v>
      </c>
      <c r="B113" s="308" t="str">
        <f>'A) Base RI'!B109</f>
        <v>Onnens</v>
      </c>
      <c r="C113" s="10">
        <f>'A) Base RI'!V109</f>
        <v>477</v>
      </c>
      <c r="D113" s="14">
        <f>'C) Prél. conj.'!H107</f>
        <v>49244.17</v>
      </c>
      <c r="E113" s="10">
        <f>'D) Ecrêtage'!M107</f>
        <v>0</v>
      </c>
      <c r="F113" s="14">
        <f>$F$10*'D) Ecrêtage'!C107</f>
        <v>291667.37900261051</v>
      </c>
      <c r="G113" s="58">
        <f t="shared" si="1"/>
        <v>340911.5490026105</v>
      </c>
    </row>
    <row r="114" spans="1:7" x14ac:dyDescent="0.25">
      <c r="A114" s="50">
        <f>'A) Base RI'!A110</f>
        <v>5566</v>
      </c>
      <c r="B114" s="308" t="str">
        <f>'A) Base RI'!B110</f>
        <v>Provence</v>
      </c>
      <c r="C114" s="10">
        <f>'A) Base RI'!V110</f>
        <v>388</v>
      </c>
      <c r="D114" s="14">
        <f>'C) Prél. conj.'!H108</f>
        <v>19801.159999999996</v>
      </c>
      <c r="E114" s="10">
        <f>'D) Ecrêtage'!M108</f>
        <v>0</v>
      </c>
      <c r="F114" s="14">
        <f>$F$10*'D) Ecrêtage'!C108</f>
        <v>125234.54133865566</v>
      </c>
      <c r="G114" s="58">
        <f t="shared" si="1"/>
        <v>145035.70133865566</v>
      </c>
    </row>
    <row r="115" spans="1:7" x14ac:dyDescent="0.25">
      <c r="A115" s="50">
        <f>'A) Base RI'!A111</f>
        <v>5568</v>
      </c>
      <c r="B115" s="308" t="str">
        <f>'A) Base RI'!B111</f>
        <v>Sainte-Croix</v>
      </c>
      <c r="C115" s="10">
        <f>'A) Base RI'!V111</f>
        <v>4919</v>
      </c>
      <c r="D115" s="14">
        <f>'C) Prél. conj.'!H109</f>
        <v>931471.03499999992</v>
      </c>
      <c r="E115" s="10">
        <f>'D) Ecrêtage'!M109</f>
        <v>0</v>
      </c>
      <c r="F115" s="14">
        <f>$F$10*'D) Ecrêtage'!C109</f>
        <v>1571945.7052406978</v>
      </c>
      <c r="G115" s="58">
        <f t="shared" si="1"/>
        <v>2503416.7402406977</v>
      </c>
    </row>
    <row r="116" spans="1:7" x14ac:dyDescent="0.25">
      <c r="A116" s="50">
        <f>'A) Base RI'!A112</f>
        <v>5571</v>
      </c>
      <c r="B116" s="308" t="str">
        <f>'A) Base RI'!B112</f>
        <v>Tévenon</v>
      </c>
      <c r="C116" s="10">
        <f>'A) Base RI'!V112</f>
        <v>843</v>
      </c>
      <c r="D116" s="14">
        <f>'C) Prél. conj.'!H110</f>
        <v>60219.505000000005</v>
      </c>
      <c r="E116" s="10">
        <f>'D) Ecrêtage'!M110</f>
        <v>0</v>
      </c>
      <c r="F116" s="14">
        <f>$F$10*'D) Ecrêtage'!C110</f>
        <v>336420.95551905181</v>
      </c>
      <c r="G116" s="58">
        <f t="shared" si="1"/>
        <v>396640.46051905182</v>
      </c>
    </row>
    <row r="117" spans="1:7" x14ac:dyDescent="0.25">
      <c r="A117" s="50">
        <f>'A) Base RI'!A113</f>
        <v>5581</v>
      </c>
      <c r="B117" s="308" t="str">
        <f>'A) Base RI'!B113</f>
        <v>Belmont-sur-Lausanne</v>
      </c>
      <c r="C117" s="10">
        <f>'A) Base RI'!V113</f>
        <v>3662</v>
      </c>
      <c r="D117" s="14">
        <f>'C) Prél. conj.'!H111</f>
        <v>504931.30000000005</v>
      </c>
      <c r="E117" s="10">
        <f>'D) Ecrêtage'!M111</f>
        <v>367697.60671468609</v>
      </c>
      <c r="F117" s="14">
        <f>$F$10*'D) Ecrêtage'!C111</f>
        <v>3029843.8427519947</v>
      </c>
      <c r="G117" s="58">
        <f t="shared" si="1"/>
        <v>3902472.7494666805</v>
      </c>
    </row>
    <row r="118" spans="1:7" x14ac:dyDescent="0.25">
      <c r="A118" s="50">
        <f>'A) Base RI'!A114</f>
        <v>5582</v>
      </c>
      <c r="B118" s="308" t="str">
        <f>'A) Base RI'!B114</f>
        <v>Cheseaux-sur-Lausanne</v>
      </c>
      <c r="C118" s="10">
        <f>'A) Base RI'!V114</f>
        <v>4357</v>
      </c>
      <c r="D118" s="14">
        <f>'C) Prél. conj.'!H112</f>
        <v>220042.95499999999</v>
      </c>
      <c r="E118" s="10">
        <f>'D) Ecrêtage'!M112</f>
        <v>0</v>
      </c>
      <c r="F118" s="14">
        <f>$F$10*'D) Ecrêtage'!C112</f>
        <v>2823975.9864713745</v>
      </c>
      <c r="G118" s="58">
        <f t="shared" si="1"/>
        <v>3044018.9414713746</v>
      </c>
    </row>
    <row r="119" spans="1:7" x14ac:dyDescent="0.25">
      <c r="A119" s="50">
        <f>'A) Base RI'!A115</f>
        <v>5583</v>
      </c>
      <c r="B119" s="308" t="str">
        <f>'A) Base RI'!B115</f>
        <v>Crissier</v>
      </c>
      <c r="C119" s="10">
        <f>'A) Base RI'!V115</f>
        <v>8008</v>
      </c>
      <c r="D119" s="14">
        <f>'C) Prél. conj.'!H113</f>
        <v>994570.40999999992</v>
      </c>
      <c r="E119" s="10">
        <f>'D) Ecrêtage'!M113</f>
        <v>0</v>
      </c>
      <c r="F119" s="14">
        <f>$F$10*'D) Ecrêtage'!C113</f>
        <v>4646797.9145898195</v>
      </c>
      <c r="G119" s="58">
        <f t="shared" si="1"/>
        <v>5641368.3245898196</v>
      </c>
    </row>
    <row r="120" spans="1:7" x14ac:dyDescent="0.25">
      <c r="A120" s="50">
        <f>'A) Base RI'!A116</f>
        <v>5584</v>
      </c>
      <c r="B120" s="308" t="str">
        <f>'A) Base RI'!B116</f>
        <v>Epalinges</v>
      </c>
      <c r="C120" s="10">
        <f>'A) Base RI'!V116</f>
        <v>9335</v>
      </c>
      <c r="D120" s="14">
        <f>'C) Prél. conj.'!H114</f>
        <v>1457595.5749999997</v>
      </c>
      <c r="E120" s="10">
        <f>'D) Ecrêtage'!M114</f>
        <v>0</v>
      </c>
      <c r="F120" s="14">
        <f>$F$10*'D) Ecrêtage'!C114</f>
        <v>6537614.1685515484</v>
      </c>
      <c r="G120" s="58">
        <f t="shared" si="1"/>
        <v>7995209.7435515486</v>
      </c>
    </row>
    <row r="121" spans="1:7" x14ac:dyDescent="0.25">
      <c r="A121" s="50">
        <f>'A) Base RI'!A117</f>
        <v>5585</v>
      </c>
      <c r="B121" s="308" t="str">
        <f>'A) Base RI'!B117</f>
        <v>Jouxtens-Mézery</v>
      </c>
      <c r="C121" s="10">
        <f>'A) Base RI'!V117</f>
        <v>1469</v>
      </c>
      <c r="D121" s="14">
        <f>'C) Prél. conj.'!H115</f>
        <v>180548.69999999998</v>
      </c>
      <c r="E121" s="10">
        <f>'D) Ecrêtage'!M115</f>
        <v>2188135.7998987772</v>
      </c>
      <c r="F121" s="14">
        <f>$F$10*'D) Ecrêtage'!C115</f>
        <v>2706980.1391078574</v>
      </c>
      <c r="G121" s="58">
        <f t="shared" si="1"/>
        <v>5075664.6390066352</v>
      </c>
    </row>
    <row r="122" spans="1:7" x14ac:dyDescent="0.25">
      <c r="A122" s="50">
        <f>'A) Base RI'!A118</f>
        <v>5586</v>
      </c>
      <c r="B122" s="308" t="str">
        <f>'A) Base RI'!B118</f>
        <v>Lausanne</v>
      </c>
      <c r="C122" s="10">
        <f>'A) Base RI'!V118</f>
        <v>139624</v>
      </c>
      <c r="D122" s="14">
        <f>'C) Prél. conj.'!H116</f>
        <v>20204444.675000001</v>
      </c>
      <c r="E122" s="10">
        <f>'D) Ecrêtage'!M116</f>
        <v>0</v>
      </c>
      <c r="F122" s="14">
        <f>$F$10*'D) Ecrêtage'!C116</f>
        <v>92634665.770500213</v>
      </c>
      <c r="G122" s="58">
        <f t="shared" si="1"/>
        <v>112839110.44550021</v>
      </c>
    </row>
    <row r="123" spans="1:7" x14ac:dyDescent="0.25">
      <c r="A123" s="50">
        <f>'A) Base RI'!A119</f>
        <v>5587</v>
      </c>
      <c r="B123" s="308" t="str">
        <f>'A) Base RI'!B119</f>
        <v>Le Mont-sur-Lausanne</v>
      </c>
      <c r="C123" s="10">
        <f>'A) Base RI'!V119</f>
        <v>8093</v>
      </c>
      <c r="D123" s="14">
        <f>'C) Prél. conj.'!H117</f>
        <v>1066570.3700000001</v>
      </c>
      <c r="E123" s="10">
        <f>'D) Ecrêtage'!M117</f>
        <v>749595.41163888585</v>
      </c>
      <c r="F123" s="14">
        <f>$F$10*'D) Ecrêtage'!C117</f>
        <v>6562028.6135282833</v>
      </c>
      <c r="G123" s="58">
        <f t="shared" si="1"/>
        <v>8378194.3951671692</v>
      </c>
    </row>
    <row r="124" spans="1:7" x14ac:dyDescent="0.25">
      <c r="A124" s="50">
        <f>'A) Base RI'!A120</f>
        <v>5588</v>
      </c>
      <c r="B124" s="308" t="str">
        <f>'A) Base RI'!B120</f>
        <v>Paudex</v>
      </c>
      <c r="C124" s="10">
        <f>'A) Base RI'!V120</f>
        <v>1480</v>
      </c>
      <c r="D124" s="14">
        <f>'C) Prél. conj.'!H118</f>
        <v>12969.404999999999</v>
      </c>
      <c r="E124" s="10">
        <f>'D) Ecrêtage'!M118</f>
        <v>1768991.2267042729</v>
      </c>
      <c r="F124" s="14">
        <f>$F$10*'D) Ecrêtage'!C118</f>
        <v>2322413.369688333</v>
      </c>
      <c r="G124" s="58">
        <f t="shared" si="1"/>
        <v>4104374.0013926057</v>
      </c>
    </row>
    <row r="125" spans="1:7" x14ac:dyDescent="0.25">
      <c r="A125" s="50">
        <f>'A) Base RI'!A121</f>
        <v>5589</v>
      </c>
      <c r="B125" s="308" t="str">
        <f>'A) Base RI'!B121</f>
        <v>Prilly</v>
      </c>
      <c r="C125" s="10">
        <f>'A) Base RI'!V121</f>
        <v>12105</v>
      </c>
      <c r="D125" s="14">
        <f>'C) Prél. conj.'!H119</f>
        <v>1144735.0250000001</v>
      </c>
      <c r="E125" s="10">
        <f>'D) Ecrêtage'!M119</f>
        <v>0</v>
      </c>
      <c r="F125" s="14">
        <f>$F$10*'D) Ecrêtage'!C119</f>
        <v>6267263.2024422931</v>
      </c>
      <c r="G125" s="58">
        <f t="shared" si="1"/>
        <v>7411998.2274422934</v>
      </c>
    </row>
    <row r="126" spans="1:7" x14ac:dyDescent="0.25">
      <c r="A126" s="50">
        <f>'A) Base RI'!A122</f>
        <v>5590</v>
      </c>
      <c r="B126" s="308" t="str">
        <f>'A) Base RI'!B122</f>
        <v>Pully</v>
      </c>
      <c r="C126" s="10">
        <f>'A) Base RI'!V122</f>
        <v>18194</v>
      </c>
      <c r="D126" s="14">
        <f>'C) Prél. conj.'!H120</f>
        <v>5217361.6050000004</v>
      </c>
      <c r="E126" s="10">
        <f>'D) Ecrêtage'!M120</f>
        <v>11452720.290722847</v>
      </c>
      <c r="F126" s="14">
        <f>$F$10*'D) Ecrêtage'!C120</f>
        <v>22656212.283834841</v>
      </c>
      <c r="G126" s="58">
        <f t="shared" si="1"/>
        <v>39326294.179557689</v>
      </c>
    </row>
    <row r="127" spans="1:7" x14ac:dyDescent="0.25">
      <c r="A127" s="50">
        <f>'A) Base RI'!A123</f>
        <v>5591</v>
      </c>
      <c r="B127" s="308" t="str">
        <f>'A) Base RI'!B123</f>
        <v>Renens</v>
      </c>
      <c r="C127" s="10">
        <f>'A) Base RI'!V123</f>
        <v>21114</v>
      </c>
      <c r="D127" s="14">
        <f>'C) Prél. conj.'!H121</f>
        <v>1754071.6649999998</v>
      </c>
      <c r="E127" s="10">
        <f>'D) Ecrêtage'!M121</f>
        <v>0</v>
      </c>
      <c r="F127" s="14">
        <f>$F$10*'D) Ecrêtage'!C121</f>
        <v>8301566.8364753807</v>
      </c>
      <c r="G127" s="58">
        <f t="shared" si="1"/>
        <v>10055638.501475381</v>
      </c>
    </row>
    <row r="128" spans="1:7" x14ac:dyDescent="0.25">
      <c r="A128" s="50">
        <f>'A) Base RI'!A124</f>
        <v>5592</v>
      </c>
      <c r="B128" s="308" t="str">
        <f>'A) Base RI'!B124</f>
        <v>Romanel-sur-Lausanne</v>
      </c>
      <c r="C128" s="10">
        <f>'A) Base RI'!V124</f>
        <v>3300</v>
      </c>
      <c r="D128" s="14">
        <f>'C) Prél. conj.'!H122</f>
        <v>223504.63999999998</v>
      </c>
      <c r="E128" s="10">
        <f>'D) Ecrêtage'!M122</f>
        <v>0</v>
      </c>
      <c r="F128" s="14">
        <f>$F$10*'D) Ecrêtage'!C122</f>
        <v>1759019.7640212486</v>
      </c>
      <c r="G128" s="58">
        <f t="shared" si="1"/>
        <v>1982524.4040212485</v>
      </c>
    </row>
    <row r="129" spans="1:7" x14ac:dyDescent="0.25">
      <c r="A129" s="50">
        <f>'A) Base RI'!A125</f>
        <v>5601</v>
      </c>
      <c r="B129" s="308" t="str">
        <f>'A) Base RI'!B125</f>
        <v>Chexbres</v>
      </c>
      <c r="C129" s="10">
        <f>'A) Base RI'!V125</f>
        <v>2250</v>
      </c>
      <c r="D129" s="14">
        <f>'C) Prél. conj.'!H123</f>
        <v>595738.29500000004</v>
      </c>
      <c r="E129" s="10">
        <f>'D) Ecrêtage'!M123</f>
        <v>193099.26415008784</v>
      </c>
      <c r="F129" s="14">
        <f>$F$10*'D) Ecrêtage'!C123</f>
        <v>1843175.0512346327</v>
      </c>
      <c r="G129" s="58">
        <f t="shared" si="1"/>
        <v>2632012.6103847204</v>
      </c>
    </row>
    <row r="130" spans="1:7" x14ac:dyDescent="0.25">
      <c r="A130" s="50">
        <f>'A) Base RI'!A126</f>
        <v>5604</v>
      </c>
      <c r="B130" s="308" t="str">
        <f>'A) Base RI'!B126</f>
        <v>Forel (Lavaux)</v>
      </c>
      <c r="C130" s="10">
        <f>'A) Base RI'!V126</f>
        <v>2084</v>
      </c>
      <c r="D130" s="14">
        <f>'C) Prél. conj.'!H124</f>
        <v>174157.98499999999</v>
      </c>
      <c r="E130" s="10">
        <f>'D) Ecrêtage'!M124</f>
        <v>0</v>
      </c>
      <c r="F130" s="14">
        <f>$F$10*'D) Ecrêtage'!C124</f>
        <v>1090831.8996164137</v>
      </c>
      <c r="G130" s="58">
        <f t="shared" si="1"/>
        <v>1264989.8846164136</v>
      </c>
    </row>
    <row r="131" spans="1:7" x14ac:dyDescent="0.25">
      <c r="A131" s="50">
        <f>'A) Base RI'!A127</f>
        <v>5606</v>
      </c>
      <c r="B131" s="308" t="str">
        <f>'A) Base RI'!B127</f>
        <v>Lutry</v>
      </c>
      <c r="C131" s="10">
        <f>'A) Base RI'!V127</f>
        <v>10001</v>
      </c>
      <c r="D131" s="14">
        <f>'C) Prél. conj.'!H125</f>
        <v>3167676.1149999998</v>
      </c>
      <c r="E131" s="10">
        <f>'D) Ecrêtage'!M125</f>
        <v>6391687.3715940993</v>
      </c>
      <c r="F131" s="14">
        <f>$F$10*'D) Ecrêtage'!C125</f>
        <v>12925610.084733315</v>
      </c>
      <c r="G131" s="58">
        <f t="shared" si="1"/>
        <v>22484973.571327414</v>
      </c>
    </row>
    <row r="132" spans="1:7" x14ac:dyDescent="0.25">
      <c r="A132" s="50">
        <f>'A) Base RI'!A128</f>
        <v>5607</v>
      </c>
      <c r="B132" s="308" t="str">
        <f>'A) Base RI'!B128</f>
        <v>Puidoux</v>
      </c>
      <c r="C132" s="10">
        <f>'A) Base RI'!V128</f>
        <v>2904</v>
      </c>
      <c r="D132" s="14">
        <f>'C) Prél. conj.'!H126</f>
        <v>380054.67499999999</v>
      </c>
      <c r="E132" s="10">
        <f>'D) Ecrêtage'!M126</f>
        <v>0</v>
      </c>
      <c r="F132" s="14">
        <f>$F$10*'D) Ecrêtage'!C126</f>
        <v>1652837.3551772947</v>
      </c>
      <c r="G132" s="58">
        <f t="shared" si="1"/>
        <v>2032892.0301772947</v>
      </c>
    </row>
    <row r="133" spans="1:7" x14ac:dyDescent="0.25">
      <c r="A133" s="50">
        <f>'A) Base RI'!A129</f>
        <v>5609</v>
      </c>
      <c r="B133" s="308" t="str">
        <f>'A) Base RI'!B129</f>
        <v>Rivaz</v>
      </c>
      <c r="C133" s="10">
        <f>'A) Base RI'!V129</f>
        <v>351</v>
      </c>
      <c r="D133" s="14">
        <f>'C) Prél. conj.'!H127</f>
        <v>36908.625</v>
      </c>
      <c r="E133" s="10">
        <f>'D) Ecrêtage'!M127</f>
        <v>0</v>
      </c>
      <c r="F133" s="14">
        <f>$F$10*'D) Ecrêtage'!C127</f>
        <v>245323.20931867143</v>
      </c>
      <c r="G133" s="58">
        <f t="shared" si="1"/>
        <v>282231.83431867143</v>
      </c>
    </row>
    <row r="134" spans="1:7" x14ac:dyDescent="0.25">
      <c r="A134" s="50">
        <f>'A) Base RI'!A130</f>
        <v>5610</v>
      </c>
      <c r="B134" s="308" t="str">
        <f>'A) Base RI'!B130</f>
        <v>St-Saphorin (Lavaux)</v>
      </c>
      <c r="C134" s="10">
        <f>'A) Base RI'!V130</f>
        <v>389</v>
      </c>
      <c r="D134" s="14">
        <f>'C) Prél. conj.'!H128</f>
        <v>117413.2</v>
      </c>
      <c r="E134" s="10">
        <f>'D) Ecrêtage'!M128</f>
        <v>0</v>
      </c>
      <c r="F134" s="14">
        <f>$F$10*'D) Ecrêtage'!C128</f>
        <v>242093.13993356159</v>
      </c>
      <c r="G134" s="58">
        <f t="shared" si="1"/>
        <v>359506.33993356157</v>
      </c>
    </row>
    <row r="135" spans="1:7" x14ac:dyDescent="0.25">
      <c r="A135" s="50">
        <f>'A) Base RI'!A131</f>
        <v>5611</v>
      </c>
      <c r="B135" s="308" t="str">
        <f>'A) Base RI'!B131</f>
        <v>Savigny</v>
      </c>
      <c r="C135" s="10">
        <f>'A) Base RI'!V131</f>
        <v>3352</v>
      </c>
      <c r="D135" s="14">
        <f>'C) Prél. conj.'!H129</f>
        <v>613888.86499999999</v>
      </c>
      <c r="E135" s="10">
        <f>'D) Ecrêtage'!M129</f>
        <v>0</v>
      </c>
      <c r="F135" s="14">
        <f>$F$10*'D) Ecrêtage'!C129</f>
        <v>2082182.4900427437</v>
      </c>
      <c r="G135" s="58">
        <f t="shared" si="1"/>
        <v>2696071.3550427435</v>
      </c>
    </row>
    <row r="136" spans="1:7" x14ac:dyDescent="0.25">
      <c r="A136" s="50">
        <f>'A) Base RI'!A132</f>
        <v>5613</v>
      </c>
      <c r="B136" s="308" t="str">
        <f>'A) Base RI'!B132</f>
        <v>Bourg-en-Lavaux</v>
      </c>
      <c r="C136" s="10">
        <f>'A) Base RI'!V132</f>
        <v>5288</v>
      </c>
      <c r="D136" s="14">
        <f>'C) Prél. conj.'!H130</f>
        <v>806048.52500000002</v>
      </c>
      <c r="E136" s="10">
        <f>'D) Ecrêtage'!M130</f>
        <v>1367922.0240893941</v>
      </c>
      <c r="F136" s="14">
        <f>$F$10*'D) Ecrêtage'!C130</f>
        <v>5203291.8672810188</v>
      </c>
      <c r="G136" s="58">
        <f t="shared" si="1"/>
        <v>7377262.4163704133</v>
      </c>
    </row>
    <row r="137" spans="1:7" x14ac:dyDescent="0.25">
      <c r="A137" s="50">
        <f>'A) Base RI'!A133</f>
        <v>5621</v>
      </c>
      <c r="B137" s="308" t="str">
        <f>'A) Base RI'!B133</f>
        <v>Aclens</v>
      </c>
      <c r="C137" s="10">
        <f>'A) Base RI'!V133</f>
        <v>545</v>
      </c>
      <c r="D137" s="14">
        <f>'C) Prél. conj.'!H131</f>
        <v>342009.97499999998</v>
      </c>
      <c r="E137" s="10">
        <f>'D) Ecrêtage'!M131</f>
        <v>64423.835142773773</v>
      </c>
      <c r="F137" s="14">
        <f>$F$10*'D) Ecrêtage'!C131</f>
        <v>469373.42761163623</v>
      </c>
      <c r="G137" s="58">
        <f t="shared" si="1"/>
        <v>875807.23775441002</v>
      </c>
    </row>
    <row r="138" spans="1:7" x14ac:dyDescent="0.25">
      <c r="A138" s="50">
        <f>'A) Base RI'!A134</f>
        <v>5622</v>
      </c>
      <c r="B138" s="308" t="str">
        <f>'A) Base RI'!B134</f>
        <v>Bremblens</v>
      </c>
      <c r="C138" s="10">
        <f>'A) Base RI'!V134</f>
        <v>547</v>
      </c>
      <c r="D138" s="14">
        <f>'C) Prél. conj.'!H132</f>
        <v>36294.514999999999</v>
      </c>
      <c r="E138" s="10">
        <f>'D) Ecrêtage'!M132</f>
        <v>72877.589987405212</v>
      </c>
      <c r="F138" s="14">
        <f>$F$10*'D) Ecrêtage'!C132</f>
        <v>474319.42261041183</v>
      </c>
      <c r="G138" s="58">
        <f t="shared" si="1"/>
        <v>583491.52759781701</v>
      </c>
    </row>
    <row r="139" spans="1:7" x14ac:dyDescent="0.25">
      <c r="A139" s="50">
        <f>'A) Base RI'!A135</f>
        <v>5623</v>
      </c>
      <c r="B139" s="308" t="str">
        <f>'A) Base RI'!B135</f>
        <v>Buchillon</v>
      </c>
      <c r="C139" s="10">
        <f>'A) Base RI'!V135</f>
        <v>638</v>
      </c>
      <c r="D139" s="14">
        <f>'C) Prél. conj.'!H133</f>
        <v>71484.33</v>
      </c>
      <c r="E139" s="10">
        <f>'D) Ecrêtage'!M133</f>
        <v>955598.19094650715</v>
      </c>
      <c r="F139" s="14">
        <f>$F$10*'D) Ecrêtage'!C133</f>
        <v>1178803.9533131998</v>
      </c>
      <c r="G139" s="58">
        <f t="shared" si="1"/>
        <v>2205886.4742597071</v>
      </c>
    </row>
    <row r="140" spans="1:7" x14ac:dyDescent="0.25">
      <c r="A140" s="50">
        <f>'A) Base RI'!A136</f>
        <v>5624</v>
      </c>
      <c r="B140" s="308" t="str">
        <f>'A) Base RI'!B136</f>
        <v>Bussigny</v>
      </c>
      <c r="C140" s="10">
        <f>'A) Base RI'!V136</f>
        <v>8677</v>
      </c>
      <c r="D140" s="14">
        <f>'C) Prél. conj.'!H134</f>
        <v>1324598.4300000002</v>
      </c>
      <c r="E140" s="10">
        <f>'D) Ecrêtage'!M134</f>
        <v>0</v>
      </c>
      <c r="F140" s="14">
        <f>$F$10*'D) Ecrêtage'!C134</f>
        <v>4943502.3259034902</v>
      </c>
      <c r="G140" s="58">
        <f t="shared" ref="G140:G203" si="2">D140+F140+E140</f>
        <v>6268100.7559034899</v>
      </c>
    </row>
    <row r="141" spans="1:7" x14ac:dyDescent="0.25">
      <c r="A141" s="50">
        <f>'A) Base RI'!A137</f>
        <v>5625</v>
      </c>
      <c r="B141" s="308" t="str">
        <f>'A) Base RI'!B137</f>
        <v>Bussy-Chardonney</v>
      </c>
      <c r="C141" s="10">
        <f>'A) Base RI'!V137</f>
        <v>371</v>
      </c>
      <c r="D141" s="14">
        <f>'C) Prél. conj.'!H135</f>
        <v>40498.875</v>
      </c>
      <c r="E141" s="10">
        <f>'D) Ecrêtage'!M135</f>
        <v>0</v>
      </c>
      <c r="F141" s="14">
        <f>$F$10*'D) Ecrêtage'!C135</f>
        <v>215308.34505359599</v>
      </c>
      <c r="G141" s="58">
        <f t="shared" si="2"/>
        <v>255807.22005359599</v>
      </c>
    </row>
    <row r="142" spans="1:7" x14ac:dyDescent="0.25">
      <c r="A142" s="50">
        <f>'A) Base RI'!A138</f>
        <v>5627</v>
      </c>
      <c r="B142" s="308" t="str">
        <f>'A) Base RI'!B138</f>
        <v>Chavannes-près-Renens</v>
      </c>
      <c r="C142" s="10">
        <f>'A) Base RI'!V138</f>
        <v>7653</v>
      </c>
      <c r="D142" s="14">
        <f>'C) Prél. conj.'!H136</f>
        <v>1384455.01</v>
      </c>
      <c r="E142" s="10">
        <f>'D) Ecrêtage'!M136</f>
        <v>0</v>
      </c>
      <c r="F142" s="14">
        <f>$F$10*'D) Ecrêtage'!C136</f>
        <v>2646296.8633850939</v>
      </c>
      <c r="G142" s="58">
        <f t="shared" si="2"/>
        <v>4030751.8733850941</v>
      </c>
    </row>
    <row r="143" spans="1:7" x14ac:dyDescent="0.25">
      <c r="A143" s="50">
        <f>'A) Base RI'!A139</f>
        <v>5628</v>
      </c>
      <c r="B143" s="308" t="str">
        <f>'A) Base RI'!B139</f>
        <v>Chigny</v>
      </c>
      <c r="C143" s="10">
        <f>'A) Base RI'!V139</f>
        <v>338</v>
      </c>
      <c r="D143" s="14">
        <f>'C) Prél. conj.'!H137</f>
        <v>56715.590000000004</v>
      </c>
      <c r="E143" s="10">
        <f>'D) Ecrêtage'!M137</f>
        <v>59700.696689880424</v>
      </c>
      <c r="F143" s="14">
        <f>$F$10*'D) Ecrêtage'!C137</f>
        <v>307845.91588661273</v>
      </c>
      <c r="G143" s="58">
        <f t="shared" si="2"/>
        <v>424262.20257649315</v>
      </c>
    </row>
    <row r="144" spans="1:7" x14ac:dyDescent="0.25">
      <c r="A144" s="50">
        <f>'A) Base RI'!A140</f>
        <v>5629</v>
      </c>
      <c r="B144" s="308" t="str">
        <f>'A) Base RI'!B140</f>
        <v>Clarmont</v>
      </c>
      <c r="C144" s="10">
        <f>'A) Base RI'!V140</f>
        <v>189</v>
      </c>
      <c r="D144" s="14">
        <f>'C) Prél. conj.'!H138</f>
        <v>12067.3</v>
      </c>
      <c r="E144" s="10">
        <f>'D) Ecrêtage'!M138</f>
        <v>0</v>
      </c>
      <c r="F144" s="14">
        <f>$F$10*'D) Ecrêtage'!C138</f>
        <v>117420.32901805249</v>
      </c>
      <c r="G144" s="58">
        <f t="shared" si="2"/>
        <v>129487.6290180525</v>
      </c>
    </row>
    <row r="145" spans="1:7" x14ac:dyDescent="0.25">
      <c r="A145" s="50">
        <f>'A) Base RI'!A141</f>
        <v>5631</v>
      </c>
      <c r="B145" s="308" t="str">
        <f>'A) Base RI'!B141</f>
        <v>Denens</v>
      </c>
      <c r="C145" s="10">
        <f>'A) Base RI'!V141</f>
        <v>774</v>
      </c>
      <c r="D145" s="14">
        <f>'C) Prél. conj.'!H139</f>
        <v>105922.22500000001</v>
      </c>
      <c r="E145" s="10">
        <f>'D) Ecrêtage'!M139</f>
        <v>168690.32953835273</v>
      </c>
      <c r="F145" s="14">
        <f>$F$10*'D) Ecrêtage'!C139</f>
        <v>715721.14709795697</v>
      </c>
      <c r="G145" s="58">
        <f t="shared" si="2"/>
        <v>990333.70163630974</v>
      </c>
    </row>
    <row r="146" spans="1:7" x14ac:dyDescent="0.25">
      <c r="A146" s="50">
        <f>'A) Base RI'!A142</f>
        <v>5632</v>
      </c>
      <c r="B146" s="308" t="str">
        <f>'A) Base RI'!B142</f>
        <v>Denges</v>
      </c>
      <c r="C146" s="10">
        <f>'A) Base RI'!V142</f>
        <v>1614</v>
      </c>
      <c r="D146" s="14">
        <f>'C) Prél. conj.'!H140</f>
        <v>145401.43</v>
      </c>
      <c r="E146" s="10">
        <f>'D) Ecrêtage'!M140</f>
        <v>0</v>
      </c>
      <c r="F146" s="14">
        <f>$F$10*'D) Ecrêtage'!C140</f>
        <v>1059599.030653869</v>
      </c>
      <c r="G146" s="58">
        <f t="shared" si="2"/>
        <v>1205000.460653869</v>
      </c>
    </row>
    <row r="147" spans="1:7" x14ac:dyDescent="0.25">
      <c r="A147" s="50">
        <f>'A) Base RI'!A143</f>
        <v>5633</v>
      </c>
      <c r="B147" s="308" t="str">
        <f>'A) Base RI'!B143</f>
        <v>Echandens</v>
      </c>
      <c r="C147" s="10">
        <f>'A) Base RI'!V143</f>
        <v>2757</v>
      </c>
      <c r="D147" s="14">
        <f>'C) Prél. conj.'!H141</f>
        <v>350940.51500000001</v>
      </c>
      <c r="E147" s="10">
        <f>'D) Ecrêtage'!M141</f>
        <v>92266.445104660379</v>
      </c>
      <c r="F147" s="14">
        <f>$F$10*'D) Ecrêtage'!C141</f>
        <v>2084265.6826972184</v>
      </c>
      <c r="G147" s="58">
        <f t="shared" si="2"/>
        <v>2527472.642801879</v>
      </c>
    </row>
    <row r="148" spans="1:7" x14ac:dyDescent="0.25">
      <c r="A148" s="50">
        <f>'A) Base RI'!A144</f>
        <v>5634</v>
      </c>
      <c r="B148" s="308" t="str">
        <f>'A) Base RI'!B144</f>
        <v>Echichens</v>
      </c>
      <c r="C148" s="10">
        <f>'A) Base RI'!V144</f>
        <v>2712</v>
      </c>
      <c r="D148" s="14">
        <f>'C) Prél. conj.'!H142</f>
        <v>526424.66</v>
      </c>
      <c r="E148" s="10">
        <f>'D) Ecrêtage'!M142</f>
        <v>55183.309928212002</v>
      </c>
      <c r="F148" s="14">
        <f>$F$10*'D) Ecrêtage'!C142</f>
        <v>1998787.4698693079</v>
      </c>
      <c r="G148" s="58">
        <f t="shared" si="2"/>
        <v>2580395.4397975197</v>
      </c>
    </row>
    <row r="149" spans="1:7" x14ac:dyDescent="0.25">
      <c r="A149" s="50">
        <f>'A) Base RI'!A145</f>
        <v>5635</v>
      </c>
      <c r="B149" s="308" t="str">
        <f>'A) Base RI'!B145</f>
        <v>Ecublens</v>
      </c>
      <c r="C149" s="10">
        <f>'A) Base RI'!V145</f>
        <v>12560</v>
      </c>
      <c r="D149" s="14">
        <f>'C) Prél. conj.'!H143</f>
        <v>1385855.395</v>
      </c>
      <c r="E149" s="10">
        <f>'D) Ecrêtage'!M143</f>
        <v>0</v>
      </c>
      <c r="F149" s="14">
        <f>$F$10*'D) Ecrêtage'!C143</f>
        <v>7076530.9168968527</v>
      </c>
      <c r="G149" s="58">
        <f t="shared" si="2"/>
        <v>8462386.3118968531</v>
      </c>
    </row>
    <row r="150" spans="1:7" x14ac:dyDescent="0.25">
      <c r="A150" s="50">
        <f>'A) Base RI'!A146</f>
        <v>5636</v>
      </c>
      <c r="B150" s="308" t="str">
        <f>'A) Base RI'!B146</f>
        <v>Etoy</v>
      </c>
      <c r="C150" s="10">
        <f>'A) Base RI'!V146</f>
        <v>2908</v>
      </c>
      <c r="D150" s="14">
        <f>'C) Prél. conj.'!H144</f>
        <v>717033.77499999991</v>
      </c>
      <c r="E150" s="10">
        <f>'D) Ecrêtage'!M144</f>
        <v>239160.1932912209</v>
      </c>
      <c r="F150" s="14">
        <f>$F$10*'D) Ecrêtage'!C144</f>
        <v>2383867.8347206209</v>
      </c>
      <c r="G150" s="58">
        <f t="shared" si="2"/>
        <v>3340061.8030118416</v>
      </c>
    </row>
    <row r="151" spans="1:7" x14ac:dyDescent="0.25">
      <c r="A151" s="50">
        <f>'A) Base RI'!A147</f>
        <v>5637</v>
      </c>
      <c r="B151" s="308" t="str">
        <f>'A) Base RI'!B147</f>
        <v>Lavigny</v>
      </c>
      <c r="C151" s="10">
        <f>'A) Base RI'!V147</f>
        <v>1007</v>
      </c>
      <c r="D151" s="14">
        <f>'C) Prél. conj.'!H145</f>
        <v>117911.27499999999</v>
      </c>
      <c r="E151" s="10">
        <f>'D) Ecrêtage'!M145</f>
        <v>0</v>
      </c>
      <c r="F151" s="14">
        <f>$F$10*'D) Ecrêtage'!C145</f>
        <v>569331.71932830184</v>
      </c>
      <c r="G151" s="58">
        <f t="shared" si="2"/>
        <v>687242.99432830187</v>
      </c>
    </row>
    <row r="152" spans="1:7" x14ac:dyDescent="0.25">
      <c r="A152" s="50">
        <f>'A) Base RI'!A148</f>
        <v>5638</v>
      </c>
      <c r="B152" s="308" t="str">
        <f>'A) Base RI'!B148</f>
        <v>Lonay</v>
      </c>
      <c r="C152" s="10">
        <f>'A) Base RI'!V148</f>
        <v>2492</v>
      </c>
      <c r="D152" s="14">
        <f>'C) Prél. conj.'!H146</f>
        <v>3014894.8400000003</v>
      </c>
      <c r="E152" s="10">
        <f>'D) Ecrêtage'!M146</f>
        <v>447217.89711123356</v>
      </c>
      <c r="F152" s="14">
        <f>$F$10*'D) Ecrêtage'!C146</f>
        <v>2323944.0897801719</v>
      </c>
      <c r="G152" s="58">
        <f t="shared" si="2"/>
        <v>5786056.8268914055</v>
      </c>
    </row>
    <row r="153" spans="1:7" x14ac:dyDescent="0.25">
      <c r="A153" s="50">
        <f>'A) Base RI'!A149</f>
        <v>5639</v>
      </c>
      <c r="B153" s="308" t="str">
        <f>'A) Base RI'!B149</f>
        <v>Lully</v>
      </c>
      <c r="C153" s="10">
        <f>'A) Base RI'!V149</f>
        <v>795</v>
      </c>
      <c r="D153" s="14">
        <f>'C) Prél. conj.'!H147</f>
        <v>93502.709999999992</v>
      </c>
      <c r="E153" s="10">
        <f>'D) Ecrêtage'!M147</f>
        <v>235564.30276287225</v>
      </c>
      <c r="F153" s="14">
        <f>$F$10*'D) Ecrêtage'!C147</f>
        <v>808050.24654610665</v>
      </c>
      <c r="G153" s="58">
        <f t="shared" si="2"/>
        <v>1137117.2593089789</v>
      </c>
    </row>
    <row r="154" spans="1:7" x14ac:dyDescent="0.25">
      <c r="A154" s="50">
        <f>'A) Base RI'!A150</f>
        <v>5640</v>
      </c>
      <c r="B154" s="308" t="str">
        <f>'A) Base RI'!B150</f>
        <v>Lussy-sur-Morges</v>
      </c>
      <c r="C154" s="10">
        <f>'A) Base RI'!V150</f>
        <v>667</v>
      </c>
      <c r="D154" s="14">
        <f>'C) Prél. conj.'!H148</f>
        <v>728830.68500000006</v>
      </c>
      <c r="E154" s="10">
        <f>'D) Ecrêtage'!M148</f>
        <v>520942.64297790034</v>
      </c>
      <c r="F154" s="14">
        <f>$F$10*'D) Ecrêtage'!C148</f>
        <v>870425.07159146492</v>
      </c>
      <c r="G154" s="58">
        <f t="shared" si="2"/>
        <v>2120198.3995693652</v>
      </c>
    </row>
    <row r="155" spans="1:7" x14ac:dyDescent="0.25">
      <c r="A155" s="50">
        <f>'A) Base RI'!A151</f>
        <v>5642</v>
      </c>
      <c r="B155" s="308" t="str">
        <f>'A) Base RI'!B151</f>
        <v>Morges</v>
      </c>
      <c r="C155" s="10">
        <f>'A) Base RI'!V151</f>
        <v>15839</v>
      </c>
      <c r="D155" s="14">
        <f>'C) Prél. conj.'!H149</f>
        <v>3317982.5750000002</v>
      </c>
      <c r="E155" s="10">
        <f>'D) Ecrêtage'!M149</f>
        <v>294731.3735896264</v>
      </c>
      <c r="F155" s="14">
        <f>$F$10*'D) Ecrêtage'!C149</f>
        <v>11639133.838307813</v>
      </c>
      <c r="G155" s="58">
        <f t="shared" si="2"/>
        <v>15251847.786897438</v>
      </c>
    </row>
    <row r="156" spans="1:7" x14ac:dyDescent="0.25">
      <c r="A156" s="50">
        <f>'A) Base RI'!A152</f>
        <v>5643</v>
      </c>
      <c r="B156" s="308" t="str">
        <f>'A) Base RI'!B152</f>
        <v>Préverenges</v>
      </c>
      <c r="C156" s="10">
        <f>'A) Base RI'!V152</f>
        <v>5291</v>
      </c>
      <c r="D156" s="14">
        <f>'C) Prél. conj.'!H150</f>
        <v>349748.18999999994</v>
      </c>
      <c r="E156" s="10">
        <f>'D) Ecrêtage'!M150</f>
        <v>286150.92612360575</v>
      </c>
      <c r="F156" s="14">
        <f>$F$10*'D) Ecrêtage'!C150</f>
        <v>4127349.2416400788</v>
      </c>
      <c r="G156" s="58">
        <f t="shared" si="2"/>
        <v>4763248.3577636853</v>
      </c>
    </row>
    <row r="157" spans="1:7" x14ac:dyDescent="0.25">
      <c r="A157" s="50">
        <f>'A) Base RI'!A153</f>
        <v>5644</v>
      </c>
      <c r="B157" s="308" t="str">
        <f>'A) Base RI'!B153</f>
        <v>Reverolle</v>
      </c>
      <c r="C157" s="10">
        <f>'A) Base RI'!V153</f>
        <v>382</v>
      </c>
      <c r="D157" s="14">
        <f>'C) Prél. conj.'!H151</f>
        <v>25572.145000000004</v>
      </c>
      <c r="E157" s="10">
        <f>'D) Ecrêtage'!M151</f>
        <v>0</v>
      </c>
      <c r="F157" s="14">
        <f>$F$10*'D) Ecrêtage'!C151</f>
        <v>235958.77419086453</v>
      </c>
      <c r="G157" s="58">
        <f t="shared" si="2"/>
        <v>261530.91919086454</v>
      </c>
    </row>
    <row r="158" spans="1:7" x14ac:dyDescent="0.25">
      <c r="A158" s="50">
        <f>'A) Base RI'!A154</f>
        <v>5645</v>
      </c>
      <c r="B158" s="308" t="str">
        <f>'A) Base RI'!B154</f>
        <v>Romanel-sur-Morges</v>
      </c>
      <c r="C158" s="10">
        <f>'A) Base RI'!V154</f>
        <v>470</v>
      </c>
      <c r="D158" s="14">
        <f>'C) Prél. conj.'!H152</f>
        <v>31263.059999999998</v>
      </c>
      <c r="E158" s="10">
        <f>'D) Ecrêtage'!M152</f>
        <v>56267.326979225661</v>
      </c>
      <c r="F158" s="14">
        <f>$F$10*'D) Ecrêtage'!C152</f>
        <v>410495.62821659062</v>
      </c>
      <c r="G158" s="58">
        <f t="shared" si="2"/>
        <v>498026.01519581629</v>
      </c>
    </row>
    <row r="159" spans="1:7" x14ac:dyDescent="0.25">
      <c r="A159" s="50">
        <f>'A) Base RI'!A155</f>
        <v>5646</v>
      </c>
      <c r="B159" s="308" t="str">
        <f>'A) Base RI'!B155</f>
        <v>Saint-Prex</v>
      </c>
      <c r="C159" s="10">
        <f>'A) Base RI'!V155</f>
        <v>5695</v>
      </c>
      <c r="D159" s="14">
        <f>'C) Prél. conj.'!H153</f>
        <v>1073361.345</v>
      </c>
      <c r="E159" s="10">
        <f>'D) Ecrêtage'!M153</f>
        <v>6041458.2667718884</v>
      </c>
      <c r="F159" s="14">
        <f>$F$10*'D) Ecrêtage'!C153</f>
        <v>8910120.1175102852</v>
      </c>
      <c r="G159" s="58">
        <f t="shared" si="2"/>
        <v>16024939.729282174</v>
      </c>
    </row>
    <row r="160" spans="1:7" x14ac:dyDescent="0.25">
      <c r="A160" s="50">
        <f>'A) Base RI'!A156</f>
        <v>5648</v>
      </c>
      <c r="B160" s="308" t="str">
        <f>'A) Base RI'!B156</f>
        <v>Saint-Sulpice</v>
      </c>
      <c r="C160" s="10">
        <f>'A) Base RI'!V156</f>
        <v>4524</v>
      </c>
      <c r="D160" s="14">
        <f>'C) Prél. conj.'!H154</f>
        <v>1212954.665</v>
      </c>
      <c r="E160" s="10">
        <f>'D) Ecrêtage'!M154</f>
        <v>2652193.9886576985</v>
      </c>
      <c r="F160" s="14">
        <f>$F$10*'D) Ecrêtage'!C154</f>
        <v>5694170.2561923359</v>
      </c>
      <c r="G160" s="58">
        <f t="shared" si="2"/>
        <v>9559318.9098500349</v>
      </c>
    </row>
    <row r="161" spans="1:7" x14ac:dyDescent="0.25">
      <c r="A161" s="50">
        <f>'A) Base RI'!A157</f>
        <v>5649</v>
      </c>
      <c r="B161" s="308" t="str">
        <f>'A) Base RI'!B157</f>
        <v>Tolochenaz</v>
      </c>
      <c r="C161" s="10">
        <f>'A) Base RI'!V157</f>
        <v>1883</v>
      </c>
      <c r="D161" s="14">
        <f>'C) Prél. conj.'!H155</f>
        <v>378468.63</v>
      </c>
      <c r="E161" s="10">
        <f>'D) Ecrêtage'!M155</f>
        <v>2015114.5174807101</v>
      </c>
      <c r="F161" s="14">
        <f>$F$10*'D) Ecrêtage'!C155</f>
        <v>2778274.2109750742</v>
      </c>
      <c r="G161" s="58">
        <f t="shared" si="2"/>
        <v>5171857.3584557846</v>
      </c>
    </row>
    <row r="162" spans="1:7" x14ac:dyDescent="0.25">
      <c r="A162" s="50">
        <f>'A) Base RI'!A158</f>
        <v>5650</v>
      </c>
      <c r="B162" s="308" t="str">
        <f>'A) Base RI'!B158</f>
        <v>Vaux-sur-Morges</v>
      </c>
      <c r="C162" s="10">
        <f>'A) Base RI'!V158</f>
        <v>199</v>
      </c>
      <c r="D162" s="14">
        <f>'C) Prél. conj.'!H156</f>
        <v>11078.434999999999</v>
      </c>
      <c r="E162" s="10">
        <f>'D) Ecrêtage'!M156</f>
        <v>5209584.7523935679</v>
      </c>
      <c r="F162" s="14">
        <f>$F$10*'D) Ecrêtage'!C156</f>
        <v>2675566.8340092129</v>
      </c>
      <c r="G162" s="58">
        <f t="shared" si="2"/>
        <v>7896230.0214027809</v>
      </c>
    </row>
    <row r="163" spans="1:7" x14ac:dyDescent="0.25">
      <c r="A163" s="50">
        <f>'A) Base RI'!A159</f>
        <v>5651</v>
      </c>
      <c r="B163" s="308" t="str">
        <f>'A) Base RI'!B159</f>
        <v>Villars-Sainte-Croix</v>
      </c>
      <c r="C163" s="10">
        <f>'A) Base RI'!V159</f>
        <v>935</v>
      </c>
      <c r="D163" s="14">
        <f>'C) Prél. conj.'!H157</f>
        <v>187318.32499999998</v>
      </c>
      <c r="E163" s="10">
        <f>'D) Ecrêtage'!M157</f>
        <v>64059.258449580426</v>
      </c>
      <c r="F163" s="14">
        <f>$F$10*'D) Ecrêtage'!C157</f>
        <v>752685.38286332705</v>
      </c>
      <c r="G163" s="58">
        <f t="shared" si="2"/>
        <v>1004062.9663129074</v>
      </c>
    </row>
    <row r="164" spans="1:7" x14ac:dyDescent="0.25">
      <c r="A164" s="50">
        <f>'A) Base RI'!A160</f>
        <v>5652</v>
      </c>
      <c r="B164" s="308" t="str">
        <f>'A) Base RI'!B160</f>
        <v>Villars-sous-Yens</v>
      </c>
      <c r="C164" s="10">
        <f>'A) Base RI'!V160</f>
        <v>614</v>
      </c>
      <c r="D164" s="14">
        <f>'C) Prél. conj.'!H158</f>
        <v>28862.654999999999</v>
      </c>
      <c r="E164" s="10">
        <f>'D) Ecrêtage'!M158</f>
        <v>0</v>
      </c>
      <c r="F164" s="14">
        <f>$F$10*'D) Ecrêtage'!C158</f>
        <v>406931.83362149535</v>
      </c>
      <c r="G164" s="58">
        <f t="shared" si="2"/>
        <v>435794.48862149531</v>
      </c>
    </row>
    <row r="165" spans="1:7" x14ac:dyDescent="0.25">
      <c r="A165" s="50">
        <f>'A) Base RI'!A161</f>
        <v>5653</v>
      </c>
      <c r="B165" s="308" t="str">
        <f>'A) Base RI'!B161</f>
        <v>Vufflens-le-Château</v>
      </c>
      <c r="C165" s="10">
        <f>'A) Base RI'!V161</f>
        <v>884</v>
      </c>
      <c r="D165" s="14">
        <f>'C) Prél. conj.'!H159</f>
        <v>38172.865000000005</v>
      </c>
      <c r="E165" s="10">
        <f>'D) Ecrêtage'!M159</f>
        <v>255163.11637974725</v>
      </c>
      <c r="F165" s="14">
        <f>$F$10*'D) Ecrêtage'!C159</f>
        <v>916669.70849261107</v>
      </c>
      <c r="G165" s="58">
        <f t="shared" si="2"/>
        <v>1210005.6898723582</v>
      </c>
    </row>
    <row r="166" spans="1:7" x14ac:dyDescent="0.25">
      <c r="A166" s="50">
        <f>'A) Base RI'!A162</f>
        <v>5654</v>
      </c>
      <c r="B166" s="308" t="str">
        <f>'A) Base RI'!B162</f>
        <v>Vullierens</v>
      </c>
      <c r="C166" s="10">
        <f>'A) Base RI'!V162</f>
        <v>499</v>
      </c>
      <c r="D166" s="14">
        <f>'C) Prél. conj.'!H160</f>
        <v>18591.13</v>
      </c>
      <c r="E166" s="10">
        <f>'D) Ecrêtage'!M160</f>
        <v>0</v>
      </c>
      <c r="F166" s="14">
        <f>$F$10*'D) Ecrêtage'!C160</f>
        <v>292622.35627898859</v>
      </c>
      <c r="G166" s="58">
        <f t="shared" si="2"/>
        <v>311213.4862789886</v>
      </c>
    </row>
    <row r="167" spans="1:7" x14ac:dyDescent="0.25">
      <c r="A167" s="50">
        <f>'A) Base RI'!A163</f>
        <v>5655</v>
      </c>
      <c r="B167" s="308" t="str">
        <f>'A) Base RI'!B163</f>
        <v>Yens</v>
      </c>
      <c r="C167" s="10">
        <f>'A) Base RI'!V163</f>
        <v>1395</v>
      </c>
      <c r="D167" s="14">
        <f>'C) Prél. conj.'!H161</f>
        <v>406615.83999999997</v>
      </c>
      <c r="E167" s="10">
        <f>'D) Ecrêtage'!M161</f>
        <v>123876.1457973901</v>
      </c>
      <c r="F167" s="14">
        <f>$F$10*'D) Ecrêtage'!C161</f>
        <v>1129065.6974899613</v>
      </c>
      <c r="G167" s="58">
        <f t="shared" si="2"/>
        <v>1659557.6832873514</v>
      </c>
    </row>
    <row r="168" spans="1:7" x14ac:dyDescent="0.25">
      <c r="A168" s="50">
        <f>'A) Base RI'!A164</f>
        <v>5661</v>
      </c>
      <c r="B168" s="308" t="str">
        <f>'A) Base RI'!B164</f>
        <v>Boulens</v>
      </c>
      <c r="C168" s="10">
        <f>'A) Base RI'!V164</f>
        <v>377</v>
      </c>
      <c r="D168" s="14">
        <f>'C) Prél. conj.'!H162</f>
        <v>11886.779999999999</v>
      </c>
      <c r="E168" s="10">
        <f>'D) Ecrêtage'!M162</f>
        <v>0</v>
      </c>
      <c r="F168" s="14">
        <f>$F$10*'D) Ecrêtage'!C162</f>
        <v>142882.51371582973</v>
      </c>
      <c r="G168" s="58">
        <f t="shared" si="2"/>
        <v>154769.29371582973</v>
      </c>
    </row>
    <row r="169" spans="1:7" x14ac:dyDescent="0.25">
      <c r="A169" s="50">
        <f>'A) Base RI'!A165</f>
        <v>5663</v>
      </c>
      <c r="B169" s="308" t="str">
        <f>'A) Base RI'!B165</f>
        <v>Bussy-sur-Moudon</v>
      </c>
      <c r="C169" s="10">
        <f>'A) Base RI'!V165</f>
        <v>209</v>
      </c>
      <c r="D169" s="14">
        <f>'C) Prél. conj.'!H163</f>
        <v>14246.7</v>
      </c>
      <c r="E169" s="10">
        <f>'D) Ecrêtage'!M163</f>
        <v>0</v>
      </c>
      <c r="F169" s="14">
        <f>$F$10*'D) Ecrêtage'!C163</f>
        <v>89216.072900906875</v>
      </c>
      <c r="G169" s="58">
        <f t="shared" si="2"/>
        <v>103462.77290090687</v>
      </c>
    </row>
    <row r="170" spans="1:7" x14ac:dyDescent="0.25">
      <c r="A170" s="50">
        <f>'A) Base RI'!A166</f>
        <v>5665</v>
      </c>
      <c r="B170" s="308" t="str">
        <f>'A) Base RI'!B166</f>
        <v>Chavannes-sur-Moudon</v>
      </c>
      <c r="C170" s="10">
        <f>'A) Base RI'!V166</f>
        <v>220</v>
      </c>
      <c r="D170" s="14">
        <f>'C) Prél. conj.'!H164</f>
        <v>1545.675</v>
      </c>
      <c r="E170" s="10">
        <f>'D) Ecrêtage'!M164</f>
        <v>0</v>
      </c>
      <c r="F170" s="14">
        <f>$F$10*'D) Ecrêtage'!C164</f>
        <v>79331.008026723459</v>
      </c>
      <c r="G170" s="58">
        <f t="shared" si="2"/>
        <v>80876.683026723462</v>
      </c>
    </row>
    <row r="171" spans="1:7" x14ac:dyDescent="0.25">
      <c r="A171" s="50">
        <f>'A) Base RI'!A167</f>
        <v>5669</v>
      </c>
      <c r="B171" s="308" t="str">
        <f>'A) Base RI'!B167</f>
        <v>Curtilles</v>
      </c>
      <c r="C171" s="10">
        <f>'A) Base RI'!V167</f>
        <v>318</v>
      </c>
      <c r="D171" s="14">
        <f>'C) Prél. conj.'!H165</f>
        <v>32836.1</v>
      </c>
      <c r="E171" s="10">
        <f>'D) Ecrêtage'!M165</f>
        <v>0</v>
      </c>
      <c r="F171" s="14">
        <f>$F$10*'D) Ecrêtage'!C165</f>
        <v>142447.80052678156</v>
      </c>
      <c r="G171" s="58">
        <f t="shared" si="2"/>
        <v>175283.90052678157</v>
      </c>
    </row>
    <row r="172" spans="1:7" x14ac:dyDescent="0.25">
      <c r="A172" s="50">
        <f>'A) Base RI'!A168</f>
        <v>5671</v>
      </c>
      <c r="B172" s="308" t="str">
        <f>'A) Base RI'!B168</f>
        <v>Dompierre</v>
      </c>
      <c r="C172" s="10">
        <f>'A) Base RI'!V168</f>
        <v>259</v>
      </c>
      <c r="D172" s="14">
        <f>'C) Prél. conj.'!H166</f>
        <v>27.5</v>
      </c>
      <c r="E172" s="10">
        <f>'D) Ecrêtage'!M166</f>
        <v>0</v>
      </c>
      <c r="F172" s="14">
        <f>$F$10*'D) Ecrêtage'!C166</f>
        <v>99921.179395112209</v>
      </c>
      <c r="G172" s="58">
        <f t="shared" si="2"/>
        <v>99948.679395112209</v>
      </c>
    </row>
    <row r="173" spans="1:7" x14ac:dyDescent="0.25">
      <c r="A173" s="50">
        <f>'A) Base RI'!A169</f>
        <v>5673</v>
      </c>
      <c r="B173" s="308" t="str">
        <f>'A) Base RI'!B169</f>
        <v>Hermenches</v>
      </c>
      <c r="C173" s="10">
        <f>'A) Base RI'!V169</f>
        <v>379</v>
      </c>
      <c r="D173" s="14">
        <f>'C) Prél. conj.'!H167</f>
        <v>5346.1950000000006</v>
      </c>
      <c r="E173" s="10">
        <f>'D) Ecrêtage'!M167</f>
        <v>0</v>
      </c>
      <c r="F173" s="14">
        <f>$F$10*'D) Ecrêtage'!C167</f>
        <v>140607.55954982823</v>
      </c>
      <c r="G173" s="58">
        <f t="shared" si="2"/>
        <v>145953.75454982824</v>
      </c>
    </row>
    <row r="174" spans="1:7" x14ac:dyDescent="0.25">
      <c r="A174" s="50">
        <f>'A) Base RI'!A170</f>
        <v>5674</v>
      </c>
      <c r="B174" s="308" t="str">
        <f>'A) Base RI'!B170</f>
        <v>Lovatens</v>
      </c>
      <c r="C174" s="10">
        <f>'A) Base RI'!V170</f>
        <v>141</v>
      </c>
      <c r="D174" s="14">
        <f>'C) Prél. conj.'!H168</f>
        <v>2492.875</v>
      </c>
      <c r="E174" s="10">
        <f>'D) Ecrêtage'!M168</f>
        <v>0</v>
      </c>
      <c r="F174" s="14">
        <f>$F$10*'D) Ecrêtage'!C168</f>
        <v>57029.364152229005</v>
      </c>
      <c r="G174" s="58">
        <f t="shared" si="2"/>
        <v>59522.239152229005</v>
      </c>
    </row>
    <row r="175" spans="1:7" x14ac:dyDescent="0.25">
      <c r="A175" s="50">
        <f>'A) Base RI'!A171</f>
        <v>5675</v>
      </c>
      <c r="B175" s="308" t="str">
        <f>'A) Base RI'!B171</f>
        <v>Lucens</v>
      </c>
      <c r="C175" s="10">
        <f>'A) Base RI'!V171</f>
        <v>4157</v>
      </c>
      <c r="D175" s="14">
        <f>'C) Prél. conj.'!H169</f>
        <v>322713.82</v>
      </c>
      <c r="E175" s="10">
        <f>'D) Ecrêtage'!M169</f>
        <v>0</v>
      </c>
      <c r="F175" s="14">
        <f>$F$10*'D) Ecrêtage'!C169</f>
        <v>1329694.9894725098</v>
      </c>
      <c r="G175" s="58">
        <f t="shared" si="2"/>
        <v>1652408.8094725099</v>
      </c>
    </row>
    <row r="176" spans="1:7" x14ac:dyDescent="0.25">
      <c r="A176" s="50">
        <f>'A) Base RI'!A172</f>
        <v>5678</v>
      </c>
      <c r="B176" s="308" t="str">
        <f>'A) Base RI'!B172</f>
        <v>Moudon</v>
      </c>
      <c r="C176" s="10">
        <f>'A) Base RI'!V172</f>
        <v>6185</v>
      </c>
      <c r="D176" s="14">
        <f>'C) Prél. conj.'!H170</f>
        <v>711117.57</v>
      </c>
      <c r="E176" s="10">
        <f>'D) Ecrêtage'!M170</f>
        <v>0</v>
      </c>
      <c r="F176" s="14">
        <f>$F$10*'D) Ecrêtage'!C170</f>
        <v>1826918.2515474034</v>
      </c>
      <c r="G176" s="58">
        <f t="shared" si="2"/>
        <v>2538035.8215474035</v>
      </c>
    </row>
    <row r="177" spans="1:7" x14ac:dyDescent="0.25">
      <c r="A177" s="50">
        <f>'A) Base RI'!A173</f>
        <v>5680</v>
      </c>
      <c r="B177" s="308" t="str">
        <f>'A) Base RI'!B173</f>
        <v>Ogens</v>
      </c>
      <c r="C177" s="10">
        <f>'A) Base RI'!V173</f>
        <v>304</v>
      </c>
      <c r="D177" s="14">
        <f>'C) Prél. conj.'!H171</f>
        <v>18037.875</v>
      </c>
      <c r="E177" s="10">
        <f>'D) Ecrêtage'!M171</f>
        <v>0</v>
      </c>
      <c r="F177" s="14">
        <f>$F$10*'D) Ecrêtage'!C171</f>
        <v>116814.55556421509</v>
      </c>
      <c r="G177" s="58">
        <f t="shared" si="2"/>
        <v>134852.43056421509</v>
      </c>
    </row>
    <row r="178" spans="1:7" x14ac:dyDescent="0.25">
      <c r="A178" s="50">
        <f>'A) Base RI'!A174</f>
        <v>5683</v>
      </c>
      <c r="B178" s="308" t="str">
        <f>'A) Base RI'!B174</f>
        <v>Prévonloup</v>
      </c>
      <c r="C178" s="10">
        <f>'A) Base RI'!V174</f>
        <v>160</v>
      </c>
      <c r="D178" s="14">
        <f>'C) Prél. conj.'!H172</f>
        <v>12453</v>
      </c>
      <c r="E178" s="10">
        <f>'D) Ecrêtage'!M172</f>
        <v>0</v>
      </c>
      <c r="F178" s="14">
        <f>$F$10*'D) Ecrêtage'!C172</f>
        <v>61151.10475332239</v>
      </c>
      <c r="G178" s="58">
        <f t="shared" si="2"/>
        <v>73604.10475332239</v>
      </c>
    </row>
    <row r="179" spans="1:7" x14ac:dyDescent="0.25">
      <c r="A179" s="50">
        <f>'A) Base RI'!A175</f>
        <v>5684</v>
      </c>
      <c r="B179" s="308" t="str">
        <f>'A) Base RI'!B175</f>
        <v>Rossenges</v>
      </c>
      <c r="C179" s="10">
        <f>'A) Base RI'!V175</f>
        <v>63</v>
      </c>
      <c r="D179" s="14">
        <f>'C) Prél. conj.'!H173</f>
        <v>0</v>
      </c>
      <c r="E179" s="10">
        <f>'D) Ecrêtage'!M173</f>
        <v>1030.3492589398029</v>
      </c>
      <c r="F179" s="14">
        <f>$F$10*'D) Ecrêtage'!C173</f>
        <v>46299.554938944013</v>
      </c>
      <c r="G179" s="58">
        <f t="shared" si="2"/>
        <v>47329.904197883814</v>
      </c>
    </row>
    <row r="180" spans="1:7" x14ac:dyDescent="0.25">
      <c r="A180" s="50">
        <f>'A) Base RI'!A176</f>
        <v>5688</v>
      </c>
      <c r="B180" s="308" t="str">
        <f>'A) Base RI'!B176</f>
        <v>Syens</v>
      </c>
      <c r="C180" s="10">
        <f>'A) Base RI'!V176</f>
        <v>150</v>
      </c>
      <c r="D180" s="14">
        <f>'C) Prél. conj.'!H174</f>
        <v>15441.4</v>
      </c>
      <c r="E180" s="10">
        <f>'D) Ecrêtage'!M174</f>
        <v>0</v>
      </c>
      <c r="F180" s="14">
        <f>$F$10*'D) Ecrêtage'!C174</f>
        <v>95914.196486786823</v>
      </c>
      <c r="G180" s="58">
        <f t="shared" si="2"/>
        <v>111355.59648678682</v>
      </c>
    </row>
    <row r="181" spans="1:7" x14ac:dyDescent="0.25">
      <c r="A181" s="50">
        <f>'A) Base RI'!A177</f>
        <v>5690</v>
      </c>
      <c r="B181" s="308" t="str">
        <f>'A) Base RI'!B177</f>
        <v>Villars-le-Comte</v>
      </c>
      <c r="C181" s="10">
        <f>'A) Base RI'!V177</f>
        <v>142</v>
      </c>
      <c r="D181" s="14">
        <f>'C) Prél. conj.'!H175</f>
        <v>11835.8</v>
      </c>
      <c r="E181" s="10">
        <f>'D) Ecrêtage'!M175</f>
        <v>0</v>
      </c>
      <c r="F181" s="14">
        <f>$F$10*'D) Ecrêtage'!C175</f>
        <v>56565.385007563069</v>
      </c>
      <c r="G181" s="58">
        <f t="shared" si="2"/>
        <v>68401.185007563065</v>
      </c>
    </row>
    <row r="182" spans="1:7" x14ac:dyDescent="0.25">
      <c r="A182" s="50">
        <f>'A) Base RI'!A178</f>
        <v>5692</v>
      </c>
      <c r="B182" s="308" t="str">
        <f>'A) Base RI'!B178</f>
        <v>Vucherens</v>
      </c>
      <c r="C182" s="10">
        <f>'A) Base RI'!V178</f>
        <v>583</v>
      </c>
      <c r="D182" s="14">
        <f>'C) Prél. conj.'!H176</f>
        <v>43754.799999999996</v>
      </c>
      <c r="E182" s="10">
        <f>'D) Ecrêtage'!M176</f>
        <v>0</v>
      </c>
      <c r="F182" s="14">
        <f>$F$10*'D) Ecrêtage'!C176</f>
        <v>272327.51014141762</v>
      </c>
      <c r="G182" s="58">
        <f t="shared" si="2"/>
        <v>316082.31014141761</v>
      </c>
    </row>
    <row r="183" spans="1:7" x14ac:dyDescent="0.25">
      <c r="A183" s="50">
        <f>'A) Base RI'!A179</f>
        <v>5693</v>
      </c>
      <c r="B183" s="308" t="str">
        <f>'A) Base RI'!B179</f>
        <v>Montanaire</v>
      </c>
      <c r="C183" s="10">
        <f>'A) Base RI'!V179</f>
        <v>2606</v>
      </c>
      <c r="D183" s="14">
        <f>'C) Prél. conj.'!H177</f>
        <v>228464.745</v>
      </c>
      <c r="E183" s="10">
        <f>'D) Ecrêtage'!M177</f>
        <v>0</v>
      </c>
      <c r="F183" s="14">
        <f>$F$10*'D) Ecrêtage'!C177</f>
        <v>1106914.3401546581</v>
      </c>
      <c r="G183" s="58">
        <f t="shared" si="2"/>
        <v>1335379.0851546582</v>
      </c>
    </row>
    <row r="184" spans="1:7" x14ac:dyDescent="0.25">
      <c r="A184" s="50">
        <f>'A) Base RI'!A180</f>
        <v>5701</v>
      </c>
      <c r="B184" s="308" t="str">
        <f>'A) Base RI'!B180</f>
        <v>Arnex-sur-Nyon</v>
      </c>
      <c r="C184" s="10">
        <f>'A) Base RI'!V180</f>
        <v>224</v>
      </c>
      <c r="D184" s="14">
        <f>'C) Prél. conj.'!H178</f>
        <v>16182.325000000001</v>
      </c>
      <c r="E184" s="10">
        <f>'D) Ecrêtage'!M178</f>
        <v>77303.928540815308</v>
      </c>
      <c r="F184" s="14">
        <f>$F$10*'D) Ecrêtage'!C178</f>
        <v>228532.2542994534</v>
      </c>
      <c r="G184" s="58">
        <f t="shared" si="2"/>
        <v>322018.50784026872</v>
      </c>
    </row>
    <row r="185" spans="1:7" x14ac:dyDescent="0.25">
      <c r="A185" s="50">
        <f>'A) Base RI'!A181</f>
        <v>5702</v>
      </c>
      <c r="B185" s="308" t="str">
        <f>'A) Base RI'!B181</f>
        <v>Arzier-Le Muids</v>
      </c>
      <c r="C185" s="10">
        <f>'A) Base RI'!V181</f>
        <v>2653</v>
      </c>
      <c r="D185" s="14">
        <f>'C) Prél. conj.'!H179</f>
        <v>585853.65500000003</v>
      </c>
      <c r="E185" s="10">
        <f>'D) Ecrêtage'!M179</f>
        <v>529642.2510276864</v>
      </c>
      <c r="F185" s="14">
        <f>$F$10*'D) Ecrêtage'!C179</f>
        <v>2454055.7075906424</v>
      </c>
      <c r="G185" s="58">
        <f t="shared" si="2"/>
        <v>3569551.6136183292</v>
      </c>
    </row>
    <row r="186" spans="1:7" x14ac:dyDescent="0.25">
      <c r="A186" s="50">
        <f>'A) Base RI'!A182</f>
        <v>5703</v>
      </c>
      <c r="B186" s="308" t="str">
        <f>'A) Base RI'!B182</f>
        <v>Bassins</v>
      </c>
      <c r="C186" s="10">
        <f>'A) Base RI'!V182</f>
        <v>1356</v>
      </c>
      <c r="D186" s="14">
        <f>'C) Prél. conj.'!H180</f>
        <v>213168.69999999998</v>
      </c>
      <c r="E186" s="10">
        <f>'D) Ecrêtage'!M180</f>
        <v>0</v>
      </c>
      <c r="F186" s="14">
        <f>$F$10*'D) Ecrêtage'!C180</f>
        <v>893243.26114078169</v>
      </c>
      <c r="G186" s="58">
        <f t="shared" si="2"/>
        <v>1106411.9611407816</v>
      </c>
    </row>
    <row r="187" spans="1:7" x14ac:dyDescent="0.25">
      <c r="A187" s="50">
        <f>'A) Base RI'!A183</f>
        <v>5704</v>
      </c>
      <c r="B187" s="308" t="str">
        <f>'A) Base RI'!B183</f>
        <v>Begnins</v>
      </c>
      <c r="C187" s="10">
        <f>'A) Base RI'!V183</f>
        <v>1910</v>
      </c>
      <c r="D187" s="14">
        <f>'C) Prél. conj.'!H181</f>
        <v>455700.83999999997</v>
      </c>
      <c r="E187" s="10">
        <f>'D) Ecrêtage'!M181</f>
        <v>704540.27117207472</v>
      </c>
      <c r="F187" s="14">
        <f>$F$10*'D) Ecrêtage'!C181</f>
        <v>2006441.0414556277</v>
      </c>
      <c r="G187" s="58">
        <f t="shared" si="2"/>
        <v>3166682.1526277023</v>
      </c>
    </row>
    <row r="188" spans="1:7" x14ac:dyDescent="0.25">
      <c r="A188" s="50">
        <f>'A) Base RI'!A184</f>
        <v>5705</v>
      </c>
      <c r="B188" s="308" t="str">
        <f>'A) Base RI'!B184</f>
        <v>Bogis-Bossey</v>
      </c>
      <c r="C188" s="10">
        <f>'A) Base RI'!V184</f>
        <v>893</v>
      </c>
      <c r="D188" s="14">
        <f>'C) Prél. conj.'!H182</f>
        <v>101374.41499999999</v>
      </c>
      <c r="E188" s="10">
        <f>'D) Ecrêtage'!M182</f>
        <v>249722.61460691117</v>
      </c>
      <c r="F188" s="14">
        <f>$F$10*'D) Ecrêtage'!C182</f>
        <v>867152.13763002132</v>
      </c>
      <c r="G188" s="58">
        <f t="shared" si="2"/>
        <v>1218249.1672369326</v>
      </c>
    </row>
    <row r="189" spans="1:7" x14ac:dyDescent="0.25">
      <c r="A189" s="50">
        <f>'A) Base RI'!A185</f>
        <v>5706</v>
      </c>
      <c r="B189" s="308" t="str">
        <f>'A) Base RI'!B185</f>
        <v>Borex</v>
      </c>
      <c r="C189" s="10">
        <f>'A) Base RI'!V185</f>
        <v>1126</v>
      </c>
      <c r="D189" s="14">
        <f>'C) Prél. conj.'!H183</f>
        <v>180191.17499999999</v>
      </c>
      <c r="E189" s="10">
        <f>'D) Ecrêtage'!M183</f>
        <v>305261.53939104365</v>
      </c>
      <c r="F189" s="14">
        <f>$F$10*'D) Ecrêtage'!C183</f>
        <v>1133629.1471589718</v>
      </c>
      <c r="G189" s="58">
        <f t="shared" si="2"/>
        <v>1619081.8615500154</v>
      </c>
    </row>
    <row r="190" spans="1:7" x14ac:dyDescent="0.25">
      <c r="A190" s="50">
        <f>'A) Base RI'!A186</f>
        <v>5707</v>
      </c>
      <c r="B190" s="308" t="str">
        <f>'A) Base RI'!B186</f>
        <v>Chavannes-de-Bogis</v>
      </c>
      <c r="C190" s="10">
        <f>'A) Base RI'!V186</f>
        <v>1290</v>
      </c>
      <c r="D190" s="14">
        <f>'C) Prél. conj.'!H184</f>
        <v>303621.88</v>
      </c>
      <c r="E190" s="10">
        <f>'D) Ecrêtage'!M184</f>
        <v>386988.43292292429</v>
      </c>
      <c r="F190" s="14">
        <f>$F$10*'D) Ecrêtage'!C184</f>
        <v>1326581.5753945671</v>
      </c>
      <c r="G190" s="58">
        <f t="shared" si="2"/>
        <v>2017191.8883174914</v>
      </c>
    </row>
    <row r="191" spans="1:7" x14ac:dyDescent="0.25">
      <c r="A191" s="50">
        <f>'A) Base RI'!A187</f>
        <v>5708</v>
      </c>
      <c r="B191" s="308" t="str">
        <f>'A) Base RI'!B187</f>
        <v>Chavannes-des-Bois</v>
      </c>
      <c r="C191" s="10">
        <f>'A) Base RI'!V187</f>
        <v>942</v>
      </c>
      <c r="D191" s="14">
        <f>'C) Prél. conj.'!H185</f>
        <v>47965.964999999989</v>
      </c>
      <c r="E191" s="10">
        <f>'D) Ecrêtage'!M185</f>
        <v>214479.58661348408</v>
      </c>
      <c r="F191" s="14">
        <f>$F$10*'D) Ecrêtage'!C185</f>
        <v>908004.25141156046</v>
      </c>
      <c r="G191" s="58">
        <f t="shared" si="2"/>
        <v>1170449.8030250445</v>
      </c>
    </row>
    <row r="192" spans="1:7" x14ac:dyDescent="0.25">
      <c r="A192" s="50">
        <f>'A) Base RI'!A188</f>
        <v>5709</v>
      </c>
      <c r="B192" s="308" t="str">
        <f>'A) Base RI'!B188</f>
        <v>Chéserex</v>
      </c>
      <c r="C192" s="10">
        <f>'A) Base RI'!V188</f>
        <v>1219</v>
      </c>
      <c r="D192" s="14">
        <f>'C) Prél. conj.'!H186</f>
        <v>841065.745</v>
      </c>
      <c r="E192" s="10">
        <f>'D) Ecrêtage'!M186</f>
        <v>304858.55859467288</v>
      </c>
      <c r="F192" s="14">
        <f>$F$10*'D) Ecrêtage'!C186</f>
        <v>1208883.537717331</v>
      </c>
      <c r="G192" s="58">
        <f t="shared" si="2"/>
        <v>2354807.8413120038</v>
      </c>
    </row>
    <row r="193" spans="1:7" x14ac:dyDescent="0.25">
      <c r="A193" s="50">
        <f>'A) Base RI'!A189</f>
        <v>5710</v>
      </c>
      <c r="B193" s="308" t="str">
        <f>'A) Base RI'!B189</f>
        <v>Coinsins</v>
      </c>
      <c r="C193" s="10">
        <f>'A) Base RI'!V189</f>
        <v>484</v>
      </c>
      <c r="D193" s="14">
        <f>'C) Prél. conj.'!H187</f>
        <v>87069.755000000005</v>
      </c>
      <c r="E193" s="10">
        <f>'D) Ecrêtage'!M187</f>
        <v>1770866.4205214293</v>
      </c>
      <c r="F193" s="14">
        <f>$F$10*'D) Ecrêtage'!C187</f>
        <v>1471211.1151474186</v>
      </c>
      <c r="G193" s="58">
        <f t="shared" si="2"/>
        <v>3329147.290668848</v>
      </c>
    </row>
    <row r="194" spans="1:7" x14ac:dyDescent="0.25">
      <c r="A194" s="50">
        <f>'A) Base RI'!A190</f>
        <v>5711</v>
      </c>
      <c r="B194" s="308" t="str">
        <f>'A) Base RI'!B190</f>
        <v>Commugny</v>
      </c>
      <c r="C194" s="10">
        <f>'A) Base RI'!V190</f>
        <v>2858</v>
      </c>
      <c r="D194" s="14">
        <f>'C) Prél. conj.'!H188</f>
        <v>541756.24999999988</v>
      </c>
      <c r="E194" s="10">
        <f>'D) Ecrêtage'!M188</f>
        <v>2299758.0326892002</v>
      </c>
      <c r="F194" s="14">
        <f>$F$10*'D) Ecrêtage'!C188</f>
        <v>3987033.6721289041</v>
      </c>
      <c r="G194" s="58">
        <f t="shared" si="2"/>
        <v>6828547.9548181035</v>
      </c>
    </row>
    <row r="195" spans="1:7" x14ac:dyDescent="0.25">
      <c r="A195" s="50">
        <f>'A) Base RI'!A191</f>
        <v>5712</v>
      </c>
      <c r="B195" s="308" t="str">
        <f>'A) Base RI'!B191</f>
        <v>Coppet</v>
      </c>
      <c r="C195" s="10">
        <f>'A) Base RI'!V191</f>
        <v>3123</v>
      </c>
      <c r="D195" s="14">
        <f>'C) Prél. conj.'!H189</f>
        <v>1126564.615</v>
      </c>
      <c r="E195" s="10">
        <f>'D) Ecrêtage'!M189</f>
        <v>3599160.6683609341</v>
      </c>
      <c r="F195" s="14">
        <f>$F$10*'D) Ecrêtage'!C189</f>
        <v>5128179.9782070061</v>
      </c>
      <c r="G195" s="58">
        <f t="shared" si="2"/>
        <v>9853905.2615679409</v>
      </c>
    </row>
    <row r="196" spans="1:7" x14ac:dyDescent="0.25">
      <c r="A196" s="50">
        <f>'A) Base RI'!A192</f>
        <v>5713</v>
      </c>
      <c r="B196" s="308" t="str">
        <f>'A) Base RI'!B192</f>
        <v>Crans-près-Céligny</v>
      </c>
      <c r="C196" s="10">
        <f>'A) Base RI'!V192</f>
        <v>2177</v>
      </c>
      <c r="D196" s="14">
        <f>'C) Prél. conj.'!H190</f>
        <v>497129.7</v>
      </c>
      <c r="E196" s="10">
        <f>'D) Ecrêtage'!M190</f>
        <v>2837221.4630494458</v>
      </c>
      <c r="F196" s="14">
        <f>$F$10*'D) Ecrêtage'!C190</f>
        <v>3770226.9471624293</v>
      </c>
      <c r="G196" s="58">
        <f t="shared" si="2"/>
        <v>7104578.1102118753</v>
      </c>
    </row>
    <row r="197" spans="1:7" x14ac:dyDescent="0.25">
      <c r="A197" s="50">
        <f>'A) Base RI'!A193</f>
        <v>5714</v>
      </c>
      <c r="B197" s="308" t="str">
        <f>'A) Base RI'!B193</f>
        <v>Crassier</v>
      </c>
      <c r="C197" s="10">
        <f>'A) Base RI'!V193</f>
        <v>1161</v>
      </c>
      <c r="D197" s="14">
        <f>'C) Prél. conj.'!H191</f>
        <v>244465.14499999999</v>
      </c>
      <c r="E197" s="10">
        <f>'D) Ecrêtage'!M191</f>
        <v>504066.66638439632</v>
      </c>
      <c r="F197" s="14">
        <f>$F$10*'D) Ecrêtage'!C191</f>
        <v>1283853.6202151426</v>
      </c>
      <c r="G197" s="58">
        <f t="shared" si="2"/>
        <v>2032385.431599539</v>
      </c>
    </row>
    <row r="198" spans="1:7" x14ac:dyDescent="0.25">
      <c r="A198" s="50">
        <f>'A) Base RI'!A194</f>
        <v>5715</v>
      </c>
      <c r="B198" s="308" t="str">
        <f>'A) Base RI'!B194</f>
        <v>Duillier</v>
      </c>
      <c r="C198" s="10">
        <f>'A) Base RI'!V194</f>
        <v>1078</v>
      </c>
      <c r="D198" s="14">
        <f>'C) Prél. conj.'!H192</f>
        <v>73632.489999999991</v>
      </c>
      <c r="E198" s="10">
        <f>'D) Ecrêtage'!M192</f>
        <v>143012.67729144933</v>
      </c>
      <c r="F198" s="14">
        <f>$F$10*'D) Ecrêtage'!C192</f>
        <v>934278.1145364698</v>
      </c>
      <c r="G198" s="58">
        <f t="shared" si="2"/>
        <v>1150923.2818279192</v>
      </c>
    </row>
    <row r="199" spans="1:7" x14ac:dyDescent="0.25">
      <c r="A199" s="50">
        <f>'A) Base RI'!A195</f>
        <v>5716</v>
      </c>
      <c r="B199" s="308" t="str">
        <f>'A) Base RI'!B195</f>
        <v>Eysins</v>
      </c>
      <c r="C199" s="10">
        <f>'A) Base RI'!V195</f>
        <v>1603</v>
      </c>
      <c r="D199" s="14">
        <f>'C) Prél. conj.'!H193</f>
        <v>481637.45</v>
      </c>
      <c r="E199" s="10">
        <f>'D) Ecrêtage'!M193</f>
        <v>951044.9423498254</v>
      </c>
      <c r="F199" s="14">
        <f>$F$10*'D) Ecrêtage'!C193</f>
        <v>1958641.5866802218</v>
      </c>
      <c r="G199" s="58">
        <f t="shared" si="2"/>
        <v>3391323.9790300475</v>
      </c>
    </row>
    <row r="200" spans="1:7" x14ac:dyDescent="0.25">
      <c r="A200" s="50">
        <f>'A) Base RI'!A196</f>
        <v>5717</v>
      </c>
      <c r="B200" s="308" t="str">
        <f>'A) Base RI'!B196</f>
        <v>Founex</v>
      </c>
      <c r="C200" s="10">
        <f>'A) Base RI'!V196</f>
        <v>3788</v>
      </c>
      <c r="D200" s="14">
        <f>'C) Prél. conj.'!H194</f>
        <v>1129692.99</v>
      </c>
      <c r="E200" s="10">
        <f>'D) Ecrêtage'!M194</f>
        <v>3147977.3181522037</v>
      </c>
      <c r="F200" s="14">
        <f>$F$10*'D) Ecrêtage'!C194</f>
        <v>5353529.449425404</v>
      </c>
      <c r="G200" s="58">
        <f t="shared" si="2"/>
        <v>9631199.7575776074</v>
      </c>
    </row>
    <row r="201" spans="1:7" x14ac:dyDescent="0.25">
      <c r="A201" s="50">
        <f>'A) Base RI'!A197</f>
        <v>5718</v>
      </c>
      <c r="B201" s="308" t="str">
        <f>'A) Base RI'!B197</f>
        <v>Genolier</v>
      </c>
      <c r="C201" s="10">
        <f>'A) Base RI'!V197</f>
        <v>1945</v>
      </c>
      <c r="D201" s="14">
        <f>'C) Prél. conj.'!H195</f>
        <v>510511.37</v>
      </c>
      <c r="E201" s="10">
        <f>'D) Ecrêtage'!M195</f>
        <v>1617364.6694111216</v>
      </c>
      <c r="F201" s="14">
        <f>$F$10*'D) Ecrêtage'!C195</f>
        <v>2787214.3792322017</v>
      </c>
      <c r="G201" s="58">
        <f t="shared" si="2"/>
        <v>4915090.4186433237</v>
      </c>
    </row>
    <row r="202" spans="1:7" x14ac:dyDescent="0.25">
      <c r="A202" s="50">
        <f>'A) Base RI'!A198</f>
        <v>5719</v>
      </c>
      <c r="B202" s="308" t="str">
        <f>'A) Base RI'!B198</f>
        <v>Gingins</v>
      </c>
      <c r="C202" s="10">
        <f>'A) Base RI'!V198</f>
        <v>1212</v>
      </c>
      <c r="D202" s="14">
        <f>'C) Prél. conj.'!H196</f>
        <v>385438.02500000002</v>
      </c>
      <c r="E202" s="10">
        <f>'D) Ecrêtage'!M196</f>
        <v>1635416.5379026984</v>
      </c>
      <c r="F202" s="14">
        <f>$F$10*'D) Ecrêtage'!C196</f>
        <v>2063923.0945300921</v>
      </c>
      <c r="G202" s="58">
        <f t="shared" si="2"/>
        <v>4084777.6574327904</v>
      </c>
    </row>
    <row r="203" spans="1:7" x14ac:dyDescent="0.25">
      <c r="A203" s="50">
        <f>'A) Base RI'!A199</f>
        <v>5720</v>
      </c>
      <c r="B203" s="308" t="str">
        <f>'A) Base RI'!B199</f>
        <v>Givrins</v>
      </c>
      <c r="C203" s="10">
        <f>'A) Base RI'!V199</f>
        <v>995</v>
      </c>
      <c r="D203" s="14">
        <f>'C) Prél. conj.'!H197</f>
        <v>78120.98</v>
      </c>
      <c r="E203" s="10">
        <f>'D) Ecrêtage'!M197</f>
        <v>482488.28183840623</v>
      </c>
      <c r="F203" s="14">
        <f>$F$10*'D) Ecrêtage'!C197</f>
        <v>1146027.8408549973</v>
      </c>
      <c r="G203" s="58">
        <f t="shared" si="2"/>
        <v>1706637.1026934036</v>
      </c>
    </row>
    <row r="204" spans="1:7" x14ac:dyDescent="0.25">
      <c r="A204" s="50">
        <f>'A) Base RI'!A200</f>
        <v>5721</v>
      </c>
      <c r="B204" s="308" t="str">
        <f>'A) Base RI'!B200</f>
        <v>Gland</v>
      </c>
      <c r="C204" s="10">
        <f>'A) Base RI'!V200</f>
        <v>13081</v>
      </c>
      <c r="D204" s="14">
        <f>'C) Prél. conj.'!H198</f>
        <v>3906883.7749999999</v>
      </c>
      <c r="E204" s="10">
        <f>'D) Ecrêtage'!M198</f>
        <v>96039.516419835345</v>
      </c>
      <c r="F204" s="14">
        <f>$F$10*'D) Ecrêtage'!C198</f>
        <v>9453357.0906786881</v>
      </c>
      <c r="G204" s="58">
        <f t="shared" ref="G204:G267" si="3">D204+F204+E204</f>
        <v>13456280.382098524</v>
      </c>
    </row>
    <row r="205" spans="1:7" x14ac:dyDescent="0.25">
      <c r="A205" s="50">
        <f>'A) Base RI'!A201</f>
        <v>5722</v>
      </c>
      <c r="B205" s="308" t="str">
        <f>'A) Base RI'!B201</f>
        <v>Grens</v>
      </c>
      <c r="C205" s="10">
        <f>'A) Base RI'!V201</f>
        <v>382</v>
      </c>
      <c r="D205" s="14">
        <f>'C) Prél. conj.'!H199</f>
        <v>25282.959999999999</v>
      </c>
      <c r="E205" s="10">
        <f>'D) Ecrêtage'!M199</f>
        <v>127525.78128856322</v>
      </c>
      <c r="F205" s="14">
        <f>$F$10*'D) Ecrêtage'!C199</f>
        <v>398856.68807255343</v>
      </c>
      <c r="G205" s="58">
        <f t="shared" si="3"/>
        <v>551665.42936111661</v>
      </c>
    </row>
    <row r="206" spans="1:7" x14ac:dyDescent="0.25">
      <c r="A206" s="50">
        <f>'A) Base RI'!A202</f>
        <v>5723</v>
      </c>
      <c r="B206" s="308" t="str">
        <f>'A) Base RI'!B202</f>
        <v>Mies</v>
      </c>
      <c r="C206" s="10">
        <f>'A) Base RI'!V202</f>
        <v>2037</v>
      </c>
      <c r="D206" s="14">
        <f>'C) Prél. conj.'!H200</f>
        <v>999869.16499999992</v>
      </c>
      <c r="E206" s="10">
        <f>'D) Ecrêtage'!M200</f>
        <v>8627088.6381757949</v>
      </c>
      <c r="F206" s="14">
        <f>$F$10*'D) Ecrêtage'!C200</f>
        <v>6978707.1795517337</v>
      </c>
      <c r="G206" s="58">
        <f t="shared" si="3"/>
        <v>16605664.982727528</v>
      </c>
    </row>
    <row r="207" spans="1:7" x14ac:dyDescent="0.25">
      <c r="A207" s="50">
        <f>'A) Base RI'!A203</f>
        <v>5724</v>
      </c>
      <c r="B207" s="308" t="str">
        <f>'A) Base RI'!B203</f>
        <v>Nyon</v>
      </c>
      <c r="C207" s="10">
        <f>'A) Base RI'!V203</f>
        <v>20551</v>
      </c>
      <c r="D207" s="14">
        <f>'C) Prél. conj.'!H201</f>
        <v>5799299.2699999996</v>
      </c>
      <c r="E207" s="10">
        <f>'D) Ecrêtage'!M201</f>
        <v>5573383.0492804293</v>
      </c>
      <c r="F207" s="14">
        <f>$F$10*'D) Ecrêtage'!C201</f>
        <v>20443492.392484564</v>
      </c>
      <c r="G207" s="58">
        <f t="shared" si="3"/>
        <v>31816174.711764991</v>
      </c>
    </row>
    <row r="208" spans="1:7" x14ac:dyDescent="0.25">
      <c r="A208" s="50">
        <f>'A) Base RI'!A204</f>
        <v>5725</v>
      </c>
      <c r="B208" s="308" t="str">
        <f>'A) Base RI'!B204</f>
        <v>Prangins</v>
      </c>
      <c r="C208" s="10">
        <f>'A) Base RI'!V204</f>
        <v>4069</v>
      </c>
      <c r="D208" s="14">
        <f>'C) Prél. conj.'!H202</f>
        <v>829161.28500000003</v>
      </c>
      <c r="E208" s="10">
        <f>'D) Ecrêtage'!M202</f>
        <v>1826769.1961221127</v>
      </c>
      <c r="F208" s="14">
        <f>$F$10*'D) Ecrêtage'!C202</f>
        <v>4697458.8843975421</v>
      </c>
      <c r="G208" s="58">
        <f t="shared" si="3"/>
        <v>7353389.3655196549</v>
      </c>
    </row>
    <row r="209" spans="1:7" x14ac:dyDescent="0.25">
      <c r="A209" s="50">
        <f>'A) Base RI'!A205</f>
        <v>5726</v>
      </c>
      <c r="B209" s="308" t="str">
        <f>'A) Base RI'!B205</f>
        <v>La Rippe</v>
      </c>
      <c r="C209" s="10">
        <f>'A) Base RI'!V205</f>
        <v>1164</v>
      </c>
      <c r="D209" s="14">
        <f>'C) Prél. conj.'!H203</f>
        <v>172655.79499999998</v>
      </c>
      <c r="E209" s="10">
        <f>'D) Ecrêtage'!M203</f>
        <v>54400.896563858587</v>
      </c>
      <c r="F209" s="14">
        <f>$F$10*'D) Ecrêtage'!C203</f>
        <v>896430.198000437</v>
      </c>
      <c r="G209" s="58">
        <f t="shared" si="3"/>
        <v>1123486.8895642955</v>
      </c>
    </row>
    <row r="210" spans="1:7" x14ac:dyDescent="0.25">
      <c r="A210" s="50">
        <f>'A) Base RI'!A206</f>
        <v>5727</v>
      </c>
      <c r="B210" s="308" t="str">
        <f>'A) Base RI'!B206</f>
        <v>Saint-Cergue</v>
      </c>
      <c r="C210" s="10">
        <f>'A) Base RI'!V206</f>
        <v>2559</v>
      </c>
      <c r="D210" s="14">
        <f>'C) Prél. conj.'!H204</f>
        <v>340701.30999999994</v>
      </c>
      <c r="E210" s="10">
        <f>'D) Ecrêtage'!M204</f>
        <v>0</v>
      </c>
      <c r="F210" s="14">
        <f>$F$10*'D) Ecrêtage'!C204</f>
        <v>1583413.9282637546</v>
      </c>
      <c r="G210" s="58">
        <f t="shared" si="3"/>
        <v>1924115.2382637546</v>
      </c>
    </row>
    <row r="211" spans="1:7" x14ac:dyDescent="0.25">
      <c r="A211" s="50">
        <f>'A) Base RI'!A207</f>
        <v>5728</v>
      </c>
      <c r="B211" s="308" t="str">
        <f>'A) Base RI'!B207</f>
        <v>Signy-Avenex</v>
      </c>
      <c r="C211" s="10">
        <f>'A) Base RI'!V207</f>
        <v>567</v>
      </c>
      <c r="D211" s="14">
        <f>'C) Prél. conj.'!H205</f>
        <v>145128.44500000001</v>
      </c>
      <c r="E211" s="10">
        <f>'D) Ecrêtage'!M205</f>
        <v>160096.79172444213</v>
      </c>
      <c r="F211" s="14">
        <f>$F$10*'D) Ecrêtage'!C205</f>
        <v>576627.73165904346</v>
      </c>
      <c r="G211" s="58">
        <f t="shared" si="3"/>
        <v>881852.96838348557</v>
      </c>
    </row>
    <row r="212" spans="1:7" x14ac:dyDescent="0.25">
      <c r="A212" s="50">
        <f>'A) Base RI'!A208</f>
        <v>5729</v>
      </c>
      <c r="B212" s="308" t="str">
        <f>'A) Base RI'!B208</f>
        <v>Tannay</v>
      </c>
      <c r="C212" s="10">
        <f>'A) Base RI'!V208</f>
        <v>1585</v>
      </c>
      <c r="D212" s="14">
        <f>'C) Prél. conj.'!H206</f>
        <v>563243.63</v>
      </c>
      <c r="E212" s="10">
        <f>'D) Ecrêtage'!M206</f>
        <v>2341747.4122914001</v>
      </c>
      <c r="F212" s="14">
        <f>$F$10*'D) Ecrêtage'!C206</f>
        <v>2726488.5660625058</v>
      </c>
      <c r="G212" s="58">
        <f t="shared" si="3"/>
        <v>5631479.6083539054</v>
      </c>
    </row>
    <row r="213" spans="1:7" x14ac:dyDescent="0.25">
      <c r="A213" s="50">
        <f>'A) Base RI'!A209</f>
        <v>5730</v>
      </c>
      <c r="B213" s="308" t="str">
        <f>'A) Base RI'!B209</f>
        <v>Trélex</v>
      </c>
      <c r="C213" s="10">
        <f>'A) Base RI'!V209</f>
        <v>1405</v>
      </c>
      <c r="D213" s="14">
        <f>'C) Prél. conj.'!H207</f>
        <v>268123.64499999996</v>
      </c>
      <c r="E213" s="10">
        <f>'D) Ecrêtage'!M207</f>
        <v>650517.6304126071</v>
      </c>
      <c r="F213" s="14">
        <f>$F$10*'D) Ecrêtage'!C207</f>
        <v>1627871.8821693296</v>
      </c>
      <c r="G213" s="58">
        <f t="shared" si="3"/>
        <v>2546513.1575819366</v>
      </c>
    </row>
    <row r="214" spans="1:7" x14ac:dyDescent="0.25">
      <c r="A214" s="50">
        <f>'A) Base RI'!A210</f>
        <v>5731</v>
      </c>
      <c r="B214" s="308" t="str">
        <f>'A) Base RI'!B210</f>
        <v>Le Vaud</v>
      </c>
      <c r="C214" s="10">
        <f>'A) Base RI'!V210</f>
        <v>1283</v>
      </c>
      <c r="D214" s="14">
        <f>'C) Prél. conj.'!H208</f>
        <v>182642.22500000001</v>
      </c>
      <c r="E214" s="10">
        <f>'D) Ecrêtage'!M208</f>
        <v>0</v>
      </c>
      <c r="F214" s="14">
        <f>$F$10*'D) Ecrêtage'!C208</f>
        <v>801892.57038022694</v>
      </c>
      <c r="G214" s="58">
        <f t="shared" si="3"/>
        <v>984534.79538022692</v>
      </c>
    </row>
    <row r="215" spans="1:7" x14ac:dyDescent="0.25">
      <c r="A215" s="50">
        <f>'A) Base RI'!A211</f>
        <v>5732</v>
      </c>
      <c r="B215" s="308" t="str">
        <f>'A) Base RI'!B211</f>
        <v>Vich</v>
      </c>
      <c r="C215" s="10">
        <f>'A) Base RI'!V211</f>
        <v>1026</v>
      </c>
      <c r="D215" s="14">
        <f>'C) Prél. conj.'!H209</f>
        <v>301060.46500000003</v>
      </c>
      <c r="E215" s="10">
        <f>'D) Ecrêtage'!M209</f>
        <v>235573.79292114801</v>
      </c>
      <c r="F215" s="14">
        <f>$F$10*'D) Ecrêtage'!C209</f>
        <v>962937.42926070793</v>
      </c>
      <c r="G215" s="58">
        <f t="shared" si="3"/>
        <v>1499571.687181856</v>
      </c>
    </row>
    <row r="216" spans="1:7" x14ac:dyDescent="0.25">
      <c r="A216" s="50">
        <f>'A) Base RI'!A212</f>
        <v>5741</v>
      </c>
      <c r="B216" s="308" t="str">
        <f>'A) Base RI'!B212</f>
        <v>L'Abergement</v>
      </c>
      <c r="C216" s="10">
        <f>'A) Base RI'!V212</f>
        <v>237</v>
      </c>
      <c r="D216" s="14">
        <f>'C) Prél. conj.'!H210</f>
        <v>31838.149999999998</v>
      </c>
      <c r="E216" s="10">
        <f>'D) Ecrêtage'!M210</f>
        <v>0</v>
      </c>
      <c r="F216" s="14">
        <f>$F$10*'D) Ecrêtage'!C210</f>
        <v>104431.15453372481</v>
      </c>
      <c r="G216" s="58">
        <f t="shared" si="3"/>
        <v>136269.30453372482</v>
      </c>
    </row>
    <row r="217" spans="1:7" x14ac:dyDescent="0.25">
      <c r="A217" s="50">
        <f>'A) Base RI'!A213</f>
        <v>5742</v>
      </c>
      <c r="B217" s="308" t="str">
        <f>'A) Base RI'!B213</f>
        <v>Agiez</v>
      </c>
      <c r="C217" s="10">
        <f>'A) Base RI'!V213</f>
        <v>314</v>
      </c>
      <c r="D217" s="14">
        <f>'C) Prél. conj.'!H211</f>
        <v>36779.445</v>
      </c>
      <c r="E217" s="10">
        <f>'D) Ecrêtage'!M211</f>
        <v>0</v>
      </c>
      <c r="F217" s="14">
        <f>$F$10*'D) Ecrêtage'!C211</f>
        <v>147574.72884121991</v>
      </c>
      <c r="G217" s="58">
        <f t="shared" si="3"/>
        <v>184354.17384121992</v>
      </c>
    </row>
    <row r="218" spans="1:7" x14ac:dyDescent="0.25">
      <c r="A218" s="50">
        <f>'A) Base RI'!A214</f>
        <v>5743</v>
      </c>
      <c r="B218" s="308" t="str">
        <f>'A) Base RI'!B214</f>
        <v>Arnex-sur-Orbe</v>
      </c>
      <c r="C218" s="10">
        <f>'A) Base RI'!V214</f>
        <v>642</v>
      </c>
      <c r="D218" s="14">
        <f>'C) Prél. conj.'!H212</f>
        <v>84353.115000000005</v>
      </c>
      <c r="E218" s="10">
        <f>'D) Ecrêtage'!M212</f>
        <v>0</v>
      </c>
      <c r="F218" s="14">
        <f>$F$10*'D) Ecrêtage'!C212</f>
        <v>277565.97060947114</v>
      </c>
      <c r="G218" s="58">
        <f t="shared" si="3"/>
        <v>361919.08560947113</v>
      </c>
    </row>
    <row r="219" spans="1:7" x14ac:dyDescent="0.25">
      <c r="A219" s="50">
        <f>'A) Base RI'!A215</f>
        <v>5744</v>
      </c>
      <c r="B219" s="308" t="str">
        <f>'A) Base RI'!B215</f>
        <v>Ballaigues</v>
      </c>
      <c r="C219" s="10">
        <f>'A) Base RI'!V215</f>
        <v>1095</v>
      </c>
      <c r="D219" s="14">
        <f>'C) Prél. conj.'!H213</f>
        <v>459271.65</v>
      </c>
      <c r="E219" s="10">
        <f>'D) Ecrêtage'!M213</f>
        <v>3624.3203078253405</v>
      </c>
      <c r="F219" s="14">
        <f>$F$10*'D) Ecrêtage'!C213</f>
        <v>785518.12221691827</v>
      </c>
      <c r="G219" s="58">
        <f t="shared" si="3"/>
        <v>1248414.0925247436</v>
      </c>
    </row>
    <row r="220" spans="1:7" x14ac:dyDescent="0.25">
      <c r="A220" s="50">
        <f>'A) Base RI'!A216</f>
        <v>5745</v>
      </c>
      <c r="B220" s="308" t="str">
        <f>'A) Base RI'!B216</f>
        <v>Baulmes</v>
      </c>
      <c r="C220" s="10">
        <f>'A) Base RI'!V216</f>
        <v>1053</v>
      </c>
      <c r="D220" s="14">
        <f>'C) Prél. conj.'!H214</f>
        <v>93647.095000000001</v>
      </c>
      <c r="E220" s="10">
        <f>'D) Ecrêtage'!M214</f>
        <v>0</v>
      </c>
      <c r="F220" s="14">
        <f>$F$10*'D) Ecrêtage'!C214</f>
        <v>400332.51294915611</v>
      </c>
      <c r="G220" s="58">
        <f t="shared" si="3"/>
        <v>493979.60794915608</v>
      </c>
    </row>
    <row r="221" spans="1:7" x14ac:dyDescent="0.25">
      <c r="A221" s="50">
        <f>'A) Base RI'!A217</f>
        <v>5746</v>
      </c>
      <c r="B221" s="308" t="str">
        <f>'A) Base RI'!B217</f>
        <v>Bavois</v>
      </c>
      <c r="C221" s="10">
        <f>'A) Base RI'!V217</f>
        <v>928</v>
      </c>
      <c r="D221" s="14">
        <f>'C) Prél. conj.'!H215</f>
        <v>82160.72</v>
      </c>
      <c r="E221" s="10">
        <f>'D) Ecrêtage'!M215</f>
        <v>0</v>
      </c>
      <c r="F221" s="14">
        <f>$F$10*'D) Ecrêtage'!C215</f>
        <v>402418.64935321343</v>
      </c>
      <c r="G221" s="58">
        <f t="shared" si="3"/>
        <v>484579.36935321346</v>
      </c>
    </row>
    <row r="222" spans="1:7" x14ac:dyDescent="0.25">
      <c r="A222" s="50">
        <f>'A) Base RI'!A218</f>
        <v>5747</v>
      </c>
      <c r="B222" s="308" t="str">
        <f>'A) Base RI'!B218</f>
        <v>Bofflens</v>
      </c>
      <c r="C222" s="10">
        <f>'A) Base RI'!V218</f>
        <v>191</v>
      </c>
      <c r="D222" s="14">
        <f>'C) Prél. conj.'!H216</f>
        <v>505.6</v>
      </c>
      <c r="E222" s="10">
        <f>'D) Ecrêtage'!M216</f>
        <v>0</v>
      </c>
      <c r="F222" s="14">
        <f>$F$10*'D) Ecrêtage'!C216</f>
        <v>85226.346844072526</v>
      </c>
      <c r="G222" s="58">
        <f t="shared" si="3"/>
        <v>85731.946844072532</v>
      </c>
    </row>
    <row r="223" spans="1:7" x14ac:dyDescent="0.25">
      <c r="A223" s="50">
        <f>'A) Base RI'!A219</f>
        <v>5748</v>
      </c>
      <c r="B223" s="308" t="str">
        <f>'A) Base RI'!B219</f>
        <v>Bretonnières</v>
      </c>
      <c r="C223" s="10">
        <f>'A) Base RI'!V219</f>
        <v>262</v>
      </c>
      <c r="D223" s="14">
        <f>'C) Prél. conj.'!H217</f>
        <v>108917.405</v>
      </c>
      <c r="E223" s="10">
        <f>'D) Ecrêtage'!M217</f>
        <v>0</v>
      </c>
      <c r="F223" s="14">
        <f>$F$10*'D) Ecrêtage'!C217</f>
        <v>120861.98373690443</v>
      </c>
      <c r="G223" s="58">
        <f t="shared" si="3"/>
        <v>229779.38873690442</v>
      </c>
    </row>
    <row r="224" spans="1:7" x14ac:dyDescent="0.25">
      <c r="A224" s="50">
        <f>'A) Base RI'!A220</f>
        <v>5749</v>
      </c>
      <c r="B224" s="308" t="str">
        <f>'A) Base RI'!B220</f>
        <v>Chavornay</v>
      </c>
      <c r="C224" s="10">
        <f>'A) Base RI'!V220</f>
        <v>4908</v>
      </c>
      <c r="D224" s="14">
        <f>'C) Prél. conj.'!H218</f>
        <v>434587.97</v>
      </c>
      <c r="E224" s="10">
        <f>'D) Ecrêtage'!M218</f>
        <v>0</v>
      </c>
      <c r="F224" s="14">
        <f>$F$10*'D) Ecrêtage'!C218</f>
        <v>2125690.8963164538</v>
      </c>
      <c r="G224" s="58">
        <f t="shared" si="3"/>
        <v>2560278.8663164536</v>
      </c>
    </row>
    <row r="225" spans="1:7" x14ac:dyDescent="0.25">
      <c r="A225" s="50">
        <f>'A) Base RI'!A221</f>
        <v>5750</v>
      </c>
      <c r="B225" s="308" t="str">
        <f>'A) Base RI'!B221</f>
        <v>Les Clées</v>
      </c>
      <c r="C225" s="10">
        <f>'A) Base RI'!V221</f>
        <v>181</v>
      </c>
      <c r="D225" s="14">
        <f>'C) Prél. conj.'!H219</f>
        <v>10370.775</v>
      </c>
      <c r="E225" s="10">
        <f>'D) Ecrêtage'!M219</f>
        <v>0</v>
      </c>
      <c r="F225" s="14">
        <f>$F$10*'D) Ecrêtage'!C219</f>
        <v>79209.538435661962</v>
      </c>
      <c r="G225" s="58">
        <f t="shared" si="3"/>
        <v>89580.313435661956</v>
      </c>
    </row>
    <row r="226" spans="1:7" x14ac:dyDescent="0.25">
      <c r="A226" s="50">
        <f>'A) Base RI'!A222</f>
        <v>5752</v>
      </c>
      <c r="B226" s="308" t="str">
        <f>'A) Base RI'!B222</f>
        <v>Croy</v>
      </c>
      <c r="C226" s="10">
        <f>'A) Base RI'!V222</f>
        <v>379</v>
      </c>
      <c r="D226" s="14">
        <f>'C) Prél. conj.'!H220</f>
        <v>22606.535</v>
      </c>
      <c r="E226" s="10">
        <f>'D) Ecrêtage'!M220</f>
        <v>0</v>
      </c>
      <c r="F226" s="14">
        <f>$F$10*'D) Ecrêtage'!C220</f>
        <v>175760.66048325496</v>
      </c>
      <c r="G226" s="58">
        <f t="shared" si="3"/>
        <v>198367.19548325497</v>
      </c>
    </row>
    <row r="227" spans="1:7" x14ac:dyDescent="0.25">
      <c r="A227" s="50">
        <f>'A) Base RI'!A223</f>
        <v>5754</v>
      </c>
      <c r="B227" s="308" t="str">
        <f>'A) Base RI'!B223</f>
        <v>Juriens</v>
      </c>
      <c r="C227" s="10">
        <f>'A) Base RI'!V223</f>
        <v>309</v>
      </c>
      <c r="D227" s="14">
        <f>'C) Prél. conj.'!H221</f>
        <v>4553.8450000000003</v>
      </c>
      <c r="E227" s="10">
        <f>'D) Ecrêtage'!M221</f>
        <v>0</v>
      </c>
      <c r="F227" s="14">
        <f>$F$10*'D) Ecrêtage'!C221</f>
        <v>128394.16419361884</v>
      </c>
      <c r="G227" s="58">
        <f t="shared" si="3"/>
        <v>132948.00919361884</v>
      </c>
    </row>
    <row r="228" spans="1:7" x14ac:dyDescent="0.25">
      <c r="A228" s="50">
        <f>'A) Base RI'!A224</f>
        <v>5755</v>
      </c>
      <c r="B228" s="308" t="str">
        <f>'A) Base RI'!B224</f>
        <v>Lignerolle</v>
      </c>
      <c r="C228" s="10">
        <f>'A) Base RI'!V224</f>
        <v>417</v>
      </c>
      <c r="D228" s="14">
        <f>'C) Prél. conj.'!H222</f>
        <v>23383.940000000002</v>
      </c>
      <c r="E228" s="10">
        <f>'D) Ecrêtage'!M222</f>
        <v>0</v>
      </c>
      <c r="F228" s="14">
        <f>$F$10*'D) Ecrêtage'!C222</f>
        <v>147039.22520237137</v>
      </c>
      <c r="G228" s="58">
        <f t="shared" si="3"/>
        <v>170423.16520237137</v>
      </c>
    </row>
    <row r="229" spans="1:7" x14ac:dyDescent="0.25">
      <c r="A229" s="50">
        <f>'A) Base RI'!A225</f>
        <v>5756</v>
      </c>
      <c r="B229" s="308" t="str">
        <f>'A) Base RI'!B225</f>
        <v>Montcherand</v>
      </c>
      <c r="C229" s="10">
        <f>'A) Base RI'!V225</f>
        <v>482</v>
      </c>
      <c r="D229" s="14">
        <f>'C) Prél. conj.'!H223</f>
        <v>23986.71</v>
      </c>
      <c r="E229" s="10">
        <f>'D) Ecrêtage'!M223</f>
        <v>0</v>
      </c>
      <c r="F229" s="14">
        <f>$F$10*'D) Ecrêtage'!C223</f>
        <v>290859.41390704614</v>
      </c>
      <c r="G229" s="58">
        <f t="shared" si="3"/>
        <v>314846.12390704616</v>
      </c>
    </row>
    <row r="230" spans="1:7" x14ac:dyDescent="0.25">
      <c r="A230" s="50">
        <f>'A) Base RI'!A226</f>
        <v>5757</v>
      </c>
      <c r="B230" s="308" t="str">
        <f>'A) Base RI'!B226</f>
        <v>Orbe</v>
      </c>
      <c r="C230" s="10">
        <f>'A) Base RI'!V226</f>
        <v>6985</v>
      </c>
      <c r="D230" s="14">
        <f>'C) Prél. conj.'!H224</f>
        <v>1228819.8799999999</v>
      </c>
      <c r="E230" s="10">
        <f>'D) Ecrêtage'!M224</f>
        <v>0</v>
      </c>
      <c r="F230" s="14">
        <f>$F$10*'D) Ecrêtage'!C224</f>
        <v>3081884.2791748866</v>
      </c>
      <c r="G230" s="58">
        <f t="shared" si="3"/>
        <v>4310704.1591748865</v>
      </c>
    </row>
    <row r="231" spans="1:7" x14ac:dyDescent="0.25">
      <c r="A231" s="50">
        <f>'A) Base RI'!A227</f>
        <v>5758</v>
      </c>
      <c r="B231" s="308" t="str">
        <f>'A) Base RI'!B227</f>
        <v>La Praz</v>
      </c>
      <c r="C231" s="10">
        <f>'A) Base RI'!V227</f>
        <v>160</v>
      </c>
      <c r="D231" s="14">
        <f>'C) Prél. conj.'!H225</f>
        <v>26383.899999999998</v>
      </c>
      <c r="E231" s="10">
        <f>'D) Ecrêtage'!M225</f>
        <v>0</v>
      </c>
      <c r="F231" s="14">
        <f>$F$10*'D) Ecrêtage'!C225</f>
        <v>50753.252092210692</v>
      </c>
      <c r="G231" s="58">
        <f t="shared" si="3"/>
        <v>77137.152092210687</v>
      </c>
    </row>
    <row r="232" spans="1:7" x14ac:dyDescent="0.25">
      <c r="A232" s="50">
        <f>'A) Base RI'!A228</f>
        <v>5759</v>
      </c>
      <c r="B232" s="308" t="str">
        <f>'A) Base RI'!B228</f>
        <v>Premier</v>
      </c>
      <c r="C232" s="10">
        <f>'A) Base RI'!V228</f>
        <v>210</v>
      </c>
      <c r="D232" s="14">
        <f>'C) Prél. conj.'!H226</f>
        <v>19510.445</v>
      </c>
      <c r="E232" s="10">
        <f>'D) Ecrêtage'!M226</f>
        <v>0</v>
      </c>
      <c r="F232" s="14">
        <f>$F$10*'D) Ecrêtage'!C226</f>
        <v>74622.818274328572</v>
      </c>
      <c r="G232" s="58">
        <f t="shared" si="3"/>
        <v>94133.263274328579</v>
      </c>
    </row>
    <row r="233" spans="1:7" x14ac:dyDescent="0.25">
      <c r="A233" s="50">
        <f>'A) Base RI'!A229</f>
        <v>5760</v>
      </c>
      <c r="B233" s="308" t="str">
        <f>'A) Base RI'!B229</f>
        <v>Rances</v>
      </c>
      <c r="C233" s="10">
        <f>'A) Base RI'!V229</f>
        <v>485</v>
      </c>
      <c r="D233" s="14">
        <f>'C) Prél. conj.'!H227</f>
        <v>23248.14</v>
      </c>
      <c r="E233" s="10">
        <f>'D) Ecrêtage'!M227</f>
        <v>0</v>
      </c>
      <c r="F233" s="14">
        <f>$F$10*'D) Ecrêtage'!C227</f>
        <v>164509.67825780972</v>
      </c>
      <c r="G233" s="58">
        <f t="shared" si="3"/>
        <v>187757.81825780973</v>
      </c>
    </row>
    <row r="234" spans="1:7" x14ac:dyDescent="0.25">
      <c r="A234" s="50">
        <f>'A) Base RI'!A230</f>
        <v>5761</v>
      </c>
      <c r="B234" s="308" t="str">
        <f>'A) Base RI'!B230</f>
        <v>Romainmôtier-Envy</v>
      </c>
      <c r="C234" s="10">
        <f>'A) Base RI'!V230</f>
        <v>551</v>
      </c>
      <c r="D234" s="14">
        <f>'C) Prél. conj.'!H228</f>
        <v>58185.875</v>
      </c>
      <c r="E234" s="10">
        <f>'D) Ecrêtage'!M228</f>
        <v>0</v>
      </c>
      <c r="F234" s="14">
        <f>$F$10*'D) Ecrêtage'!C228</f>
        <v>202336.72609633056</v>
      </c>
      <c r="G234" s="58">
        <f t="shared" si="3"/>
        <v>260522.60109633056</v>
      </c>
    </row>
    <row r="235" spans="1:7" x14ac:dyDescent="0.25">
      <c r="A235" s="50">
        <f>'A) Base RI'!A231</f>
        <v>5762</v>
      </c>
      <c r="B235" s="308" t="str">
        <f>'A) Base RI'!B231</f>
        <v>Sergey</v>
      </c>
      <c r="C235" s="10">
        <f>'A) Base RI'!V231</f>
        <v>137</v>
      </c>
      <c r="D235" s="14">
        <f>'C) Prél. conj.'!H229</f>
        <v>3199.56</v>
      </c>
      <c r="E235" s="10">
        <f>'D) Ecrêtage'!M229</f>
        <v>0</v>
      </c>
      <c r="F235" s="14">
        <f>$F$10*'D) Ecrêtage'!C229</f>
        <v>62878.113805066627</v>
      </c>
      <c r="G235" s="58">
        <f t="shared" si="3"/>
        <v>66077.673805066632</v>
      </c>
    </row>
    <row r="236" spans="1:7" x14ac:dyDescent="0.25">
      <c r="A236" s="50">
        <f>'A) Base RI'!A232</f>
        <v>5763</v>
      </c>
      <c r="B236" s="308" t="str">
        <f>'A) Base RI'!B232</f>
        <v>Valeyres-sous-Rances</v>
      </c>
      <c r="C236" s="10">
        <f>'A) Base RI'!V232</f>
        <v>631</v>
      </c>
      <c r="D236" s="14">
        <f>'C) Prél. conj.'!H230</f>
        <v>38386.629999999997</v>
      </c>
      <c r="E236" s="10">
        <f>'D) Ecrêtage'!M230</f>
        <v>0</v>
      </c>
      <c r="F236" s="14">
        <f>$F$10*'D) Ecrêtage'!C230</f>
        <v>317334.75961096346</v>
      </c>
      <c r="G236" s="58">
        <f t="shared" si="3"/>
        <v>355721.38961096347</v>
      </c>
    </row>
    <row r="237" spans="1:7" x14ac:dyDescent="0.25">
      <c r="A237" s="50">
        <f>'A) Base RI'!A233</f>
        <v>5764</v>
      </c>
      <c r="B237" s="308" t="str">
        <f>'A) Base RI'!B233</f>
        <v>Vallorbe</v>
      </c>
      <c r="C237" s="10">
        <f>'A) Base RI'!V233</f>
        <v>3851</v>
      </c>
      <c r="D237" s="14">
        <f>'C) Prél. conj.'!H231</f>
        <v>781182.42999999993</v>
      </c>
      <c r="E237" s="10">
        <f>'D) Ecrêtage'!M231</f>
        <v>0</v>
      </c>
      <c r="F237" s="14">
        <f>$F$10*'D) Ecrêtage'!C231</f>
        <v>1281568.4970199342</v>
      </c>
      <c r="G237" s="58">
        <f t="shared" si="3"/>
        <v>2062750.9270199342</v>
      </c>
    </row>
    <row r="238" spans="1:7" x14ac:dyDescent="0.25">
      <c r="A238" s="50">
        <f>'A) Base RI'!A234</f>
        <v>5765</v>
      </c>
      <c r="B238" s="308" t="str">
        <f>'A) Base RI'!B234</f>
        <v>Vaulion</v>
      </c>
      <c r="C238" s="10">
        <f>'A) Base RI'!V234</f>
        <v>482</v>
      </c>
      <c r="D238" s="14">
        <f>'C) Prél. conj.'!H232</f>
        <v>24027.93</v>
      </c>
      <c r="E238" s="10">
        <f>'D) Ecrêtage'!M232</f>
        <v>0</v>
      </c>
      <c r="F238" s="14">
        <f>$F$10*'D) Ecrêtage'!C232</f>
        <v>150980.89158023451</v>
      </c>
      <c r="G238" s="58">
        <f t="shared" si="3"/>
        <v>175008.82158023451</v>
      </c>
    </row>
    <row r="239" spans="1:7" x14ac:dyDescent="0.25">
      <c r="A239" s="50">
        <f>'A) Base RI'!A235</f>
        <v>5766</v>
      </c>
      <c r="B239" s="308" t="str">
        <f>'A) Base RI'!B235</f>
        <v>Vuiteboeuf</v>
      </c>
      <c r="C239" s="10">
        <f>'A) Base RI'!V235</f>
        <v>574</v>
      </c>
      <c r="D239" s="14">
        <f>'C) Prél. conj.'!H233</f>
        <v>45706.700000000004</v>
      </c>
      <c r="E239" s="10">
        <f>'D) Ecrêtage'!M233</f>
        <v>0</v>
      </c>
      <c r="F239" s="14">
        <f>$F$10*'D) Ecrêtage'!C233</f>
        <v>203414.78614509391</v>
      </c>
      <c r="G239" s="58">
        <f t="shared" si="3"/>
        <v>249121.48614509392</v>
      </c>
    </row>
    <row r="240" spans="1:7" x14ac:dyDescent="0.25">
      <c r="A240" s="50">
        <f>'A) Base RI'!A236</f>
        <v>5785</v>
      </c>
      <c r="B240" s="308" t="str">
        <f>'A) Base RI'!B236</f>
        <v>Corcelles-le-Jorat</v>
      </c>
      <c r="C240" s="10">
        <f>'A) Base RI'!V236</f>
        <v>460</v>
      </c>
      <c r="D240" s="14">
        <f>'C) Prél. conj.'!H234</f>
        <v>35686.224999999999</v>
      </c>
      <c r="E240" s="10">
        <f>'D) Ecrêtage'!M234</f>
        <v>0</v>
      </c>
      <c r="F240" s="14">
        <f>$F$10*'D) Ecrêtage'!C234</f>
        <v>244060.60079684327</v>
      </c>
      <c r="G240" s="58">
        <f t="shared" si="3"/>
        <v>279746.82579684327</v>
      </c>
    </row>
    <row r="241" spans="1:7" x14ac:dyDescent="0.25">
      <c r="A241" s="50">
        <f>'A) Base RI'!A237</f>
        <v>5788</v>
      </c>
      <c r="B241" s="308" t="str">
        <f>'A) Base RI'!B237</f>
        <v>Essertes</v>
      </c>
      <c r="C241" s="10">
        <f>'A) Base RI'!V237</f>
        <v>346</v>
      </c>
      <c r="D241" s="14">
        <f>'C) Prél. conj.'!H235</f>
        <v>61819.3</v>
      </c>
      <c r="E241" s="10">
        <f>'D) Ecrêtage'!M235</f>
        <v>0</v>
      </c>
      <c r="F241" s="14">
        <f>$F$10*'D) Ecrêtage'!C235</f>
        <v>182029.74858709105</v>
      </c>
      <c r="G241" s="58">
        <f t="shared" si="3"/>
        <v>243849.04858709103</v>
      </c>
    </row>
    <row r="242" spans="1:7" x14ac:dyDescent="0.25">
      <c r="A242" s="50">
        <f>'A) Base RI'!A238</f>
        <v>5790</v>
      </c>
      <c r="B242" s="308" t="str">
        <f>'A) Base RI'!B238</f>
        <v>Maracon</v>
      </c>
      <c r="C242" s="10">
        <f>'A) Base RI'!V238</f>
        <v>477</v>
      </c>
      <c r="D242" s="14">
        <f>'C) Prél. conj.'!H236</f>
        <v>55696.03</v>
      </c>
      <c r="E242" s="10">
        <f>'D) Ecrêtage'!M236</f>
        <v>0</v>
      </c>
      <c r="F242" s="14">
        <f>$F$10*'D) Ecrêtage'!C236</f>
        <v>190957.93995774203</v>
      </c>
      <c r="G242" s="58">
        <f t="shared" si="3"/>
        <v>246653.96995774203</v>
      </c>
    </row>
    <row r="243" spans="1:7" x14ac:dyDescent="0.25">
      <c r="A243" s="50">
        <f>'A) Base RI'!A239</f>
        <v>5792</v>
      </c>
      <c r="B243" s="308" t="str">
        <f>'A) Base RI'!B239</f>
        <v>Montpreveyres</v>
      </c>
      <c r="C243" s="10">
        <f>'A) Base RI'!V239</f>
        <v>648</v>
      </c>
      <c r="D243" s="14">
        <f>'C) Prél. conj.'!H237</f>
        <v>61133.125</v>
      </c>
      <c r="E243" s="10">
        <f>'D) Ecrêtage'!M237</f>
        <v>0</v>
      </c>
      <c r="F243" s="14">
        <f>$F$10*'D) Ecrêtage'!C237</f>
        <v>274346.43098205299</v>
      </c>
      <c r="G243" s="58">
        <f t="shared" si="3"/>
        <v>335479.55598205299</v>
      </c>
    </row>
    <row r="244" spans="1:7" x14ac:dyDescent="0.25">
      <c r="A244" s="50">
        <f>'A) Base RI'!A240</f>
        <v>5798</v>
      </c>
      <c r="B244" s="308" t="str">
        <f>'A) Base RI'!B240</f>
        <v>Ropraz</v>
      </c>
      <c r="C244" s="10">
        <f>'A) Base RI'!V240</f>
        <v>450</v>
      </c>
      <c r="D244" s="14">
        <f>'C) Prél. conj.'!H238</f>
        <v>53096.625</v>
      </c>
      <c r="E244" s="10">
        <f>'D) Ecrêtage'!M238</f>
        <v>0</v>
      </c>
      <c r="F244" s="14">
        <f>$F$10*'D) Ecrêtage'!C238</f>
        <v>220743.39645467713</v>
      </c>
      <c r="G244" s="58">
        <f t="shared" si="3"/>
        <v>273840.0214546771</v>
      </c>
    </row>
    <row r="245" spans="1:7" x14ac:dyDescent="0.25">
      <c r="A245" s="50">
        <f>'A) Base RI'!A241</f>
        <v>5799</v>
      </c>
      <c r="B245" s="308" t="str">
        <f>'A) Base RI'!B241</f>
        <v>Servion</v>
      </c>
      <c r="C245" s="10">
        <f>'A) Base RI'!V241</f>
        <v>1904</v>
      </c>
      <c r="D245" s="14">
        <f>'C) Prél. conj.'!H239</f>
        <v>123615.67</v>
      </c>
      <c r="E245" s="10">
        <f>'D) Ecrêtage'!M239</f>
        <v>0</v>
      </c>
      <c r="F245" s="14">
        <f>$F$10*'D) Ecrêtage'!C239</f>
        <v>1029553.7465797926</v>
      </c>
      <c r="G245" s="58">
        <f t="shared" si="3"/>
        <v>1153169.4165797925</v>
      </c>
    </row>
    <row r="246" spans="1:7" x14ac:dyDescent="0.25">
      <c r="A246" s="50">
        <f>'A) Base RI'!A242</f>
        <v>5803</v>
      </c>
      <c r="B246" s="308" t="str">
        <f>'A) Base RI'!B242</f>
        <v>Vulliens</v>
      </c>
      <c r="C246" s="10">
        <f>'A) Base RI'!V242</f>
        <v>515</v>
      </c>
      <c r="D246" s="14">
        <f>'C) Prél. conj.'!H240</f>
        <v>44312.850000000006</v>
      </c>
      <c r="E246" s="10">
        <f>'D) Ecrêtage'!M240</f>
        <v>0</v>
      </c>
      <c r="F246" s="14">
        <f>$F$10*'D) Ecrêtage'!C240</f>
        <v>244796.77168631987</v>
      </c>
      <c r="G246" s="58">
        <f t="shared" si="3"/>
        <v>289109.62168631988</v>
      </c>
    </row>
    <row r="247" spans="1:7" x14ac:dyDescent="0.25">
      <c r="A247" s="50">
        <f>'A) Base RI'!A243</f>
        <v>5804</v>
      </c>
      <c r="B247" s="308" t="str">
        <f>'A) Base RI'!B243</f>
        <v>Jorat-Menthue</v>
      </c>
      <c r="C247" s="10">
        <f>'A) Base RI'!V243</f>
        <v>1532</v>
      </c>
      <c r="D247" s="14">
        <f>'C) Prél. conj.'!H241</f>
        <v>121843.73500000002</v>
      </c>
      <c r="E247" s="10">
        <f>'D) Ecrêtage'!M241</f>
        <v>0</v>
      </c>
      <c r="F247" s="14">
        <f>$F$10*'D) Ecrêtage'!C241</f>
        <v>741647.00432384794</v>
      </c>
      <c r="G247" s="58">
        <f t="shared" si="3"/>
        <v>863490.73932384793</v>
      </c>
    </row>
    <row r="248" spans="1:7" x14ac:dyDescent="0.25">
      <c r="A248" s="50">
        <f>'A) Base RI'!A244</f>
        <v>5805</v>
      </c>
      <c r="B248" s="308" t="str">
        <f>'A) Base RI'!B244</f>
        <v>Oron</v>
      </c>
      <c r="C248" s="10">
        <f>'A) Base RI'!V244</f>
        <v>5463</v>
      </c>
      <c r="D248" s="14">
        <f>'C) Prél. conj.'!H242</f>
        <v>447660.70499999996</v>
      </c>
      <c r="E248" s="10">
        <f>'D) Ecrêtage'!M242</f>
        <v>0</v>
      </c>
      <c r="F248" s="14">
        <f>$F$10*'D) Ecrêtage'!C242</f>
        <v>2292802.7735061846</v>
      </c>
      <c r="G248" s="58">
        <f t="shared" si="3"/>
        <v>2740463.4785061846</v>
      </c>
    </row>
    <row r="249" spans="1:7" x14ac:dyDescent="0.25">
      <c r="A249" s="50">
        <f>'A) Base RI'!A245</f>
        <v>5806</v>
      </c>
      <c r="B249" s="308" t="str">
        <f>'A) Base RI'!B245</f>
        <v>Jorat-Mézières</v>
      </c>
      <c r="C249" s="10">
        <f>'A) Base RI'!V245</f>
        <v>2850</v>
      </c>
      <c r="D249" s="14">
        <f>'C) Prél. conj.'!H243</f>
        <v>248551.59500000003</v>
      </c>
      <c r="E249" s="10">
        <f>'D) Ecrêtage'!M243</f>
        <v>0</v>
      </c>
      <c r="F249" s="14">
        <f>$F$10*'D) Ecrêtage'!C243</f>
        <v>1342356.6885035723</v>
      </c>
      <c r="G249" s="58">
        <f t="shared" si="3"/>
        <v>1590908.2835035722</v>
      </c>
    </row>
    <row r="250" spans="1:7" x14ac:dyDescent="0.25">
      <c r="A250" s="50">
        <f>'A) Base RI'!A246</f>
        <v>5812</v>
      </c>
      <c r="B250" s="308" t="str">
        <f>'A) Base RI'!B246</f>
        <v>Champtauroz</v>
      </c>
      <c r="C250" s="10">
        <f>'A) Base RI'!V246</f>
        <v>128</v>
      </c>
      <c r="D250" s="14">
        <f>'C) Prél. conj.'!H244</f>
        <v>13679.9</v>
      </c>
      <c r="E250" s="10">
        <f>'D) Ecrêtage'!M244</f>
        <v>0</v>
      </c>
      <c r="F250" s="14">
        <f>$F$10*'D) Ecrêtage'!C244</f>
        <v>38095.693210830344</v>
      </c>
      <c r="G250" s="58">
        <f t="shared" si="3"/>
        <v>51775.593210830346</v>
      </c>
    </row>
    <row r="251" spans="1:7" x14ac:dyDescent="0.25">
      <c r="A251" s="50">
        <f>'A) Base RI'!A247</f>
        <v>5813</v>
      </c>
      <c r="B251" s="308" t="str">
        <f>'A) Base RI'!B247</f>
        <v>Chevroux</v>
      </c>
      <c r="C251" s="10">
        <f>'A) Base RI'!V247</f>
        <v>470</v>
      </c>
      <c r="D251" s="14">
        <f>'C) Prél. conj.'!H245</f>
        <v>77917.549999999988</v>
      </c>
      <c r="E251" s="10">
        <f>'D) Ecrêtage'!M245</f>
        <v>0</v>
      </c>
      <c r="F251" s="14">
        <f>$F$10*'D) Ecrêtage'!C245</f>
        <v>206880.33576147712</v>
      </c>
      <c r="G251" s="58">
        <f t="shared" si="3"/>
        <v>284797.88576147711</v>
      </c>
    </row>
    <row r="252" spans="1:7" x14ac:dyDescent="0.25">
      <c r="A252" s="50">
        <f>'A) Base RI'!A248</f>
        <v>5816</v>
      </c>
      <c r="B252" s="308" t="str">
        <f>'A) Base RI'!B248</f>
        <v>Corcelles-près-Payerne</v>
      </c>
      <c r="C252" s="10">
        <f>'A) Base RI'!V248</f>
        <v>2448</v>
      </c>
      <c r="D252" s="14">
        <f>'C) Prél. conj.'!H246</f>
        <v>158647.51500000001</v>
      </c>
      <c r="E252" s="10">
        <f>'D) Ecrêtage'!M246</f>
        <v>0</v>
      </c>
      <c r="F252" s="14">
        <f>$F$10*'D) Ecrêtage'!C246</f>
        <v>890970.94761448062</v>
      </c>
      <c r="G252" s="58">
        <f t="shared" si="3"/>
        <v>1049618.4626144806</v>
      </c>
    </row>
    <row r="253" spans="1:7" x14ac:dyDescent="0.25">
      <c r="A253" s="50">
        <f>'A) Base RI'!A249</f>
        <v>5817</v>
      </c>
      <c r="B253" s="308" t="str">
        <f>'A) Base RI'!B249</f>
        <v>Grandcour</v>
      </c>
      <c r="C253" s="10">
        <f>'A) Base RI'!V249</f>
        <v>890</v>
      </c>
      <c r="D253" s="14">
        <f>'C) Prél. conj.'!H247</f>
        <v>63246.75</v>
      </c>
      <c r="E253" s="10">
        <f>'D) Ecrêtage'!M247</f>
        <v>0</v>
      </c>
      <c r="F253" s="14">
        <f>$F$10*'D) Ecrêtage'!C247</f>
        <v>348377.5023450366</v>
      </c>
      <c r="G253" s="58">
        <f t="shared" si="3"/>
        <v>411624.2523450366</v>
      </c>
    </row>
    <row r="254" spans="1:7" x14ac:dyDescent="0.25">
      <c r="A254" s="50">
        <f>'A) Base RI'!A250</f>
        <v>5819</v>
      </c>
      <c r="B254" s="308" t="str">
        <f>'A) Base RI'!B250</f>
        <v>Henniez</v>
      </c>
      <c r="C254" s="10">
        <f>'A) Base RI'!V250</f>
        <v>359</v>
      </c>
      <c r="D254" s="14">
        <f>'C) Prél. conj.'!H248</f>
        <v>35209.82</v>
      </c>
      <c r="E254" s="10">
        <f>'D) Ecrêtage'!M248</f>
        <v>0</v>
      </c>
      <c r="F254" s="14">
        <f>$F$10*'D) Ecrêtage'!C248</f>
        <v>216825.49260967167</v>
      </c>
      <c r="G254" s="58">
        <f t="shared" si="3"/>
        <v>252035.31260967167</v>
      </c>
    </row>
    <row r="255" spans="1:7" x14ac:dyDescent="0.25">
      <c r="A255" s="50">
        <f>'A) Base RI'!A251</f>
        <v>5821</v>
      </c>
      <c r="B255" s="308" t="str">
        <f>'A) Base RI'!B251</f>
        <v>Missy</v>
      </c>
      <c r="C255" s="10">
        <f>'A) Base RI'!V251</f>
        <v>352</v>
      </c>
      <c r="D255" s="14">
        <f>'C) Prél. conj.'!H249</f>
        <v>6676.375</v>
      </c>
      <c r="E255" s="10">
        <f>'D) Ecrêtage'!M249</f>
        <v>0</v>
      </c>
      <c r="F255" s="14">
        <f>$F$10*'D) Ecrêtage'!C249</f>
        <v>120499.37870843612</v>
      </c>
      <c r="G255" s="58">
        <f t="shared" si="3"/>
        <v>127175.75370843612</v>
      </c>
    </row>
    <row r="256" spans="1:7" x14ac:dyDescent="0.25">
      <c r="A256" s="50">
        <f>'A) Base RI'!A252</f>
        <v>5822</v>
      </c>
      <c r="B256" s="308" t="str">
        <f>'A) Base RI'!B252</f>
        <v>Payerne</v>
      </c>
      <c r="C256" s="10">
        <f>'A) Base RI'!V252</f>
        <v>9716</v>
      </c>
      <c r="D256" s="14">
        <f>'C) Prél. conj.'!H250</f>
        <v>712042.8899999999</v>
      </c>
      <c r="E256" s="10">
        <f>'D) Ecrêtage'!M250</f>
        <v>0</v>
      </c>
      <c r="F256" s="14">
        <f>$F$10*'D) Ecrêtage'!C250</f>
        <v>3725644.8084784145</v>
      </c>
      <c r="G256" s="58">
        <f t="shared" si="3"/>
        <v>4437687.6984784147</v>
      </c>
    </row>
    <row r="257" spans="1:7" x14ac:dyDescent="0.25">
      <c r="A257" s="50">
        <f>'A) Base RI'!A253</f>
        <v>5827</v>
      </c>
      <c r="B257" s="308" t="str">
        <f>'A) Base RI'!B253</f>
        <v>Trey</v>
      </c>
      <c r="C257" s="10">
        <f>'A) Base RI'!V253</f>
        <v>268</v>
      </c>
      <c r="D257" s="14">
        <f>'C) Prél. conj.'!H251</f>
        <v>15277.829999999998</v>
      </c>
      <c r="E257" s="10">
        <f>'D) Ecrêtage'!M251</f>
        <v>0</v>
      </c>
      <c r="F257" s="14">
        <f>$F$10*'D) Ecrêtage'!C251</f>
        <v>105545.70204818714</v>
      </c>
      <c r="G257" s="58">
        <f t="shared" si="3"/>
        <v>120823.53204818715</v>
      </c>
    </row>
    <row r="258" spans="1:7" x14ac:dyDescent="0.25">
      <c r="A258" s="50">
        <f>'A) Base RI'!A254</f>
        <v>5828</v>
      </c>
      <c r="B258" s="308" t="str">
        <f>'A) Base RI'!B254</f>
        <v>Treytorrens (Payerne)</v>
      </c>
      <c r="C258" s="10">
        <f>'A) Base RI'!V254</f>
        <v>122</v>
      </c>
      <c r="D258" s="14">
        <f>'C) Prél. conj.'!H252</f>
        <v>18014.575000000001</v>
      </c>
      <c r="E258" s="10">
        <f>'D) Ecrêtage'!M252</f>
        <v>0</v>
      </c>
      <c r="F258" s="14">
        <f>$F$10*'D) Ecrêtage'!C252</f>
        <v>35964.594992435763</v>
      </c>
      <c r="G258" s="58">
        <f t="shared" si="3"/>
        <v>53979.169992435767</v>
      </c>
    </row>
    <row r="259" spans="1:7" x14ac:dyDescent="0.25">
      <c r="A259" s="50">
        <f>'A) Base RI'!A255</f>
        <v>5830</v>
      </c>
      <c r="B259" s="308" t="str">
        <f>'A) Base RI'!B255</f>
        <v>Villarzel</v>
      </c>
      <c r="C259" s="10">
        <f>'A) Base RI'!V255</f>
        <v>417</v>
      </c>
      <c r="D259" s="14">
        <f>'C) Prél. conj.'!H253</f>
        <v>31393</v>
      </c>
      <c r="E259" s="10">
        <f>'D) Ecrêtage'!M253</f>
        <v>0</v>
      </c>
      <c r="F259" s="14">
        <f>$F$10*'D) Ecrêtage'!C253</f>
        <v>164814.39843418112</v>
      </c>
      <c r="G259" s="58">
        <f t="shared" si="3"/>
        <v>196207.39843418112</v>
      </c>
    </row>
    <row r="260" spans="1:7" x14ac:dyDescent="0.25">
      <c r="A260" s="50">
        <f>'A) Base RI'!A256</f>
        <v>5831</v>
      </c>
      <c r="B260" s="308" t="str">
        <f>'A) Base RI'!B256</f>
        <v>Valbroye</v>
      </c>
      <c r="C260" s="10">
        <f>'A) Base RI'!V256</f>
        <v>3035</v>
      </c>
      <c r="D260" s="14">
        <f>'C) Prél. conj.'!H254</f>
        <v>333632.31</v>
      </c>
      <c r="E260" s="10">
        <f>'D) Ecrêtage'!M254</f>
        <v>0</v>
      </c>
      <c r="F260" s="14">
        <f>$F$10*'D) Ecrêtage'!C254</f>
        <v>1268305.6143240114</v>
      </c>
      <c r="G260" s="58">
        <f t="shared" si="3"/>
        <v>1601937.9243240114</v>
      </c>
    </row>
    <row r="261" spans="1:7" x14ac:dyDescent="0.25">
      <c r="A261" s="50">
        <f>'A) Base RI'!A257</f>
        <v>5841</v>
      </c>
      <c r="B261" s="308" t="str">
        <f>'A) Base RI'!B257</f>
        <v>Château-d'Oex</v>
      </c>
      <c r="C261" s="10">
        <f>'A) Base RI'!V257</f>
        <v>3433</v>
      </c>
      <c r="D261" s="14">
        <f>'C) Prél. conj.'!H255</f>
        <v>567790.98999999987</v>
      </c>
      <c r="E261" s="10">
        <f>'D) Ecrêtage'!M255</f>
        <v>0</v>
      </c>
      <c r="F261" s="14">
        <f>$F$10*'D) Ecrêtage'!C255</f>
        <v>1773872.0270071081</v>
      </c>
      <c r="G261" s="58">
        <f t="shared" si="3"/>
        <v>2341663.0170071078</v>
      </c>
    </row>
    <row r="262" spans="1:7" x14ac:dyDescent="0.25">
      <c r="A262" s="50">
        <f>'A) Base RI'!A258</f>
        <v>5842</v>
      </c>
      <c r="B262" s="308" t="str">
        <f>'A) Base RI'!B258</f>
        <v>Rossinière</v>
      </c>
      <c r="C262" s="10">
        <f>'A) Base RI'!V258</f>
        <v>545</v>
      </c>
      <c r="D262" s="14">
        <f>'C) Prél. conj.'!H256</f>
        <v>43018.85</v>
      </c>
      <c r="E262" s="10">
        <f>'D) Ecrêtage'!M256</f>
        <v>0</v>
      </c>
      <c r="F262" s="14">
        <f>$F$10*'D) Ecrêtage'!C256</f>
        <v>196631.93510316813</v>
      </c>
      <c r="G262" s="58">
        <f t="shared" si="3"/>
        <v>239650.78510316813</v>
      </c>
    </row>
    <row r="263" spans="1:7" x14ac:dyDescent="0.25">
      <c r="A263" s="50">
        <f>'A) Base RI'!A259</f>
        <v>5843</v>
      </c>
      <c r="B263" s="308" t="str">
        <f>'A) Base RI'!B259</f>
        <v>Rougemont</v>
      </c>
      <c r="C263" s="10">
        <f>'A) Base RI'!V259</f>
        <v>882</v>
      </c>
      <c r="D263" s="14">
        <f>'C) Prél. conj.'!H257</f>
        <v>478258.32500000001</v>
      </c>
      <c r="E263" s="10">
        <f>'D) Ecrêtage'!M257</f>
        <v>1245426.9270581803</v>
      </c>
      <c r="F263" s="14">
        <f>$F$10*'D) Ecrêtage'!C257</f>
        <v>1374196.5104172332</v>
      </c>
      <c r="G263" s="58">
        <f t="shared" si="3"/>
        <v>3097881.7624754133</v>
      </c>
    </row>
    <row r="264" spans="1:7" x14ac:dyDescent="0.25">
      <c r="A264" s="50">
        <f>'A) Base RI'!A260</f>
        <v>5851</v>
      </c>
      <c r="B264" s="308" t="str">
        <f>'A) Base RI'!B260</f>
        <v>Allaman</v>
      </c>
      <c r="C264" s="10">
        <f>'A) Base RI'!V260</f>
        <v>442</v>
      </c>
      <c r="D264" s="14">
        <f>'C) Prél. conj.'!H258</f>
        <v>42659.044999999998</v>
      </c>
      <c r="E264" s="10">
        <f>'D) Ecrêtage'!M258</f>
        <v>120256.40775252013</v>
      </c>
      <c r="F264" s="14">
        <f>$F$10*'D) Ecrêtage'!C258</f>
        <v>438349.32974449196</v>
      </c>
      <c r="G264" s="58">
        <f t="shared" si="3"/>
        <v>601264.78249701206</v>
      </c>
    </row>
    <row r="265" spans="1:7" x14ac:dyDescent="0.25">
      <c r="A265" s="50">
        <f>'A) Base RI'!A261</f>
        <v>5852</v>
      </c>
      <c r="B265" s="308" t="str">
        <f>'A) Base RI'!B261</f>
        <v>Bursinel</v>
      </c>
      <c r="C265" s="10">
        <f>'A) Base RI'!V261</f>
        <v>488</v>
      </c>
      <c r="D265" s="14">
        <f>'C) Prél. conj.'!H259</f>
        <v>1500767.4750000001</v>
      </c>
      <c r="E265" s="10">
        <f>'D) Ecrêtage'!M259</f>
        <v>335634.36142763105</v>
      </c>
      <c r="F265" s="14">
        <f>$F$10*'D) Ecrêtage'!C259</f>
        <v>611170.77263793594</v>
      </c>
      <c r="G265" s="58">
        <f t="shared" si="3"/>
        <v>2447572.6090655671</v>
      </c>
    </row>
    <row r="266" spans="1:7" x14ac:dyDescent="0.25">
      <c r="A266" s="50">
        <f>'A) Base RI'!A262</f>
        <v>5853</v>
      </c>
      <c r="B266" s="308" t="str">
        <f>'A) Base RI'!B262</f>
        <v>Bursins</v>
      </c>
      <c r="C266" s="10">
        <f>'A) Base RI'!V262</f>
        <v>745</v>
      </c>
      <c r="D266" s="14">
        <f>'C) Prél. conj.'!H260</f>
        <v>152038.35999999999</v>
      </c>
      <c r="E266" s="10">
        <f>'D) Ecrêtage'!M260</f>
        <v>31848.622812583279</v>
      </c>
      <c r="F266" s="14">
        <f>$F$10*'D) Ecrêtage'!C260</f>
        <v>566875.90981347021</v>
      </c>
      <c r="G266" s="58">
        <f t="shared" si="3"/>
        <v>750762.89262605342</v>
      </c>
    </row>
    <row r="267" spans="1:7" x14ac:dyDescent="0.25">
      <c r="A267" s="50">
        <f>'A) Base RI'!A263</f>
        <v>5854</v>
      </c>
      <c r="B267" s="308" t="str">
        <f>'A) Base RI'!B263</f>
        <v>Burtigny</v>
      </c>
      <c r="C267" s="10">
        <f>'A) Base RI'!V263</f>
        <v>361</v>
      </c>
      <c r="D267" s="14">
        <f>'C) Prél. conj.'!H261</f>
        <v>69208.774999999994</v>
      </c>
      <c r="E267" s="10">
        <f>'D) Ecrêtage'!M261</f>
        <v>0</v>
      </c>
      <c r="F267" s="14">
        <f>$F$10*'D) Ecrêtage'!C261</f>
        <v>155446.92859491229</v>
      </c>
      <c r="G267" s="58">
        <f t="shared" si="3"/>
        <v>224655.70359491228</v>
      </c>
    </row>
    <row r="268" spans="1:7" x14ac:dyDescent="0.25">
      <c r="A268" s="50">
        <f>'A) Base RI'!A264</f>
        <v>5855</v>
      </c>
      <c r="B268" s="308" t="str">
        <f>'A) Base RI'!B264</f>
        <v>Dully</v>
      </c>
      <c r="C268" s="10">
        <f>'A) Base RI'!V264</f>
        <v>640</v>
      </c>
      <c r="D268" s="14">
        <f>'C) Prél. conj.'!H262</f>
        <v>92146.455000000002</v>
      </c>
      <c r="E268" s="10">
        <f>'D) Ecrêtage'!M262</f>
        <v>967202.06886845955</v>
      </c>
      <c r="F268" s="14">
        <f>$F$10*'D) Ecrêtage'!C262</f>
        <v>1234628.2150089203</v>
      </c>
      <c r="G268" s="58">
        <f t="shared" ref="G268:G319" si="4">D268+F268+E268</f>
        <v>2293976.7388773798</v>
      </c>
    </row>
    <row r="269" spans="1:7" x14ac:dyDescent="0.25">
      <c r="A269" s="50">
        <f>'A) Base RI'!A265</f>
        <v>5856</v>
      </c>
      <c r="B269" s="308" t="str">
        <f>'A) Base RI'!B265</f>
        <v>Essertines-sur-Rolle</v>
      </c>
      <c r="C269" s="10">
        <f>'A) Base RI'!V265</f>
        <v>696</v>
      </c>
      <c r="D269" s="14">
        <f>'C) Prél. conj.'!H263</f>
        <v>160057.66500000001</v>
      </c>
      <c r="E269" s="10">
        <f>'D) Ecrêtage'!M263</f>
        <v>39234.597848939673</v>
      </c>
      <c r="F269" s="14">
        <f>$F$10*'D) Ecrêtage'!C263</f>
        <v>542047.57764401368</v>
      </c>
      <c r="G269" s="58">
        <f t="shared" si="4"/>
        <v>741339.84049295343</v>
      </c>
    </row>
    <row r="270" spans="1:7" x14ac:dyDescent="0.25">
      <c r="A270" s="50">
        <f>'A) Base RI'!A266</f>
        <v>5857</v>
      </c>
      <c r="B270" s="308" t="str">
        <f>'A) Base RI'!B266</f>
        <v>Gilly</v>
      </c>
      <c r="C270" s="10">
        <f>'A) Base RI'!V266</f>
        <v>1294</v>
      </c>
      <c r="D270" s="14">
        <f>'C) Prél. conj.'!H264</f>
        <v>268059.55500000005</v>
      </c>
      <c r="E270" s="10">
        <f>'D) Ecrêtage'!M264</f>
        <v>278973.67611548532</v>
      </c>
      <c r="F270" s="14">
        <f>$F$10*'D) Ecrêtage'!C264</f>
        <v>1206978.7938907463</v>
      </c>
      <c r="G270" s="58">
        <f t="shared" si="4"/>
        <v>1754012.0250062319</v>
      </c>
    </row>
    <row r="271" spans="1:7" x14ac:dyDescent="0.25">
      <c r="A271" s="50">
        <f>'A) Base RI'!A267</f>
        <v>5858</v>
      </c>
      <c r="B271" s="308" t="str">
        <f>'A) Base RI'!B267</f>
        <v>Luins</v>
      </c>
      <c r="C271" s="10">
        <f>'A) Base RI'!V267</f>
        <v>608</v>
      </c>
      <c r="D271" s="14">
        <f>'C) Prél. conj.'!H265</f>
        <v>55478.404999999992</v>
      </c>
      <c r="E271" s="10">
        <f>'D) Ecrêtage'!M265</f>
        <v>89106.492469463832</v>
      </c>
      <c r="F271" s="14">
        <f>$F$10*'D) Ecrêtage'!C265</f>
        <v>540769.37886242243</v>
      </c>
      <c r="G271" s="58">
        <f t="shared" si="4"/>
        <v>685354.2763318863</v>
      </c>
    </row>
    <row r="272" spans="1:7" x14ac:dyDescent="0.25">
      <c r="A272" s="50">
        <f>'A) Base RI'!A268</f>
        <v>5859</v>
      </c>
      <c r="B272" s="308" t="str">
        <f>'A) Base RI'!B268</f>
        <v>Mont-sur-Rolle</v>
      </c>
      <c r="C272" s="10">
        <f>'A) Base RI'!V268</f>
        <v>2701</v>
      </c>
      <c r="D272" s="14">
        <f>'C) Prél. conj.'!H266</f>
        <v>600975.35499999998</v>
      </c>
      <c r="E272" s="10">
        <f>'D) Ecrêtage'!M266</f>
        <v>180782.09799854874</v>
      </c>
      <c r="F272" s="14">
        <f>$F$10*'D) Ecrêtage'!C266</f>
        <v>2149742.927247677</v>
      </c>
      <c r="G272" s="58">
        <f t="shared" si="4"/>
        <v>2931500.3802462257</v>
      </c>
    </row>
    <row r="273" spans="1:7" x14ac:dyDescent="0.25">
      <c r="A273" s="50">
        <f>'A) Base RI'!A269</f>
        <v>5860</v>
      </c>
      <c r="B273" s="308" t="str">
        <f>'A) Base RI'!B269</f>
        <v>Perroy</v>
      </c>
      <c r="C273" s="10">
        <f>'A) Base RI'!V269</f>
        <v>1514</v>
      </c>
      <c r="D273" s="14">
        <f>'C) Prél. conj.'!H267</f>
        <v>302808.03000000003</v>
      </c>
      <c r="E273" s="10">
        <f>'D) Ecrêtage'!M267</f>
        <v>261675.43940287523</v>
      </c>
      <c r="F273" s="14">
        <f>$F$10*'D) Ecrêtage'!C267</f>
        <v>1381459.7321384409</v>
      </c>
      <c r="G273" s="58">
        <f t="shared" si="4"/>
        <v>1945943.2015413162</v>
      </c>
    </row>
    <row r="274" spans="1:7" x14ac:dyDescent="0.25">
      <c r="A274" s="50">
        <f>'A) Base RI'!A270</f>
        <v>5861</v>
      </c>
      <c r="B274" s="308" t="str">
        <f>'A) Base RI'!B270</f>
        <v>Rolle</v>
      </c>
      <c r="C274" s="10">
        <f>'A) Base RI'!V270</f>
        <v>6225</v>
      </c>
      <c r="D274" s="14">
        <f>'C) Prél. conj.'!H268</f>
        <v>840073.21</v>
      </c>
      <c r="E274" s="10">
        <f>'D) Ecrêtage'!M268</f>
        <v>11803156.685112095</v>
      </c>
      <c r="F274" s="14">
        <f>$F$10*'D) Ecrêtage'!C268</f>
        <v>12210040.901206726</v>
      </c>
      <c r="G274" s="58">
        <f t="shared" si="4"/>
        <v>24853270.796318822</v>
      </c>
    </row>
    <row r="275" spans="1:7" x14ac:dyDescent="0.25">
      <c r="A275" s="50">
        <f>'A) Base RI'!A271</f>
        <v>5862</v>
      </c>
      <c r="B275" s="308" t="str">
        <f>'A) Base RI'!B271</f>
        <v>Tartegnin</v>
      </c>
      <c r="C275" s="10">
        <f>'A) Base RI'!V271</f>
        <v>235</v>
      </c>
      <c r="D275" s="14">
        <f>'C) Prél. conj.'!H269</f>
        <v>72912.774999999994</v>
      </c>
      <c r="E275" s="10">
        <f>'D) Ecrêtage'!M269</f>
        <v>0</v>
      </c>
      <c r="F275" s="14">
        <f>$F$10*'D) Ecrêtage'!C269</f>
        <v>167057.72402134471</v>
      </c>
      <c r="G275" s="58">
        <f t="shared" si="4"/>
        <v>239970.4990213447</v>
      </c>
    </row>
    <row r="276" spans="1:7" x14ac:dyDescent="0.25">
      <c r="A276" s="50">
        <f>'A) Base RI'!A272</f>
        <v>5863</v>
      </c>
      <c r="B276" s="308" t="str">
        <f>'A) Base RI'!B272</f>
        <v>Vinzel</v>
      </c>
      <c r="C276" s="10">
        <f>'A) Base RI'!V272</f>
        <v>371</v>
      </c>
      <c r="D276" s="14">
        <f>'C) Prél. conj.'!H270</f>
        <v>7935.7650000000003</v>
      </c>
      <c r="E276" s="10">
        <f>'D) Ecrêtage'!M270</f>
        <v>98138.175846002254</v>
      </c>
      <c r="F276" s="14">
        <f>$F$10*'D) Ecrêtage'!C270</f>
        <v>359348.11052530841</v>
      </c>
      <c r="G276" s="58">
        <f t="shared" si="4"/>
        <v>465422.05137131066</v>
      </c>
    </row>
    <row r="277" spans="1:7" x14ac:dyDescent="0.25">
      <c r="A277" s="50">
        <f>'A) Base RI'!A273</f>
        <v>5871</v>
      </c>
      <c r="B277" s="308" t="str">
        <f>'A) Base RI'!B273</f>
        <v>L'Abbaye</v>
      </c>
      <c r="C277" s="10">
        <f>'A) Base RI'!V273</f>
        <v>1492</v>
      </c>
      <c r="D277" s="14">
        <f>'C) Prél. conj.'!H271</f>
        <v>339859.41</v>
      </c>
      <c r="E277" s="10">
        <f>'D) Ecrêtage'!M271</f>
        <v>0</v>
      </c>
      <c r="F277" s="14">
        <f>$F$10*'D) Ecrêtage'!C271</f>
        <v>733021.23475702829</v>
      </c>
      <c r="G277" s="58">
        <f t="shared" si="4"/>
        <v>1072880.6447570282</v>
      </c>
    </row>
    <row r="278" spans="1:7" x14ac:dyDescent="0.25">
      <c r="A278" s="50">
        <f>'A) Base RI'!A274</f>
        <v>5872</v>
      </c>
      <c r="B278" s="308" t="str">
        <f>'A) Base RI'!B274</f>
        <v>Le Chenit</v>
      </c>
      <c r="C278" s="10">
        <f>'A) Base RI'!V274</f>
        <v>4612</v>
      </c>
      <c r="D278" s="14">
        <f>'C) Prél. conj.'!H272</f>
        <v>1845036.43</v>
      </c>
      <c r="E278" s="10">
        <f>'D) Ecrêtage'!M272</f>
        <v>0</v>
      </c>
      <c r="F278" s="14">
        <f>$F$10*'D) Ecrêtage'!C272</f>
        <v>3210054.0372492112</v>
      </c>
      <c r="G278" s="58">
        <f t="shared" si="4"/>
        <v>5055090.4672492109</v>
      </c>
    </row>
    <row r="279" spans="1:7" x14ac:dyDescent="0.25">
      <c r="A279" s="50">
        <f>'A) Base RI'!A275</f>
        <v>5873</v>
      </c>
      <c r="B279" s="308" t="str">
        <f>'A) Base RI'!B275</f>
        <v>Le Lieu</v>
      </c>
      <c r="C279" s="10">
        <f>'A) Base RI'!V275</f>
        <v>869</v>
      </c>
      <c r="D279" s="14">
        <f>'C) Prél. conj.'!H273</f>
        <v>281432.73</v>
      </c>
      <c r="E279" s="10">
        <f>'D) Ecrêtage'!M273</f>
        <v>0</v>
      </c>
      <c r="F279" s="14">
        <f>$F$10*'D) Ecrêtage'!C273</f>
        <v>505533.56264685304</v>
      </c>
      <c r="G279" s="58">
        <f t="shared" si="4"/>
        <v>786966.29264685302</v>
      </c>
    </row>
    <row r="280" spans="1:7" x14ac:dyDescent="0.25">
      <c r="A280" s="50">
        <f>'A) Base RI'!A276</f>
        <v>5881</v>
      </c>
      <c r="B280" s="308" t="str">
        <f>'A) Base RI'!B276</f>
        <v>Blonay</v>
      </c>
      <c r="C280" s="10">
        <f>'A) Base RI'!V276</f>
        <v>6183</v>
      </c>
      <c r="D280" s="14">
        <f>'C) Prél. conj.'!H274</f>
        <v>647541.26</v>
      </c>
      <c r="E280" s="10">
        <f>'D) Ecrêtage'!M274</f>
        <v>827945.65447923401</v>
      </c>
      <c r="F280" s="14">
        <f>$F$10*'D) Ecrêtage'!C274</f>
        <v>5327087.7347552134</v>
      </c>
      <c r="G280" s="58">
        <f t="shared" si="4"/>
        <v>6802574.6492344476</v>
      </c>
    </row>
    <row r="281" spans="1:7" x14ac:dyDescent="0.25">
      <c r="A281" s="50">
        <f>'A) Base RI'!A277</f>
        <v>5882</v>
      </c>
      <c r="B281" s="308" t="str">
        <f>'A) Base RI'!B277</f>
        <v>Chardonne</v>
      </c>
      <c r="C281" s="10">
        <f>'A) Base RI'!V277</f>
        <v>2921</v>
      </c>
      <c r="D281" s="14">
        <f>'C) Prél. conj.'!H275</f>
        <v>1282623.57</v>
      </c>
      <c r="E281" s="10">
        <f>'D) Ecrêtage'!M275</f>
        <v>331721.08187593863</v>
      </c>
      <c r="F281" s="14">
        <f>$F$10*'D) Ecrêtage'!C275</f>
        <v>2468677.8818939845</v>
      </c>
      <c r="G281" s="58">
        <f t="shared" si="4"/>
        <v>4083022.5337699228</v>
      </c>
    </row>
    <row r="282" spans="1:7" x14ac:dyDescent="0.25">
      <c r="A282" s="50">
        <f>'A) Base RI'!A278</f>
        <v>5883</v>
      </c>
      <c r="B282" s="308" t="str">
        <f>'A) Base RI'!B278</f>
        <v>Corseaux</v>
      </c>
      <c r="C282" s="10">
        <f>'A) Base RI'!V278</f>
        <v>2289</v>
      </c>
      <c r="D282" s="14">
        <f>'C) Prél. conj.'!H276</f>
        <v>431566.69999999995</v>
      </c>
      <c r="E282" s="10">
        <f>'D) Ecrêtage'!M276</f>
        <v>822478.01846996532</v>
      </c>
      <c r="F282" s="14">
        <f>$F$10*'D) Ecrêtage'!C276</f>
        <v>2368705.7142409347</v>
      </c>
      <c r="G282" s="58">
        <f t="shared" si="4"/>
        <v>3622750.4327109</v>
      </c>
    </row>
    <row r="283" spans="1:7" x14ac:dyDescent="0.25">
      <c r="A283" s="50">
        <f>'A) Base RI'!A279</f>
        <v>5884</v>
      </c>
      <c r="B283" s="308" t="str">
        <f>'A) Base RI'!B279</f>
        <v>Corsier-sur-Vevey</v>
      </c>
      <c r="C283" s="10">
        <f>'A) Base RI'!V279</f>
        <v>3396</v>
      </c>
      <c r="D283" s="14">
        <f>'C) Prél. conj.'!H277</f>
        <v>422134.30500000005</v>
      </c>
      <c r="E283" s="10">
        <f>'D) Ecrêtage'!M277</f>
        <v>0</v>
      </c>
      <c r="F283" s="14">
        <f>$F$10*'D) Ecrêtage'!C277</f>
        <v>1902324.221731239</v>
      </c>
      <c r="G283" s="58">
        <f t="shared" si="4"/>
        <v>2324458.5267312392</v>
      </c>
    </row>
    <row r="284" spans="1:7" x14ac:dyDescent="0.25">
      <c r="A284" s="50">
        <f>'A) Base RI'!A280</f>
        <v>5885</v>
      </c>
      <c r="B284" s="308" t="str">
        <f>'A) Base RI'!B280</f>
        <v>Jongny</v>
      </c>
      <c r="C284" s="10">
        <f>'A) Base RI'!V280</f>
        <v>1549</v>
      </c>
      <c r="D284" s="14">
        <f>'C) Prél. conj.'!H278</f>
        <v>330932.93</v>
      </c>
      <c r="E284" s="10">
        <f>'D) Ecrêtage'!M278</f>
        <v>381714.27713710989</v>
      </c>
      <c r="F284" s="14">
        <f>$F$10*'D) Ecrêtage'!C278</f>
        <v>1461469.8333428439</v>
      </c>
      <c r="G284" s="58">
        <f t="shared" si="4"/>
        <v>2174117.0404799539</v>
      </c>
    </row>
    <row r="285" spans="1:7" x14ac:dyDescent="0.25">
      <c r="A285" s="50">
        <f>'A) Base RI'!A281</f>
        <v>5886</v>
      </c>
      <c r="B285" s="308" t="str">
        <f>'A) Base RI'!B281</f>
        <v>Montreux</v>
      </c>
      <c r="C285" s="10">
        <f>'A) Base RI'!V281</f>
        <v>26653</v>
      </c>
      <c r="D285" s="14">
        <f>'C) Prél. conj.'!H279</f>
        <v>8133130.1749999998</v>
      </c>
      <c r="E285" s="10">
        <f>'D) Ecrêtage'!M279</f>
        <v>0</v>
      </c>
      <c r="F285" s="14">
        <f>$F$10*'D) Ecrêtage'!C279</f>
        <v>17684411.733807366</v>
      </c>
      <c r="G285" s="58">
        <f t="shared" si="4"/>
        <v>25817541.908807367</v>
      </c>
    </row>
    <row r="286" spans="1:7" x14ac:dyDescent="0.25">
      <c r="A286" s="50">
        <f>'A) Base RI'!A282</f>
        <v>5888</v>
      </c>
      <c r="B286" s="308" t="str">
        <f>'A) Base RI'!B282</f>
        <v>Saint-Légier-La Chiésaz</v>
      </c>
      <c r="C286" s="10">
        <f>'A) Base RI'!V282</f>
        <v>5167</v>
      </c>
      <c r="D286" s="14">
        <f>'C) Prél. conj.'!H280</f>
        <v>1005033.92</v>
      </c>
      <c r="E286" s="10">
        <f>'D) Ecrêtage'!M280</f>
        <v>841797.36910825188</v>
      </c>
      <c r="F286" s="14">
        <f>$F$10*'D) Ecrêtage'!C280</f>
        <v>4592661.3800444948</v>
      </c>
      <c r="G286" s="58">
        <f t="shared" si="4"/>
        <v>6439492.6691527469</v>
      </c>
    </row>
    <row r="287" spans="1:7" x14ac:dyDescent="0.25">
      <c r="A287" s="50">
        <f>'A) Base RI'!A283</f>
        <v>5889</v>
      </c>
      <c r="B287" s="308" t="str">
        <f>'A) Base RI'!B283</f>
        <v>La Tour-de-Peilz</v>
      </c>
      <c r="C287" s="10">
        <f>'A) Base RI'!V283</f>
        <v>11779</v>
      </c>
      <c r="D287" s="14">
        <f>'C) Prél. conj.'!H281</f>
        <v>1796546.4900000002</v>
      </c>
      <c r="E287" s="10">
        <f>'D) Ecrêtage'!M281</f>
        <v>2042188.2656097242</v>
      </c>
      <c r="F287" s="14">
        <f>$F$10*'D) Ecrêtage'!C281</f>
        <v>10641518.279110963</v>
      </c>
      <c r="G287" s="58">
        <f t="shared" si="4"/>
        <v>14480253.034720687</v>
      </c>
    </row>
    <row r="288" spans="1:7" x14ac:dyDescent="0.25">
      <c r="A288" s="50">
        <f>'A) Base RI'!A284</f>
        <v>5890</v>
      </c>
      <c r="B288" s="308" t="str">
        <f>'A) Base RI'!B284</f>
        <v>Vevey</v>
      </c>
      <c r="C288" s="10">
        <f>'A) Base RI'!V284</f>
        <v>19829</v>
      </c>
      <c r="D288" s="14">
        <f>'C) Prél. conj.'!H282</f>
        <v>3067502.5549999997</v>
      </c>
      <c r="E288" s="10">
        <f>'D) Ecrêtage'!M282</f>
        <v>825819.71736475884</v>
      </c>
      <c r="F288" s="14">
        <f>$F$10*'D) Ecrêtage'!C282</f>
        <v>15038599.746849054</v>
      </c>
      <c r="G288" s="58">
        <f t="shared" si="4"/>
        <v>18931922.019213811</v>
      </c>
    </row>
    <row r="289" spans="1:7" x14ac:dyDescent="0.25">
      <c r="A289" s="50">
        <f>'A) Base RI'!A285</f>
        <v>5891</v>
      </c>
      <c r="B289" s="308" t="str">
        <f>'A) Base RI'!B285</f>
        <v>Veytaux</v>
      </c>
      <c r="C289" s="10">
        <f>'A) Base RI'!V285</f>
        <v>870</v>
      </c>
      <c r="D289" s="14">
        <f>'C) Prél. conj.'!H283</f>
        <v>121673.65</v>
      </c>
      <c r="E289" s="10">
        <f>'D) Ecrêtage'!M283</f>
        <v>0</v>
      </c>
      <c r="F289" s="14">
        <f>$F$10*'D) Ecrêtage'!C283</f>
        <v>554364.00144603301</v>
      </c>
      <c r="G289" s="58">
        <f t="shared" si="4"/>
        <v>676037.65144603304</v>
      </c>
    </row>
    <row r="290" spans="1:7" x14ac:dyDescent="0.25">
      <c r="A290" s="50">
        <f>'A) Base RI'!A286</f>
        <v>5902</v>
      </c>
      <c r="B290" s="308" t="str">
        <f>'A) Base RI'!B286</f>
        <v>Belmont-sur-Yverdon</v>
      </c>
      <c r="C290" s="10">
        <f>'A) Base RI'!V286</f>
        <v>378</v>
      </c>
      <c r="D290" s="14">
        <f>'C) Prél. conj.'!H284</f>
        <v>31716.35</v>
      </c>
      <c r="E290" s="10">
        <f>'D) Ecrêtage'!M284</f>
        <v>0</v>
      </c>
      <c r="F290" s="14">
        <f>$F$10*'D) Ecrêtage'!C284</f>
        <v>156029.740904437</v>
      </c>
      <c r="G290" s="58">
        <f t="shared" si="4"/>
        <v>187746.09090443701</v>
      </c>
    </row>
    <row r="291" spans="1:7" x14ac:dyDescent="0.25">
      <c r="A291" s="50">
        <f>'A) Base RI'!A287</f>
        <v>5903</v>
      </c>
      <c r="B291" s="308" t="str">
        <f>'A) Base RI'!B287</f>
        <v>Bioley-Magnoux</v>
      </c>
      <c r="C291" s="10">
        <f>'A) Base RI'!V287</f>
        <v>225</v>
      </c>
      <c r="D291" s="14">
        <f>'C) Prél. conj.'!H285</f>
        <v>15496.06</v>
      </c>
      <c r="E291" s="10">
        <f>'D) Ecrêtage'!M285</f>
        <v>0</v>
      </c>
      <c r="F291" s="14">
        <f>$F$10*'D) Ecrêtage'!C285</f>
        <v>93487.238966863719</v>
      </c>
      <c r="G291" s="58">
        <f t="shared" si="4"/>
        <v>108983.29896686372</v>
      </c>
    </row>
    <row r="292" spans="1:7" x14ac:dyDescent="0.25">
      <c r="A292" s="50">
        <f>'A) Base RI'!A288</f>
        <v>5904</v>
      </c>
      <c r="B292" s="308" t="str">
        <f>'A) Base RI'!B288</f>
        <v>Chamblon</v>
      </c>
      <c r="C292" s="10">
        <f>'A) Base RI'!V288</f>
        <v>534</v>
      </c>
      <c r="D292" s="14">
        <f>'C) Prél. conj.'!H286</f>
        <v>51290.180000000008</v>
      </c>
      <c r="E292" s="10">
        <f>'D) Ecrêtage'!M286</f>
        <v>0</v>
      </c>
      <c r="F292" s="14">
        <f>$F$10*'D) Ecrêtage'!C286</f>
        <v>341563.80881152739</v>
      </c>
      <c r="G292" s="58">
        <f t="shared" si="4"/>
        <v>392853.98881152738</v>
      </c>
    </row>
    <row r="293" spans="1:7" x14ac:dyDescent="0.25">
      <c r="A293" s="50">
        <f>'A) Base RI'!A289</f>
        <v>5905</v>
      </c>
      <c r="B293" s="308" t="str">
        <f>'A) Base RI'!B289</f>
        <v>Champvent</v>
      </c>
      <c r="C293" s="10">
        <f>'A) Base RI'!V289</f>
        <v>669</v>
      </c>
      <c r="D293" s="14">
        <f>'C) Prél. conj.'!H287</f>
        <v>58015.33</v>
      </c>
      <c r="E293" s="10">
        <f>'D) Ecrêtage'!M287</f>
        <v>0</v>
      </c>
      <c r="F293" s="14">
        <f>$F$10*'D) Ecrêtage'!C287</f>
        <v>349617.4695150599</v>
      </c>
      <c r="G293" s="58">
        <f t="shared" si="4"/>
        <v>407632.79951505992</v>
      </c>
    </row>
    <row r="294" spans="1:7" x14ac:dyDescent="0.25">
      <c r="A294" s="50">
        <f>'A) Base RI'!A290</f>
        <v>5907</v>
      </c>
      <c r="B294" s="308" t="str">
        <f>'A) Base RI'!B290</f>
        <v>Chavannes-le-Chêne</v>
      </c>
      <c r="C294" s="10">
        <f>'A) Base RI'!V290</f>
        <v>298</v>
      </c>
      <c r="D294" s="14">
        <f>'C) Prél. conj.'!H288</f>
        <v>6569.6999999999989</v>
      </c>
      <c r="E294" s="10">
        <f>'D) Ecrêtage'!M288</f>
        <v>0</v>
      </c>
      <c r="F294" s="14">
        <f>$F$10*'D) Ecrêtage'!C288</f>
        <v>136225.21049998081</v>
      </c>
      <c r="G294" s="58">
        <f t="shared" si="4"/>
        <v>142794.91049998082</v>
      </c>
    </row>
    <row r="295" spans="1:7" x14ac:dyDescent="0.25">
      <c r="A295" s="50">
        <f>'A) Base RI'!A291</f>
        <v>5908</v>
      </c>
      <c r="B295" s="308" t="str">
        <f>'A) Base RI'!B291</f>
        <v>Chêne-Pâquier</v>
      </c>
      <c r="C295" s="10">
        <f>'A) Base RI'!V291</f>
        <v>139</v>
      </c>
      <c r="D295" s="14">
        <f>'C) Prél. conj.'!H289</f>
        <v>1419.8249999999998</v>
      </c>
      <c r="E295" s="10">
        <f>'D) Ecrêtage'!M289</f>
        <v>0</v>
      </c>
      <c r="F295" s="14">
        <f>$F$10*'D) Ecrêtage'!C289</f>
        <v>43429.406283886201</v>
      </c>
      <c r="G295" s="58">
        <f t="shared" si="4"/>
        <v>44849.231283886198</v>
      </c>
    </row>
    <row r="296" spans="1:7" x14ac:dyDescent="0.25">
      <c r="A296" s="50">
        <f>'A) Base RI'!A292</f>
        <v>5909</v>
      </c>
      <c r="B296" s="308" t="str">
        <f>'A) Base RI'!B292</f>
        <v>Cheseaux-Noréaz</v>
      </c>
      <c r="C296" s="10">
        <f>'A) Base RI'!V292</f>
        <v>705</v>
      </c>
      <c r="D296" s="14">
        <f>'C) Prél. conj.'!H290</f>
        <v>137241.32500000001</v>
      </c>
      <c r="E296" s="10">
        <f>'D) Ecrêtage'!M290</f>
        <v>0</v>
      </c>
      <c r="F296" s="14">
        <f>$F$10*'D) Ecrêtage'!C290</f>
        <v>439534.1348418569</v>
      </c>
      <c r="G296" s="58">
        <f t="shared" si="4"/>
        <v>576775.45984185697</v>
      </c>
    </row>
    <row r="297" spans="1:7" x14ac:dyDescent="0.25">
      <c r="A297" s="50">
        <f>'A) Base RI'!A293</f>
        <v>5910</v>
      </c>
      <c r="B297" s="308" t="str">
        <f>'A) Base RI'!B293</f>
        <v>Cronay</v>
      </c>
      <c r="C297" s="10">
        <f>'A) Base RI'!V293</f>
        <v>380</v>
      </c>
      <c r="D297" s="14">
        <f>'C) Prél. conj.'!H291</f>
        <v>4225.1750000000002</v>
      </c>
      <c r="E297" s="10">
        <f>'D) Ecrêtage'!M291</f>
        <v>0</v>
      </c>
      <c r="F297" s="14">
        <f>$F$10*'D) Ecrêtage'!C291</f>
        <v>159069.90122437291</v>
      </c>
      <c r="G297" s="58">
        <f t="shared" si="4"/>
        <v>163295.0762243729</v>
      </c>
    </row>
    <row r="298" spans="1:7" x14ac:dyDescent="0.25">
      <c r="A298" s="50">
        <f>'A) Base RI'!A294</f>
        <v>5911</v>
      </c>
      <c r="B298" s="308" t="str">
        <f>'A) Base RI'!B294</f>
        <v>Cuarny</v>
      </c>
      <c r="C298" s="10">
        <f>'A) Base RI'!V294</f>
        <v>241</v>
      </c>
      <c r="D298" s="14">
        <f>'C) Prél. conj.'!H292</f>
        <v>5294.3250000000007</v>
      </c>
      <c r="E298" s="10">
        <f>'D) Ecrêtage'!M292</f>
        <v>0</v>
      </c>
      <c r="F298" s="14">
        <f>$F$10*'D) Ecrêtage'!C292</f>
        <v>111738.55149888787</v>
      </c>
      <c r="G298" s="58">
        <f t="shared" si="4"/>
        <v>117032.87649888787</v>
      </c>
    </row>
    <row r="299" spans="1:7" x14ac:dyDescent="0.25">
      <c r="A299" s="50">
        <f>'A) Base RI'!A295</f>
        <v>5912</v>
      </c>
      <c r="B299" s="308" t="str">
        <f>'A) Base RI'!B295</f>
        <v>Démoret</v>
      </c>
      <c r="C299" s="10">
        <f>'A) Base RI'!V295</f>
        <v>146</v>
      </c>
      <c r="D299" s="14">
        <f>'C) Prél. conj.'!H293</f>
        <v>7130.1750000000002</v>
      </c>
      <c r="E299" s="10">
        <f>'D) Ecrêtage'!M293</f>
        <v>0</v>
      </c>
      <c r="F299" s="14">
        <f>$F$10*'D) Ecrêtage'!C293</f>
        <v>50266.682553934064</v>
      </c>
      <c r="G299" s="58">
        <f t="shared" si="4"/>
        <v>57396.857553934067</v>
      </c>
    </row>
    <row r="300" spans="1:7" x14ac:dyDescent="0.25">
      <c r="A300" s="50">
        <f>'A) Base RI'!A296</f>
        <v>5913</v>
      </c>
      <c r="B300" s="308" t="str">
        <f>'A) Base RI'!B296</f>
        <v>Donneloye</v>
      </c>
      <c r="C300" s="10">
        <f>'A) Base RI'!V296</f>
        <v>813</v>
      </c>
      <c r="D300" s="14">
        <f>'C) Prél. conj.'!H294</f>
        <v>44885.03</v>
      </c>
      <c r="E300" s="10">
        <f>'D) Ecrêtage'!M294</f>
        <v>0</v>
      </c>
      <c r="F300" s="14">
        <f>$F$10*'D) Ecrêtage'!C294</f>
        <v>316081.78898382129</v>
      </c>
      <c r="G300" s="58">
        <f t="shared" si="4"/>
        <v>360966.81898382131</v>
      </c>
    </row>
    <row r="301" spans="1:7" x14ac:dyDescent="0.25">
      <c r="A301" s="50">
        <f>'A) Base RI'!A297</f>
        <v>5914</v>
      </c>
      <c r="B301" s="308" t="str">
        <f>'A) Base RI'!B297</f>
        <v>Ependes</v>
      </c>
      <c r="C301" s="10">
        <f>'A) Base RI'!V297</f>
        <v>361</v>
      </c>
      <c r="D301" s="14">
        <f>'C) Prél. conj.'!H295</f>
        <v>18859.95</v>
      </c>
      <c r="E301" s="10">
        <f>'D) Ecrêtage'!M295</f>
        <v>0</v>
      </c>
      <c r="F301" s="14">
        <f>$F$10*'D) Ecrêtage'!C295</f>
        <v>160447.16182647028</v>
      </c>
      <c r="G301" s="58">
        <f t="shared" si="4"/>
        <v>179307.1118264703</v>
      </c>
    </row>
    <row r="302" spans="1:7" x14ac:dyDescent="0.25">
      <c r="A302" s="50">
        <f>'A) Base RI'!A298</f>
        <v>5919</v>
      </c>
      <c r="B302" s="308" t="str">
        <f>'A) Base RI'!B298</f>
        <v>Mathod</v>
      </c>
      <c r="C302" s="10">
        <f>'A) Base RI'!V298</f>
        <v>617</v>
      </c>
      <c r="D302" s="14">
        <f>'C) Prél. conj.'!H296</f>
        <v>12442.785</v>
      </c>
      <c r="E302" s="10">
        <f>'D) Ecrêtage'!M296</f>
        <v>0</v>
      </c>
      <c r="F302" s="14">
        <f>$F$10*'D) Ecrêtage'!C296</f>
        <v>251793.1275882927</v>
      </c>
      <c r="G302" s="58">
        <f t="shared" si="4"/>
        <v>264235.91258829267</v>
      </c>
    </row>
    <row r="303" spans="1:7" x14ac:dyDescent="0.25">
      <c r="A303" s="50">
        <f>'A) Base RI'!A299</f>
        <v>5921</v>
      </c>
      <c r="B303" s="308" t="str">
        <f>'A) Base RI'!B299</f>
        <v>Molondin</v>
      </c>
      <c r="C303" s="10">
        <f>'A) Base RI'!V299</f>
        <v>232</v>
      </c>
      <c r="D303" s="14">
        <f>'C) Prél. conj.'!H297</f>
        <v>11972.15</v>
      </c>
      <c r="E303" s="10">
        <f>'D) Ecrêtage'!M297</f>
        <v>0</v>
      </c>
      <c r="F303" s="14">
        <f>$F$10*'D) Ecrêtage'!C297</f>
        <v>83986.916900937955</v>
      </c>
      <c r="G303" s="58">
        <f t="shared" si="4"/>
        <v>95959.066900937949</v>
      </c>
    </row>
    <row r="304" spans="1:7" x14ac:dyDescent="0.25">
      <c r="A304" s="50">
        <f>'A) Base RI'!A300</f>
        <v>5922</v>
      </c>
      <c r="B304" s="308" t="str">
        <f>'A) Base RI'!B300</f>
        <v>Montagny-près-Yverdon</v>
      </c>
      <c r="C304" s="10">
        <f>'A) Base RI'!V300</f>
        <v>717</v>
      </c>
      <c r="D304" s="14">
        <f>'C) Prél. conj.'!H298</f>
        <v>125894.785</v>
      </c>
      <c r="E304" s="10">
        <f>'D) Ecrêtage'!M298</f>
        <v>145543.10993036593</v>
      </c>
      <c r="F304" s="14">
        <f>$F$10*'D) Ecrêtage'!C298</f>
        <v>671088.35943282035</v>
      </c>
      <c r="G304" s="58">
        <f t="shared" si="4"/>
        <v>942526.25436318631</v>
      </c>
    </row>
    <row r="305" spans="1:7" x14ac:dyDescent="0.25">
      <c r="A305" s="50">
        <f>'A) Base RI'!A301</f>
        <v>5923</v>
      </c>
      <c r="B305" s="308" t="str">
        <f>'A) Base RI'!B301</f>
        <v>Oppens</v>
      </c>
      <c r="C305" s="10">
        <f>'A) Base RI'!V301</f>
        <v>187</v>
      </c>
      <c r="D305" s="14">
        <f>'C) Prél. conj.'!H299</f>
        <v>9992.85</v>
      </c>
      <c r="E305" s="10">
        <f>'D) Ecrêtage'!M299</f>
        <v>0</v>
      </c>
      <c r="F305" s="14">
        <f>$F$10*'D) Ecrêtage'!C299</f>
        <v>73060.882659529569</v>
      </c>
      <c r="G305" s="58">
        <f t="shared" si="4"/>
        <v>83053.732659529574</v>
      </c>
    </row>
    <row r="306" spans="1:7" x14ac:dyDescent="0.25">
      <c r="A306" s="50">
        <f>'A) Base RI'!A302</f>
        <v>5924</v>
      </c>
      <c r="B306" s="308" t="str">
        <f>'A) Base RI'!B302</f>
        <v>Orges</v>
      </c>
      <c r="C306" s="10">
        <f>'A) Base RI'!V302</f>
        <v>336</v>
      </c>
      <c r="D306" s="14">
        <f>'C) Prél. conj.'!H300</f>
        <v>10564.745000000001</v>
      </c>
      <c r="E306" s="10">
        <f>'D) Ecrêtage'!M300</f>
        <v>0</v>
      </c>
      <c r="F306" s="14">
        <f>$F$10*'D) Ecrêtage'!C300</f>
        <v>164018.80753762962</v>
      </c>
      <c r="G306" s="58">
        <f t="shared" si="4"/>
        <v>174583.55253762961</v>
      </c>
    </row>
    <row r="307" spans="1:7" x14ac:dyDescent="0.25">
      <c r="A307" s="50">
        <f>'A) Base RI'!A303</f>
        <v>5925</v>
      </c>
      <c r="B307" s="308" t="str">
        <f>'A) Base RI'!B303</f>
        <v>Orzens</v>
      </c>
      <c r="C307" s="10">
        <f>'A) Base RI'!V303</f>
        <v>195</v>
      </c>
      <c r="D307" s="14">
        <f>'C) Prél. conj.'!H301</f>
        <v>4070</v>
      </c>
      <c r="E307" s="10">
        <f>'D) Ecrêtage'!M301</f>
        <v>0</v>
      </c>
      <c r="F307" s="14">
        <f>$F$10*'D) Ecrêtage'!C301</f>
        <v>75016.085852068121</v>
      </c>
      <c r="G307" s="58">
        <f t="shared" si="4"/>
        <v>79086.085852068121</v>
      </c>
    </row>
    <row r="308" spans="1:7" x14ac:dyDescent="0.25">
      <c r="A308" s="50">
        <f>'A) Base RI'!A304</f>
        <v>5926</v>
      </c>
      <c r="B308" s="308" t="str">
        <f>'A) Base RI'!B304</f>
        <v>Pomy</v>
      </c>
      <c r="C308" s="10">
        <f>'A) Base RI'!V304</f>
        <v>785</v>
      </c>
      <c r="D308" s="14">
        <f>'C) Prél. conj.'!H302</f>
        <v>45088.079999999994</v>
      </c>
      <c r="E308" s="10">
        <f>'D) Ecrêtage'!M302</f>
        <v>0</v>
      </c>
      <c r="F308" s="14">
        <f>$F$10*'D) Ecrêtage'!C302</f>
        <v>366951.49005418358</v>
      </c>
      <c r="G308" s="58">
        <f t="shared" si="4"/>
        <v>412039.5700541836</v>
      </c>
    </row>
    <row r="309" spans="1:7" x14ac:dyDescent="0.25">
      <c r="A309" s="50">
        <f>'A) Base RI'!A305</f>
        <v>5928</v>
      </c>
      <c r="B309" s="308" t="str">
        <f>'A) Base RI'!B305</f>
        <v>Rovray</v>
      </c>
      <c r="C309" s="10">
        <f>'A) Base RI'!V305</f>
        <v>187</v>
      </c>
      <c r="D309" s="14">
        <f>'C) Prél. conj.'!H303</f>
        <v>5186.3549999999996</v>
      </c>
      <c r="E309" s="10">
        <f>'D) Ecrêtage'!M303</f>
        <v>0</v>
      </c>
      <c r="F309" s="14">
        <f>$F$10*'D) Ecrêtage'!C303</f>
        <v>70777.549145805751</v>
      </c>
      <c r="G309" s="58">
        <f t="shared" si="4"/>
        <v>75963.904145805747</v>
      </c>
    </row>
    <row r="310" spans="1:7" x14ac:dyDescent="0.25">
      <c r="A310" s="50">
        <f>'A) Base RI'!A306</f>
        <v>5929</v>
      </c>
      <c r="B310" s="308" t="str">
        <f>'A) Base RI'!B306</f>
        <v>Suchy</v>
      </c>
      <c r="C310" s="10">
        <f>'A) Base RI'!V306</f>
        <v>605</v>
      </c>
      <c r="D310" s="14">
        <f>'C) Prél. conj.'!H304</f>
        <v>44374.41</v>
      </c>
      <c r="E310" s="10">
        <f>'D) Ecrêtage'!M304</f>
        <v>0</v>
      </c>
      <c r="F310" s="14">
        <f>$F$10*'D) Ecrêtage'!C304</f>
        <v>268529.57814755791</v>
      </c>
      <c r="G310" s="58">
        <f t="shared" si="4"/>
        <v>312903.98814755795</v>
      </c>
    </row>
    <row r="311" spans="1:7" x14ac:dyDescent="0.25">
      <c r="A311" s="50">
        <f>'A) Base RI'!A307</f>
        <v>5930</v>
      </c>
      <c r="B311" s="308" t="str">
        <f>'A) Base RI'!B307</f>
        <v>Suscévaz</v>
      </c>
      <c r="C311" s="10">
        <f>'A) Base RI'!V307</f>
        <v>200</v>
      </c>
      <c r="D311" s="14">
        <f>'C) Prél. conj.'!H305</f>
        <v>20760.825000000001</v>
      </c>
      <c r="E311" s="10">
        <f>'D) Ecrêtage'!M305</f>
        <v>0</v>
      </c>
      <c r="F311" s="14">
        <f>$F$10*'D) Ecrêtage'!C305</f>
        <v>84617.884324429324</v>
      </c>
      <c r="G311" s="58">
        <f t="shared" si="4"/>
        <v>105378.70932442932</v>
      </c>
    </row>
    <row r="312" spans="1:7" x14ac:dyDescent="0.25">
      <c r="A312" s="50">
        <f>'A) Base RI'!A308</f>
        <v>5931</v>
      </c>
      <c r="B312" s="308" t="str">
        <f>'A) Base RI'!B308</f>
        <v>Treycovagnes</v>
      </c>
      <c r="C312" s="10">
        <f>'A) Base RI'!V308</f>
        <v>456</v>
      </c>
      <c r="D312" s="14">
        <f>'C) Prél. conj.'!H306</f>
        <v>56057.760000000002</v>
      </c>
      <c r="E312" s="10">
        <f>'D) Ecrêtage'!M306</f>
        <v>0</v>
      </c>
      <c r="F312" s="14">
        <f>$F$10*'D) Ecrêtage'!C306</f>
        <v>212080.9775523209</v>
      </c>
      <c r="G312" s="58">
        <f t="shared" si="4"/>
        <v>268138.73755232088</v>
      </c>
    </row>
    <row r="313" spans="1:7" x14ac:dyDescent="0.25">
      <c r="A313" s="50">
        <f>'A) Base RI'!A309</f>
        <v>5932</v>
      </c>
      <c r="B313" s="308" t="str">
        <f>'A) Base RI'!B309</f>
        <v>Ursins</v>
      </c>
      <c r="C313" s="10">
        <f>'A) Base RI'!V309</f>
        <v>218</v>
      </c>
      <c r="D313" s="14">
        <f>'C) Prél. conj.'!H307</f>
        <v>13200</v>
      </c>
      <c r="E313" s="10">
        <f>'D) Ecrêtage'!M307</f>
        <v>0</v>
      </c>
      <c r="F313" s="14">
        <f>$F$10*'D) Ecrêtage'!C307</f>
        <v>108150.37324242896</v>
      </c>
      <c r="G313" s="58">
        <f t="shared" si="4"/>
        <v>121350.37324242896</v>
      </c>
    </row>
    <row r="314" spans="1:7" x14ac:dyDescent="0.25">
      <c r="A314" s="50">
        <f>'A) Base RI'!A310</f>
        <v>5933</v>
      </c>
      <c r="B314" s="308" t="str">
        <f>'A) Base RI'!B310</f>
        <v>Valeyres-sous-Montagny</v>
      </c>
      <c r="C314" s="10">
        <f>'A) Base RI'!V310</f>
        <v>705</v>
      </c>
      <c r="D314" s="14">
        <f>'C) Prél. conj.'!H308</f>
        <v>66560.819999999992</v>
      </c>
      <c r="E314" s="10">
        <f>'D) Ecrêtage'!M308</f>
        <v>0</v>
      </c>
      <c r="F314" s="14">
        <f>$F$10*'D) Ecrêtage'!C308</f>
        <v>326084.27313171944</v>
      </c>
      <c r="G314" s="58">
        <f t="shared" si="4"/>
        <v>392645.09313171945</v>
      </c>
    </row>
    <row r="315" spans="1:7" x14ac:dyDescent="0.25">
      <c r="A315" s="50">
        <f>'A) Base RI'!A311</f>
        <v>5934</v>
      </c>
      <c r="B315" s="308" t="str">
        <f>'A) Base RI'!B311</f>
        <v>Valeyres-sous-Ursins</v>
      </c>
      <c r="C315" s="10">
        <f>'A) Base RI'!V311</f>
        <v>238</v>
      </c>
      <c r="D315" s="14">
        <f>'C) Prél. conj.'!H309</f>
        <v>0</v>
      </c>
      <c r="E315" s="10">
        <f>'D) Ecrêtage'!M309</f>
        <v>0</v>
      </c>
      <c r="F315" s="14">
        <f>$F$10*'D) Ecrêtage'!C309</f>
        <v>107146.62692741159</v>
      </c>
      <c r="G315" s="58">
        <f t="shared" si="4"/>
        <v>107146.62692741159</v>
      </c>
    </row>
    <row r="316" spans="1:7" x14ac:dyDescent="0.25">
      <c r="A316" s="50">
        <f>'A) Base RI'!A312</f>
        <v>5935</v>
      </c>
      <c r="B316" s="308" t="str">
        <f>'A) Base RI'!B312</f>
        <v>Villars-Epeney</v>
      </c>
      <c r="C316" s="10">
        <f>'A) Base RI'!V312</f>
        <v>106</v>
      </c>
      <c r="D316" s="14">
        <f>'C) Prél. conj.'!H310</f>
        <v>4730</v>
      </c>
      <c r="E316" s="10">
        <f>'D) Ecrêtage'!M310</f>
        <v>8835.2434449011289</v>
      </c>
      <c r="F316" s="14">
        <f>$F$10*'D) Ecrêtage'!C310</f>
        <v>87237.2274964315</v>
      </c>
      <c r="G316" s="58">
        <f t="shared" si="4"/>
        <v>100802.47094133263</v>
      </c>
    </row>
    <row r="317" spans="1:7" x14ac:dyDescent="0.25">
      <c r="A317" s="50">
        <f>'A) Base RI'!A313</f>
        <v>5937</v>
      </c>
      <c r="B317" s="308" t="str">
        <f>'A) Base RI'!B313</f>
        <v>Vugelles-La Mothe</v>
      </c>
      <c r="C317" s="10">
        <f>'A) Base RI'!V313</f>
        <v>122</v>
      </c>
      <c r="D317" s="14">
        <f>'C) Prél. conj.'!H311</f>
        <v>5989.5749999999998</v>
      </c>
      <c r="E317" s="10">
        <f>'D) Ecrêtage'!M311</f>
        <v>0</v>
      </c>
      <c r="F317" s="14">
        <f>$F$10*'D) Ecrêtage'!C311</f>
        <v>45211.947030865842</v>
      </c>
      <c r="G317" s="58">
        <f t="shared" si="4"/>
        <v>51201.522030865839</v>
      </c>
    </row>
    <row r="318" spans="1:7" x14ac:dyDescent="0.25">
      <c r="A318" s="50">
        <f>'A) Base RI'!A314</f>
        <v>5938</v>
      </c>
      <c r="B318" s="308" t="str">
        <f>'A) Base RI'!B314</f>
        <v>Yverdon-les-Bains</v>
      </c>
      <c r="C318" s="10">
        <f>'A) Base RI'!V314</f>
        <v>30208</v>
      </c>
      <c r="D318" s="14">
        <f>'C) Prél. conj.'!H312</f>
        <v>2847343.73</v>
      </c>
      <c r="E318" s="10">
        <f>'D) Ecrêtage'!M312</f>
        <v>0</v>
      </c>
      <c r="F318" s="14">
        <f>$F$10*'D) Ecrêtage'!C312</f>
        <v>12214871.593136562</v>
      </c>
      <c r="G318" s="58">
        <f t="shared" si="4"/>
        <v>15062215.323136562</v>
      </c>
    </row>
    <row r="319" spans="1:7" x14ac:dyDescent="0.25">
      <c r="A319" s="50">
        <f>'A) Base RI'!A315</f>
        <v>5939</v>
      </c>
      <c r="B319" s="308" t="str">
        <f>'A) Base RI'!B315</f>
        <v>Yvonand</v>
      </c>
      <c r="C319" s="10">
        <f>'A) Base RI'!V315</f>
        <v>3351</v>
      </c>
      <c r="D319" s="14">
        <f>'C) Prél. conj.'!H313</f>
        <v>630616.59499999997</v>
      </c>
      <c r="E319" s="10">
        <f>'D) Ecrêtage'!M313</f>
        <v>0</v>
      </c>
      <c r="F319" s="14">
        <f>$F$10*'D) Ecrêtage'!C313</f>
        <v>1463420.3831664775</v>
      </c>
      <c r="G319" s="58">
        <f t="shared" si="4"/>
        <v>2094036.9781664775</v>
      </c>
    </row>
    <row r="320" spans="1:7" x14ac:dyDescent="0.25">
      <c r="A320" s="31"/>
      <c r="B320" s="315">
        <f>COUNTA(B11:B319)</f>
        <v>309</v>
      </c>
      <c r="C320" s="11">
        <f>SUM(C11:C319)</f>
        <v>794384</v>
      </c>
      <c r="D320" s="316">
        <f>SUM(D11:D319)</f>
        <v>132947500.20500001</v>
      </c>
      <c r="E320" s="11">
        <f>SUM(E11:E319)</f>
        <v>117814186.50886749</v>
      </c>
      <c r="F320" s="316">
        <f>SUM(F11:F319)</f>
        <v>566723313.2861321</v>
      </c>
      <c r="G320" s="38">
        <f>SUM(G11:G319)</f>
        <v>817484999.99999976</v>
      </c>
    </row>
    <row r="321" spans="1:13" x14ac:dyDescent="0.25">
      <c r="C321" s="75"/>
      <c r="D321" s="75"/>
      <c r="E321" s="75"/>
      <c r="F321" s="75"/>
    </row>
    <row r="322" spans="1:13" x14ac:dyDescent="0.25">
      <c r="A322" s="76"/>
      <c r="B322" s="77"/>
      <c r="C322" s="77"/>
      <c r="D322" s="46"/>
      <c r="E322" s="78"/>
      <c r="F322" s="16"/>
      <c r="G322" s="16"/>
      <c r="H322" s="16"/>
      <c r="I322" s="16"/>
      <c r="J322" s="16"/>
      <c r="M322" s="16"/>
    </row>
    <row r="323" spans="1:13" x14ac:dyDescent="0.25">
      <c r="F323" s="76"/>
      <c r="G323" s="76"/>
      <c r="H323" s="76"/>
      <c r="I323" s="76"/>
      <c r="J323" s="76"/>
      <c r="K323" s="76"/>
      <c r="L323" s="77"/>
      <c r="M323" s="76"/>
    </row>
    <row r="324" spans="1:13" x14ac:dyDescent="0.25">
      <c r="F324" s="77"/>
      <c r="G324" s="76"/>
      <c r="H324" s="76"/>
      <c r="I324" s="76"/>
      <c r="J324" s="76"/>
      <c r="K324" s="76"/>
      <c r="L324" s="76"/>
      <c r="M324" s="76"/>
    </row>
    <row r="325" spans="1:13" x14ac:dyDescent="0.25">
      <c r="F325" s="77"/>
      <c r="G325" s="76"/>
      <c r="H325" s="76"/>
      <c r="I325" s="76"/>
      <c r="M325" s="76"/>
    </row>
    <row r="326" spans="1:13" x14ac:dyDescent="0.25">
      <c r="F326" s="77"/>
      <c r="G326" s="76"/>
      <c r="H326" s="76"/>
      <c r="I326" s="76"/>
      <c r="M326" s="76"/>
    </row>
    <row r="327" spans="1:13" x14ac:dyDescent="0.25">
      <c r="F327" s="89"/>
      <c r="G327" s="76"/>
      <c r="H327" s="76"/>
      <c r="I327" s="76"/>
      <c r="M327" s="76"/>
    </row>
    <row r="328" spans="1:13" x14ac:dyDescent="0.25">
      <c r="D328" s="18"/>
      <c r="E328" s="76"/>
      <c r="F328" s="76"/>
      <c r="G328" s="76"/>
      <c r="H328" s="76"/>
      <c r="I328" s="76"/>
      <c r="J328" s="76"/>
      <c r="K328" s="76"/>
      <c r="L328" s="76"/>
      <c r="M328" s="76"/>
    </row>
    <row r="329" spans="1:13" x14ac:dyDescent="0.25">
      <c r="C329" s="62"/>
      <c r="E329" s="76"/>
      <c r="F329" s="76"/>
      <c r="G329" s="76"/>
      <c r="H329" s="76"/>
      <c r="I329" s="76"/>
      <c r="J329" s="76"/>
      <c r="K329" s="76"/>
      <c r="L329" s="76"/>
      <c r="M329" s="76"/>
    </row>
    <row r="330" spans="1:13" x14ac:dyDescent="0.25">
      <c r="E330" s="76"/>
      <c r="F330" s="76"/>
      <c r="G330" s="76"/>
      <c r="H330" s="76"/>
      <c r="I330" s="76"/>
      <c r="J330" s="76"/>
      <c r="M330" s="76"/>
    </row>
    <row r="331" spans="1:13" x14ac:dyDescent="0.25">
      <c r="E331" s="76"/>
      <c r="F331" s="76"/>
      <c r="G331" s="76"/>
      <c r="H331" s="76"/>
      <c r="I331" s="76"/>
      <c r="J331" s="76"/>
      <c r="M331" s="76"/>
    </row>
    <row r="332" spans="1:13" x14ac:dyDescent="0.25">
      <c r="E332" s="76"/>
      <c r="F332" s="76"/>
      <c r="G332" s="76"/>
      <c r="H332" s="76"/>
      <c r="I332" s="76"/>
      <c r="J332" s="76"/>
      <c r="M332" s="76"/>
    </row>
  </sheetData>
  <mergeCells count="7">
    <mergeCell ref="A3:C3"/>
    <mergeCell ref="A9:A10"/>
    <mergeCell ref="G9:G10"/>
    <mergeCell ref="E9:E10"/>
    <mergeCell ref="D9:D10"/>
    <mergeCell ref="C9:C10"/>
    <mergeCell ref="B9:B10"/>
  </mergeCells>
  <phoneticPr fontId="0" type="noConversion"/>
  <printOptions horizontalCentered="1"/>
  <pageMargins left="0" right="0" top="0" bottom="0" header="0.51181102362204722" footer="0.51181102362204722"/>
  <pageSetup paperSize="9" scale="73"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00B050"/>
  </sheetPr>
  <dimension ref="A1:L328"/>
  <sheetViews>
    <sheetView workbookViewId="0"/>
  </sheetViews>
  <sheetFormatPr baseColWidth="10" defaultColWidth="11" defaultRowHeight="15" x14ac:dyDescent="0.25"/>
  <cols>
    <col min="1" max="1" width="7.25" style="13" customWidth="1"/>
    <col min="2" max="2" width="17.375" style="13" bestFit="1" customWidth="1"/>
    <col min="3" max="3" width="8" style="13" bestFit="1" customWidth="1"/>
    <col min="4" max="9" width="11" style="13"/>
    <col min="10" max="10" width="8.25" style="13" bestFit="1" customWidth="1"/>
    <col min="11" max="11" width="10.75" style="13" bestFit="1" customWidth="1"/>
    <col min="12" max="16384" width="11" style="13"/>
  </cols>
  <sheetData>
    <row r="1" spans="1:12" ht="21" x14ac:dyDescent="0.25">
      <c r="A1" s="52" t="s">
        <v>453</v>
      </c>
      <c r="B1" s="43"/>
      <c r="C1" s="72"/>
    </row>
    <row r="2" spans="1:12" x14ac:dyDescent="0.25">
      <c r="A2" s="28"/>
      <c r="B2" s="54"/>
    </row>
    <row r="3" spans="1:12" x14ac:dyDescent="0.25">
      <c r="A3" s="28"/>
      <c r="B3" s="54"/>
      <c r="C3" s="503" t="s">
        <v>308</v>
      </c>
      <c r="D3" s="504"/>
      <c r="E3" s="504"/>
      <c r="F3" s="504"/>
      <c r="G3" s="504"/>
      <c r="H3" s="504"/>
      <c r="I3" s="504"/>
      <c r="J3" s="505"/>
    </row>
    <row r="4" spans="1:12" x14ac:dyDescent="0.25">
      <c r="C4" s="109" t="s">
        <v>307</v>
      </c>
      <c r="D4" s="106">
        <f>Paramètres!B24</f>
        <v>0</v>
      </c>
      <c r="E4" s="106">
        <f>Paramètres!C24</f>
        <v>1000</v>
      </c>
      <c r="F4" s="106">
        <f>Paramètres!D24</f>
        <v>3000</v>
      </c>
      <c r="G4" s="106">
        <f>Paramètres!E24</f>
        <v>5000</v>
      </c>
      <c r="H4" s="106">
        <f>Paramètres!F24</f>
        <v>9000</v>
      </c>
      <c r="I4" s="106">
        <f>Paramètres!G24</f>
        <v>12000</v>
      </c>
      <c r="J4" s="106">
        <f>Paramètres!H24</f>
        <v>15000</v>
      </c>
    </row>
    <row r="5" spans="1:12" x14ac:dyDescent="0.25">
      <c r="C5" s="110" t="s">
        <v>309</v>
      </c>
      <c r="D5" s="106">
        <f>Paramètres!B25</f>
        <v>1000</v>
      </c>
      <c r="E5" s="106">
        <f>Paramètres!C25</f>
        <v>3000</v>
      </c>
      <c r="F5" s="106">
        <f>Paramètres!D25</f>
        <v>5000</v>
      </c>
      <c r="G5" s="106">
        <f>Paramètres!E25</f>
        <v>9000</v>
      </c>
      <c r="H5" s="106">
        <f>Paramètres!F25</f>
        <v>12000</v>
      </c>
      <c r="I5" s="106">
        <f>Paramètres!G25</f>
        <v>15000</v>
      </c>
      <c r="J5" s="106"/>
    </row>
    <row r="6" spans="1:12" ht="30" customHeight="1" x14ac:dyDescent="0.25">
      <c r="A6" s="485" t="s">
        <v>46</v>
      </c>
      <c r="B6" s="485" t="s">
        <v>96</v>
      </c>
      <c r="C6" s="485" t="s">
        <v>304</v>
      </c>
      <c r="D6" s="492" t="s">
        <v>310</v>
      </c>
      <c r="E6" s="493"/>
      <c r="F6" s="493"/>
      <c r="G6" s="493"/>
      <c r="H6" s="493"/>
      <c r="I6" s="493"/>
      <c r="J6" s="494"/>
      <c r="K6" s="485" t="s">
        <v>295</v>
      </c>
    </row>
    <row r="7" spans="1:12" x14ac:dyDescent="0.25">
      <c r="A7" s="486"/>
      <c r="B7" s="486"/>
      <c r="C7" s="487"/>
      <c r="D7" s="288">
        <f>Paramètres!B29</f>
        <v>123.49094567404426</v>
      </c>
      <c r="E7" s="288">
        <f>Paramètres!C29</f>
        <v>345.77464788732391</v>
      </c>
      <c r="F7" s="288">
        <f>Paramètres!D29</f>
        <v>493.96378269617702</v>
      </c>
      <c r="G7" s="288">
        <f>Paramètres!E29</f>
        <v>592.75653923541245</v>
      </c>
      <c r="H7" s="288">
        <f>Paramètres!F29</f>
        <v>839.73843058350099</v>
      </c>
      <c r="I7" s="288">
        <f>Paramètres!G29</f>
        <v>987.92756539235404</v>
      </c>
      <c r="J7" s="288">
        <f>Paramètres!H29</f>
        <v>1037.3239436619717</v>
      </c>
      <c r="K7" s="486"/>
    </row>
    <row r="8" spans="1:12" x14ac:dyDescent="0.25">
      <c r="A8" s="47">
        <f>'A) Base RI'!A7</f>
        <v>5401</v>
      </c>
      <c r="B8" s="314" t="str">
        <f>'A) Base RI'!B7</f>
        <v>Aigle</v>
      </c>
      <c r="C8" s="14">
        <f>'A) Base RI'!V7</f>
        <v>10153</v>
      </c>
      <c r="D8" s="10">
        <f>IF($C8&gt;D$4,IF($C8&lt;D$5,$C8-D$4,D$5-D$4),0)</f>
        <v>1000</v>
      </c>
      <c r="E8" s="14">
        <f t="shared" ref="E8:I23" si="0">IF($C8&gt;E$4,IF($C8&lt;E$5,$C8-E$4,E$5-E$4),0)</f>
        <v>2000</v>
      </c>
      <c r="F8" s="10">
        <f t="shared" si="0"/>
        <v>2000</v>
      </c>
      <c r="G8" s="14">
        <f t="shared" si="0"/>
        <v>4000</v>
      </c>
      <c r="H8" s="42">
        <f t="shared" si="0"/>
        <v>1153</v>
      </c>
      <c r="I8" s="10">
        <f t="shared" si="0"/>
        <v>0</v>
      </c>
      <c r="J8" s="10">
        <f>IF(C8&gt;$J$4,C8-$J$4,0)</f>
        <v>0</v>
      </c>
      <c r="K8" s="119">
        <f>(D8*D$7)+(E8*E$7)+(F8*F$7)+(G8*G$7)+(H8*H$7)+(I8*I$7)+(J8*J$7)</f>
        <v>5142212.3742454723</v>
      </c>
    </row>
    <row r="9" spans="1:12" x14ac:dyDescent="0.25">
      <c r="A9" s="50">
        <f>'A) Base RI'!A8</f>
        <v>5402</v>
      </c>
      <c r="B9" s="33" t="str">
        <f>'A) Base RI'!B8</f>
        <v>Bex</v>
      </c>
      <c r="C9" s="14">
        <f>'A) Base RI'!V8</f>
        <v>7719</v>
      </c>
      <c r="D9" s="10">
        <f t="shared" ref="D9:I63" si="1">IF($C9&gt;D$4,IF($C9&lt;D$5,$C9-D$4,D$5-D$4),0)</f>
        <v>1000</v>
      </c>
      <c r="E9" s="14">
        <f t="shared" si="0"/>
        <v>2000</v>
      </c>
      <c r="F9" s="10">
        <f t="shared" si="0"/>
        <v>2000</v>
      </c>
      <c r="G9" s="14">
        <f t="shared" si="0"/>
        <v>2719</v>
      </c>
      <c r="H9" s="42">
        <f t="shared" si="0"/>
        <v>0</v>
      </c>
      <c r="I9" s="10">
        <f t="shared" si="0"/>
        <v>0</v>
      </c>
      <c r="J9" s="10">
        <f t="shared" ref="J9:J72" si="2">IF(C9&gt;$J$4,C9-$J$4,0)</f>
        <v>0</v>
      </c>
      <c r="K9" s="119">
        <f t="shared" ref="K9:K72" si="3">(D9*D$7)+(E9*E$7)+(F9*F$7)+(G9*G$7)+(H9*H$7)+(I9*I$7)+(J9*J$7)</f>
        <v>3414672.8370221322</v>
      </c>
    </row>
    <row r="10" spans="1:12" x14ac:dyDescent="0.25">
      <c r="A10" s="50">
        <f>'A) Base RI'!A9</f>
        <v>5403</v>
      </c>
      <c r="B10" s="33" t="str">
        <f>'A) Base RI'!B9</f>
        <v>Chessel</v>
      </c>
      <c r="C10" s="14">
        <f>'A) Base RI'!V9</f>
        <v>403</v>
      </c>
      <c r="D10" s="10">
        <f t="shared" si="1"/>
        <v>403</v>
      </c>
      <c r="E10" s="14">
        <f t="shared" si="0"/>
        <v>0</v>
      </c>
      <c r="F10" s="10">
        <f t="shared" si="0"/>
        <v>0</v>
      </c>
      <c r="G10" s="14">
        <f t="shared" si="0"/>
        <v>0</v>
      </c>
      <c r="H10" s="42">
        <f t="shared" si="0"/>
        <v>0</v>
      </c>
      <c r="I10" s="10">
        <f t="shared" si="0"/>
        <v>0</v>
      </c>
      <c r="J10" s="10">
        <f t="shared" si="2"/>
        <v>0</v>
      </c>
      <c r="K10" s="119">
        <f t="shared" si="3"/>
        <v>49766.851106639835</v>
      </c>
    </row>
    <row r="11" spans="1:12" x14ac:dyDescent="0.25">
      <c r="A11" s="50">
        <f>'A) Base RI'!A10</f>
        <v>5404</v>
      </c>
      <c r="B11" s="33" t="str">
        <f>'A) Base RI'!B10</f>
        <v>Corbeyrier</v>
      </c>
      <c r="C11" s="14">
        <f>'A) Base RI'!V10</f>
        <v>437</v>
      </c>
      <c r="D11" s="10">
        <f t="shared" si="1"/>
        <v>437</v>
      </c>
      <c r="E11" s="14">
        <f t="shared" si="0"/>
        <v>0</v>
      </c>
      <c r="F11" s="10">
        <f t="shared" si="0"/>
        <v>0</v>
      </c>
      <c r="G11" s="14">
        <f t="shared" si="0"/>
        <v>0</v>
      </c>
      <c r="H11" s="42">
        <f t="shared" si="0"/>
        <v>0</v>
      </c>
      <c r="I11" s="10">
        <f t="shared" si="0"/>
        <v>0</v>
      </c>
      <c r="J11" s="10">
        <f t="shared" si="2"/>
        <v>0</v>
      </c>
      <c r="K11" s="119">
        <f t="shared" si="3"/>
        <v>53965.543259557337</v>
      </c>
    </row>
    <row r="12" spans="1:12" x14ac:dyDescent="0.25">
      <c r="A12" s="50">
        <f>'A) Base RI'!A11</f>
        <v>5405</v>
      </c>
      <c r="B12" s="33" t="str">
        <f>'A) Base RI'!B11</f>
        <v>Gryon</v>
      </c>
      <c r="C12" s="14">
        <f>'A) Base RI'!V11</f>
        <v>1364</v>
      </c>
      <c r="D12" s="10">
        <f t="shared" si="1"/>
        <v>1000</v>
      </c>
      <c r="E12" s="14">
        <f t="shared" si="0"/>
        <v>364</v>
      </c>
      <c r="F12" s="10">
        <f t="shared" si="0"/>
        <v>0</v>
      </c>
      <c r="G12" s="14">
        <f t="shared" si="0"/>
        <v>0</v>
      </c>
      <c r="H12" s="42">
        <f t="shared" si="0"/>
        <v>0</v>
      </c>
      <c r="I12" s="10">
        <f t="shared" si="0"/>
        <v>0</v>
      </c>
      <c r="J12" s="10">
        <f t="shared" si="2"/>
        <v>0</v>
      </c>
      <c r="K12" s="119">
        <f t="shared" si="3"/>
        <v>249352.91750503017</v>
      </c>
    </row>
    <row r="13" spans="1:12" x14ac:dyDescent="0.25">
      <c r="A13" s="50">
        <f>'A) Base RI'!A12</f>
        <v>5406</v>
      </c>
      <c r="B13" s="33" t="str">
        <f>'A) Base RI'!B12</f>
        <v>Lavey-Morcles</v>
      </c>
      <c r="C13" s="14">
        <f>'A) Base RI'!V12</f>
        <v>926</v>
      </c>
      <c r="D13" s="10">
        <f t="shared" si="1"/>
        <v>926</v>
      </c>
      <c r="E13" s="14">
        <f t="shared" si="0"/>
        <v>0</v>
      </c>
      <c r="F13" s="10">
        <f t="shared" si="0"/>
        <v>0</v>
      </c>
      <c r="G13" s="14">
        <f t="shared" si="0"/>
        <v>0</v>
      </c>
      <c r="H13" s="42">
        <f t="shared" si="0"/>
        <v>0</v>
      </c>
      <c r="I13" s="10">
        <f t="shared" si="0"/>
        <v>0</v>
      </c>
      <c r="J13" s="10">
        <f t="shared" si="2"/>
        <v>0</v>
      </c>
      <c r="K13" s="119">
        <f t="shared" si="3"/>
        <v>114352.61569416498</v>
      </c>
    </row>
    <row r="14" spans="1:12" x14ac:dyDescent="0.25">
      <c r="A14" s="50">
        <f>'A) Base RI'!A13</f>
        <v>5407</v>
      </c>
      <c r="B14" s="33" t="str">
        <f>'A) Base RI'!B13</f>
        <v>Leysin</v>
      </c>
      <c r="C14" s="14">
        <f>'A) Base RI'!V13</f>
        <v>4023</v>
      </c>
      <c r="D14" s="10">
        <f t="shared" si="1"/>
        <v>1000</v>
      </c>
      <c r="E14" s="14">
        <f t="shared" si="0"/>
        <v>2000</v>
      </c>
      <c r="F14" s="10">
        <f t="shared" si="0"/>
        <v>1023</v>
      </c>
      <c r="G14" s="14">
        <f t="shared" si="0"/>
        <v>0</v>
      </c>
      <c r="H14" s="42">
        <f t="shared" si="0"/>
        <v>0</v>
      </c>
      <c r="I14" s="10">
        <f t="shared" si="0"/>
        <v>0</v>
      </c>
      <c r="J14" s="10">
        <f t="shared" si="2"/>
        <v>0</v>
      </c>
      <c r="K14" s="119">
        <f t="shared" si="3"/>
        <v>1320365.1911468811</v>
      </c>
      <c r="L14" s="12"/>
    </row>
    <row r="15" spans="1:12" x14ac:dyDescent="0.25">
      <c r="A15" s="50">
        <f>'A) Base RI'!A14</f>
        <v>5408</v>
      </c>
      <c r="B15" s="33" t="str">
        <f>'A) Base RI'!B14</f>
        <v>Noville</v>
      </c>
      <c r="C15" s="14">
        <f>'A) Base RI'!V14</f>
        <v>1055</v>
      </c>
      <c r="D15" s="10">
        <f t="shared" si="1"/>
        <v>1000</v>
      </c>
      <c r="E15" s="14">
        <f t="shared" si="0"/>
        <v>55</v>
      </c>
      <c r="F15" s="10">
        <f t="shared" si="0"/>
        <v>0</v>
      </c>
      <c r="G15" s="14">
        <f t="shared" si="0"/>
        <v>0</v>
      </c>
      <c r="H15" s="42">
        <f t="shared" si="0"/>
        <v>0</v>
      </c>
      <c r="I15" s="10">
        <f t="shared" si="0"/>
        <v>0</v>
      </c>
      <c r="J15" s="10">
        <f t="shared" si="2"/>
        <v>0</v>
      </c>
      <c r="K15" s="119">
        <f t="shared" si="3"/>
        <v>142508.55130784708</v>
      </c>
    </row>
    <row r="16" spans="1:12" x14ac:dyDescent="0.25">
      <c r="A16" s="50">
        <f>'A) Base RI'!A15</f>
        <v>5409</v>
      </c>
      <c r="B16" s="33" t="str">
        <f>'A) Base RI'!B15</f>
        <v>Ollon</v>
      </c>
      <c r="C16" s="14">
        <f>'A) Base RI'!V15</f>
        <v>7494</v>
      </c>
      <c r="D16" s="10">
        <f t="shared" si="1"/>
        <v>1000</v>
      </c>
      <c r="E16" s="14">
        <f t="shared" si="0"/>
        <v>2000</v>
      </c>
      <c r="F16" s="10">
        <f t="shared" si="0"/>
        <v>2000</v>
      </c>
      <c r="G16" s="14">
        <f t="shared" si="0"/>
        <v>2494</v>
      </c>
      <c r="H16" s="42">
        <f t="shared" si="0"/>
        <v>0</v>
      </c>
      <c r="I16" s="10">
        <f t="shared" si="0"/>
        <v>0</v>
      </c>
      <c r="J16" s="10">
        <f t="shared" si="2"/>
        <v>0</v>
      </c>
      <c r="K16" s="119">
        <f t="shared" si="3"/>
        <v>3281302.6156941648</v>
      </c>
    </row>
    <row r="17" spans="1:11" x14ac:dyDescent="0.25">
      <c r="A17" s="50">
        <f>'A) Base RI'!A16</f>
        <v>5410</v>
      </c>
      <c r="B17" s="33" t="str">
        <f>'A) Base RI'!B16</f>
        <v>Ormont-Dessous</v>
      </c>
      <c r="C17" s="14">
        <f>'A) Base RI'!V16</f>
        <v>1117</v>
      </c>
      <c r="D17" s="10">
        <f t="shared" si="1"/>
        <v>1000</v>
      </c>
      <c r="E17" s="14">
        <f t="shared" si="0"/>
        <v>117</v>
      </c>
      <c r="F17" s="10">
        <f t="shared" si="0"/>
        <v>0</v>
      </c>
      <c r="G17" s="14">
        <f t="shared" si="0"/>
        <v>0</v>
      </c>
      <c r="H17" s="42">
        <f t="shared" si="0"/>
        <v>0</v>
      </c>
      <c r="I17" s="10">
        <f t="shared" si="0"/>
        <v>0</v>
      </c>
      <c r="J17" s="10">
        <f t="shared" si="2"/>
        <v>0</v>
      </c>
      <c r="K17" s="119">
        <f t="shared" si="3"/>
        <v>163946.57947686117</v>
      </c>
    </row>
    <row r="18" spans="1:11" x14ac:dyDescent="0.25">
      <c r="A18" s="50">
        <f>'A) Base RI'!A17</f>
        <v>5411</v>
      </c>
      <c r="B18" s="33" t="str">
        <f>'A) Base RI'!B17</f>
        <v>Ormont-Dessus</v>
      </c>
      <c r="C18" s="14">
        <f>'A) Base RI'!V17</f>
        <v>1467</v>
      </c>
      <c r="D18" s="10">
        <f t="shared" si="1"/>
        <v>1000</v>
      </c>
      <c r="E18" s="14">
        <f t="shared" si="0"/>
        <v>467</v>
      </c>
      <c r="F18" s="10">
        <f t="shared" si="0"/>
        <v>0</v>
      </c>
      <c r="G18" s="14">
        <f t="shared" si="0"/>
        <v>0</v>
      </c>
      <c r="H18" s="42">
        <f t="shared" si="0"/>
        <v>0</v>
      </c>
      <c r="I18" s="10">
        <f t="shared" si="0"/>
        <v>0</v>
      </c>
      <c r="J18" s="10">
        <f t="shared" si="2"/>
        <v>0</v>
      </c>
      <c r="K18" s="119">
        <f t="shared" si="3"/>
        <v>284967.70623742451</v>
      </c>
    </row>
    <row r="19" spans="1:11" x14ac:dyDescent="0.25">
      <c r="A19" s="50">
        <f>'A) Base RI'!A18</f>
        <v>5412</v>
      </c>
      <c r="B19" s="33" t="str">
        <f>'A) Base RI'!B18</f>
        <v>Rennaz</v>
      </c>
      <c r="C19" s="14">
        <f>'A) Base RI'!V18</f>
        <v>839</v>
      </c>
      <c r="D19" s="10">
        <f t="shared" si="1"/>
        <v>839</v>
      </c>
      <c r="E19" s="14">
        <f t="shared" si="0"/>
        <v>0</v>
      </c>
      <c r="F19" s="10">
        <f t="shared" si="0"/>
        <v>0</v>
      </c>
      <c r="G19" s="14">
        <f t="shared" si="0"/>
        <v>0</v>
      </c>
      <c r="H19" s="42">
        <f t="shared" si="0"/>
        <v>0</v>
      </c>
      <c r="I19" s="10">
        <f t="shared" si="0"/>
        <v>0</v>
      </c>
      <c r="J19" s="10">
        <f t="shared" si="2"/>
        <v>0</v>
      </c>
      <c r="K19" s="119">
        <f t="shared" si="3"/>
        <v>103608.90342052313</v>
      </c>
    </row>
    <row r="20" spans="1:11" x14ac:dyDescent="0.25">
      <c r="A20" s="50">
        <f>'A) Base RI'!A19</f>
        <v>5413</v>
      </c>
      <c r="B20" s="33" t="str">
        <f>'A) Base RI'!B19</f>
        <v>Roche</v>
      </c>
      <c r="C20" s="14">
        <f>'A) Base RI'!V19</f>
        <v>1650</v>
      </c>
      <c r="D20" s="10">
        <f t="shared" si="1"/>
        <v>1000</v>
      </c>
      <c r="E20" s="14">
        <f t="shared" si="0"/>
        <v>650</v>
      </c>
      <c r="F20" s="10">
        <f t="shared" si="0"/>
        <v>0</v>
      </c>
      <c r="G20" s="14">
        <f t="shared" si="0"/>
        <v>0</v>
      </c>
      <c r="H20" s="42">
        <f t="shared" si="0"/>
        <v>0</v>
      </c>
      <c r="I20" s="10">
        <f t="shared" si="0"/>
        <v>0</v>
      </c>
      <c r="J20" s="10">
        <f t="shared" si="2"/>
        <v>0</v>
      </c>
      <c r="K20" s="119">
        <f t="shared" si="3"/>
        <v>348244.46680080483</v>
      </c>
    </row>
    <row r="21" spans="1:11" x14ac:dyDescent="0.25">
      <c r="A21" s="50">
        <f>'A) Base RI'!A20</f>
        <v>5414</v>
      </c>
      <c r="B21" s="33" t="str">
        <f>'A) Base RI'!B20</f>
        <v>Villeneuve</v>
      </c>
      <c r="C21" s="14">
        <f>'A) Base RI'!V20</f>
        <v>5672</v>
      </c>
      <c r="D21" s="10">
        <f t="shared" si="1"/>
        <v>1000</v>
      </c>
      <c r="E21" s="14">
        <f t="shared" si="0"/>
        <v>2000</v>
      </c>
      <c r="F21" s="10">
        <f t="shared" si="0"/>
        <v>2000</v>
      </c>
      <c r="G21" s="14">
        <f t="shared" si="0"/>
        <v>672</v>
      </c>
      <c r="H21" s="42">
        <f t="shared" si="0"/>
        <v>0</v>
      </c>
      <c r="I21" s="10">
        <f t="shared" si="0"/>
        <v>0</v>
      </c>
      <c r="J21" s="10">
        <f t="shared" si="2"/>
        <v>0</v>
      </c>
      <c r="K21" s="119">
        <f t="shared" si="3"/>
        <v>2201300.2012072434</v>
      </c>
    </row>
    <row r="22" spans="1:11" x14ac:dyDescent="0.25">
      <c r="A22" s="50">
        <f>'A) Base RI'!A21</f>
        <v>5415</v>
      </c>
      <c r="B22" s="33" t="str">
        <f>'A) Base RI'!B21</f>
        <v>Yvorne</v>
      </c>
      <c r="C22" s="14">
        <f>'A) Base RI'!V21</f>
        <v>1057</v>
      </c>
      <c r="D22" s="10">
        <f t="shared" si="1"/>
        <v>1000</v>
      </c>
      <c r="E22" s="14">
        <f t="shared" si="0"/>
        <v>57</v>
      </c>
      <c r="F22" s="10">
        <f t="shared" si="0"/>
        <v>0</v>
      </c>
      <c r="G22" s="14">
        <f t="shared" si="0"/>
        <v>0</v>
      </c>
      <c r="H22" s="42">
        <f t="shared" si="0"/>
        <v>0</v>
      </c>
      <c r="I22" s="10">
        <f t="shared" si="0"/>
        <v>0</v>
      </c>
      <c r="J22" s="10">
        <f t="shared" si="2"/>
        <v>0</v>
      </c>
      <c r="K22" s="119">
        <f t="shared" si="3"/>
        <v>143200.10060362171</v>
      </c>
    </row>
    <row r="23" spans="1:11" x14ac:dyDescent="0.25">
      <c r="A23" s="50">
        <f>'A) Base RI'!A22</f>
        <v>5421</v>
      </c>
      <c r="B23" s="33" t="str">
        <f>'A) Base RI'!B22</f>
        <v>Apples</v>
      </c>
      <c r="C23" s="14">
        <f>'A) Base RI'!V22</f>
        <v>1437</v>
      </c>
      <c r="D23" s="10">
        <f t="shared" si="1"/>
        <v>1000</v>
      </c>
      <c r="E23" s="14">
        <f t="shared" si="0"/>
        <v>437</v>
      </c>
      <c r="F23" s="10">
        <f t="shared" si="0"/>
        <v>0</v>
      </c>
      <c r="G23" s="14">
        <f t="shared" si="0"/>
        <v>0</v>
      </c>
      <c r="H23" s="42">
        <f t="shared" si="0"/>
        <v>0</v>
      </c>
      <c r="I23" s="10">
        <f t="shared" si="0"/>
        <v>0</v>
      </c>
      <c r="J23" s="10">
        <f t="shared" si="2"/>
        <v>0</v>
      </c>
      <c r="K23" s="119">
        <f t="shared" si="3"/>
        <v>274594.46680080483</v>
      </c>
    </row>
    <row r="24" spans="1:11" x14ac:dyDescent="0.25">
      <c r="A24" s="50">
        <f>'A) Base RI'!A23</f>
        <v>5422</v>
      </c>
      <c r="B24" s="33" t="str">
        <f>'A) Base RI'!B23</f>
        <v>Aubonne</v>
      </c>
      <c r="C24" s="14">
        <f>'A) Base RI'!V23</f>
        <v>3269</v>
      </c>
      <c r="D24" s="10">
        <f t="shared" si="1"/>
        <v>1000</v>
      </c>
      <c r="E24" s="14">
        <f t="shared" si="1"/>
        <v>2000</v>
      </c>
      <c r="F24" s="10">
        <f t="shared" si="1"/>
        <v>269</v>
      </c>
      <c r="G24" s="14">
        <f t="shared" si="1"/>
        <v>0</v>
      </c>
      <c r="H24" s="42">
        <f t="shared" si="1"/>
        <v>0</v>
      </c>
      <c r="I24" s="10">
        <f t="shared" si="1"/>
        <v>0</v>
      </c>
      <c r="J24" s="10">
        <f t="shared" si="2"/>
        <v>0</v>
      </c>
      <c r="K24" s="119">
        <f t="shared" si="3"/>
        <v>947916.4989939637</v>
      </c>
    </row>
    <row r="25" spans="1:11" x14ac:dyDescent="0.25">
      <c r="A25" s="50">
        <f>'A) Base RI'!A24</f>
        <v>5423</v>
      </c>
      <c r="B25" s="33" t="str">
        <f>'A) Base RI'!B24</f>
        <v>Ballens</v>
      </c>
      <c r="C25" s="14">
        <f>'A) Base RI'!V24</f>
        <v>527</v>
      </c>
      <c r="D25" s="10">
        <f t="shared" si="1"/>
        <v>527</v>
      </c>
      <c r="E25" s="14">
        <f t="shared" si="1"/>
        <v>0</v>
      </c>
      <c r="F25" s="10">
        <f t="shared" si="1"/>
        <v>0</v>
      </c>
      <c r="G25" s="14">
        <f t="shared" si="1"/>
        <v>0</v>
      </c>
      <c r="H25" s="42">
        <f t="shared" si="1"/>
        <v>0</v>
      </c>
      <c r="I25" s="10">
        <f t="shared" si="1"/>
        <v>0</v>
      </c>
      <c r="J25" s="10">
        <f t="shared" si="2"/>
        <v>0</v>
      </c>
      <c r="K25" s="119">
        <f t="shared" si="3"/>
        <v>65079.728370221324</v>
      </c>
    </row>
    <row r="26" spans="1:11" x14ac:dyDescent="0.25">
      <c r="A26" s="50">
        <f>'A) Base RI'!A25</f>
        <v>5424</v>
      </c>
      <c r="B26" s="33" t="str">
        <f>'A) Base RI'!B25</f>
        <v>Berolle</v>
      </c>
      <c r="C26" s="14">
        <f>'A) Base RI'!V25</f>
        <v>301</v>
      </c>
      <c r="D26" s="10">
        <f t="shared" si="1"/>
        <v>301</v>
      </c>
      <c r="E26" s="14">
        <f t="shared" si="1"/>
        <v>0</v>
      </c>
      <c r="F26" s="10">
        <f t="shared" si="1"/>
        <v>0</v>
      </c>
      <c r="G26" s="14">
        <f t="shared" si="1"/>
        <v>0</v>
      </c>
      <c r="H26" s="42">
        <f t="shared" si="1"/>
        <v>0</v>
      </c>
      <c r="I26" s="10">
        <f t="shared" si="1"/>
        <v>0</v>
      </c>
      <c r="J26" s="10">
        <f t="shared" si="2"/>
        <v>0</v>
      </c>
      <c r="K26" s="119">
        <f t="shared" si="3"/>
        <v>37170.774647887323</v>
      </c>
    </row>
    <row r="27" spans="1:11" x14ac:dyDescent="0.25">
      <c r="A27" s="50">
        <f>'A) Base RI'!A26</f>
        <v>5425</v>
      </c>
      <c r="B27" s="33" t="str">
        <f>'A) Base RI'!B26</f>
        <v>Bière</v>
      </c>
      <c r="C27" s="14">
        <f>'A) Base RI'!V26</f>
        <v>1577</v>
      </c>
      <c r="D27" s="10">
        <f t="shared" si="1"/>
        <v>1000</v>
      </c>
      <c r="E27" s="14">
        <f t="shared" si="1"/>
        <v>577</v>
      </c>
      <c r="F27" s="10">
        <f t="shared" si="1"/>
        <v>0</v>
      </c>
      <c r="G27" s="14">
        <f t="shared" si="1"/>
        <v>0</v>
      </c>
      <c r="H27" s="42">
        <f t="shared" si="1"/>
        <v>0</v>
      </c>
      <c r="I27" s="10">
        <f t="shared" si="1"/>
        <v>0</v>
      </c>
      <c r="J27" s="10">
        <f t="shared" si="2"/>
        <v>0</v>
      </c>
      <c r="K27" s="119">
        <f t="shared" si="3"/>
        <v>323002.91750503017</v>
      </c>
    </row>
    <row r="28" spans="1:11" x14ac:dyDescent="0.25">
      <c r="A28" s="50">
        <f>'A) Base RI'!A27</f>
        <v>5426</v>
      </c>
      <c r="B28" s="33" t="str">
        <f>'A) Base RI'!B27</f>
        <v>Bougy-Villars</v>
      </c>
      <c r="C28" s="14">
        <f>'A) Base RI'!V27</f>
        <v>483</v>
      </c>
      <c r="D28" s="10">
        <f t="shared" si="1"/>
        <v>483</v>
      </c>
      <c r="E28" s="14">
        <f t="shared" si="1"/>
        <v>0</v>
      </c>
      <c r="F28" s="10">
        <f t="shared" si="1"/>
        <v>0</v>
      </c>
      <c r="G28" s="14">
        <f t="shared" si="1"/>
        <v>0</v>
      </c>
      <c r="H28" s="42">
        <f t="shared" si="1"/>
        <v>0</v>
      </c>
      <c r="I28" s="10">
        <f t="shared" si="1"/>
        <v>0</v>
      </c>
      <c r="J28" s="10">
        <f t="shared" si="2"/>
        <v>0</v>
      </c>
      <c r="K28" s="119">
        <f t="shared" si="3"/>
        <v>59646.126760563377</v>
      </c>
    </row>
    <row r="29" spans="1:11" x14ac:dyDescent="0.25">
      <c r="A29" s="50">
        <f>'A) Base RI'!A28</f>
        <v>5427</v>
      </c>
      <c r="B29" s="33" t="str">
        <f>'A) Base RI'!B28</f>
        <v>Féchy</v>
      </c>
      <c r="C29" s="14">
        <f>'A) Base RI'!V28</f>
        <v>895</v>
      </c>
      <c r="D29" s="10">
        <f t="shared" si="1"/>
        <v>895</v>
      </c>
      <c r="E29" s="14">
        <f t="shared" si="1"/>
        <v>0</v>
      </c>
      <c r="F29" s="10">
        <f t="shared" si="1"/>
        <v>0</v>
      </c>
      <c r="G29" s="14">
        <f t="shared" si="1"/>
        <v>0</v>
      </c>
      <c r="H29" s="42">
        <f t="shared" si="1"/>
        <v>0</v>
      </c>
      <c r="I29" s="10">
        <f t="shared" si="1"/>
        <v>0</v>
      </c>
      <c r="J29" s="10">
        <f t="shared" si="2"/>
        <v>0</v>
      </c>
      <c r="K29" s="119">
        <f t="shared" si="3"/>
        <v>110524.39637826961</v>
      </c>
    </row>
    <row r="30" spans="1:11" x14ac:dyDescent="0.25">
      <c r="A30" s="50">
        <f>'A) Base RI'!A29</f>
        <v>5428</v>
      </c>
      <c r="B30" s="33" t="str">
        <f>'A) Base RI'!B29</f>
        <v>Gimel</v>
      </c>
      <c r="C30" s="14">
        <f>'A) Base RI'!V29</f>
        <v>2016</v>
      </c>
      <c r="D30" s="10">
        <f t="shared" si="1"/>
        <v>1000</v>
      </c>
      <c r="E30" s="14">
        <f t="shared" si="1"/>
        <v>1016</v>
      </c>
      <c r="F30" s="10">
        <f t="shared" si="1"/>
        <v>0</v>
      </c>
      <c r="G30" s="14">
        <f t="shared" si="1"/>
        <v>0</v>
      </c>
      <c r="H30" s="42">
        <f t="shared" si="1"/>
        <v>0</v>
      </c>
      <c r="I30" s="10">
        <f t="shared" si="1"/>
        <v>0</v>
      </c>
      <c r="J30" s="10">
        <f t="shared" si="2"/>
        <v>0</v>
      </c>
      <c r="K30" s="119">
        <f t="shared" si="3"/>
        <v>474797.98792756535</v>
      </c>
    </row>
    <row r="31" spans="1:11" x14ac:dyDescent="0.25">
      <c r="A31" s="50">
        <f>'A) Base RI'!A30</f>
        <v>5429</v>
      </c>
      <c r="B31" s="33" t="str">
        <f>'A) Base RI'!B30</f>
        <v>Longirod</v>
      </c>
      <c r="C31" s="14">
        <f>'A) Base RI'!V30</f>
        <v>469</v>
      </c>
      <c r="D31" s="10">
        <f t="shared" si="1"/>
        <v>469</v>
      </c>
      <c r="E31" s="14">
        <f t="shared" si="1"/>
        <v>0</v>
      </c>
      <c r="F31" s="10">
        <f t="shared" si="1"/>
        <v>0</v>
      </c>
      <c r="G31" s="14">
        <f t="shared" si="1"/>
        <v>0</v>
      </c>
      <c r="H31" s="42">
        <f t="shared" si="1"/>
        <v>0</v>
      </c>
      <c r="I31" s="10">
        <f t="shared" si="1"/>
        <v>0</v>
      </c>
      <c r="J31" s="10">
        <f t="shared" si="2"/>
        <v>0</v>
      </c>
      <c r="K31" s="119">
        <f t="shared" si="3"/>
        <v>57917.253521126753</v>
      </c>
    </row>
    <row r="32" spans="1:11" x14ac:dyDescent="0.25">
      <c r="A32" s="50">
        <f>'A) Base RI'!A31</f>
        <v>5430</v>
      </c>
      <c r="B32" s="33" t="str">
        <f>'A) Base RI'!B31</f>
        <v>Marchissy</v>
      </c>
      <c r="C32" s="14">
        <f>'A) Base RI'!V31</f>
        <v>455</v>
      </c>
      <c r="D32" s="10">
        <f t="shared" si="1"/>
        <v>455</v>
      </c>
      <c r="E32" s="14">
        <f t="shared" si="1"/>
        <v>0</v>
      </c>
      <c r="F32" s="10">
        <f t="shared" si="1"/>
        <v>0</v>
      </c>
      <c r="G32" s="14">
        <f t="shared" si="1"/>
        <v>0</v>
      </c>
      <c r="H32" s="42">
        <f t="shared" si="1"/>
        <v>0</v>
      </c>
      <c r="I32" s="10">
        <f t="shared" si="1"/>
        <v>0</v>
      </c>
      <c r="J32" s="10">
        <f t="shared" si="2"/>
        <v>0</v>
      </c>
      <c r="K32" s="119">
        <f t="shared" si="3"/>
        <v>56188.380281690137</v>
      </c>
    </row>
    <row r="33" spans="1:11" x14ac:dyDescent="0.25">
      <c r="A33" s="50">
        <f>'A) Base RI'!A32</f>
        <v>5431</v>
      </c>
      <c r="B33" s="33" t="str">
        <f>'A) Base RI'!B32</f>
        <v>Mollens</v>
      </c>
      <c r="C33" s="14">
        <f>'A) Base RI'!V32</f>
        <v>301</v>
      </c>
      <c r="D33" s="10">
        <f t="shared" si="1"/>
        <v>301</v>
      </c>
      <c r="E33" s="14">
        <f t="shared" si="1"/>
        <v>0</v>
      </c>
      <c r="F33" s="10">
        <f t="shared" si="1"/>
        <v>0</v>
      </c>
      <c r="G33" s="14">
        <f t="shared" si="1"/>
        <v>0</v>
      </c>
      <c r="H33" s="42">
        <f t="shared" si="1"/>
        <v>0</v>
      </c>
      <c r="I33" s="10">
        <f t="shared" si="1"/>
        <v>0</v>
      </c>
      <c r="J33" s="10">
        <f t="shared" si="2"/>
        <v>0</v>
      </c>
      <c r="K33" s="119">
        <f t="shared" si="3"/>
        <v>37170.774647887323</v>
      </c>
    </row>
    <row r="34" spans="1:11" x14ac:dyDescent="0.25">
      <c r="A34" s="50">
        <f>'A) Base RI'!A33</f>
        <v>5432</v>
      </c>
      <c r="B34" s="33" t="str">
        <f>'A) Base RI'!B33</f>
        <v>Montherod</v>
      </c>
      <c r="C34" s="14">
        <f>'A) Base RI'!V33</f>
        <v>534</v>
      </c>
      <c r="D34" s="10">
        <f t="shared" si="1"/>
        <v>534</v>
      </c>
      <c r="E34" s="14">
        <f t="shared" si="1"/>
        <v>0</v>
      </c>
      <c r="F34" s="10">
        <f t="shared" si="1"/>
        <v>0</v>
      </c>
      <c r="G34" s="14">
        <f t="shared" si="1"/>
        <v>0</v>
      </c>
      <c r="H34" s="42">
        <f t="shared" si="1"/>
        <v>0</v>
      </c>
      <c r="I34" s="10">
        <f t="shared" si="1"/>
        <v>0</v>
      </c>
      <c r="J34" s="10">
        <f t="shared" si="2"/>
        <v>0</v>
      </c>
      <c r="K34" s="119">
        <f t="shared" si="3"/>
        <v>65944.164989939629</v>
      </c>
    </row>
    <row r="35" spans="1:11" x14ac:dyDescent="0.25">
      <c r="A35" s="50">
        <f>'A) Base RI'!A34</f>
        <v>5434</v>
      </c>
      <c r="B35" s="33" t="str">
        <f>'A) Base RI'!B34</f>
        <v>Saint-George</v>
      </c>
      <c r="C35" s="14">
        <f>'A) Base RI'!V34</f>
        <v>1031</v>
      </c>
      <c r="D35" s="10">
        <f t="shared" si="1"/>
        <v>1000</v>
      </c>
      <c r="E35" s="14">
        <f t="shared" si="1"/>
        <v>31</v>
      </c>
      <c r="F35" s="10">
        <f t="shared" si="1"/>
        <v>0</v>
      </c>
      <c r="G35" s="14">
        <f t="shared" si="1"/>
        <v>0</v>
      </c>
      <c r="H35" s="42">
        <f t="shared" si="1"/>
        <v>0</v>
      </c>
      <c r="I35" s="10">
        <f t="shared" si="1"/>
        <v>0</v>
      </c>
      <c r="J35" s="10">
        <f t="shared" si="2"/>
        <v>0</v>
      </c>
      <c r="K35" s="119">
        <f t="shared" si="3"/>
        <v>134209.9597585513</v>
      </c>
    </row>
    <row r="36" spans="1:11" x14ac:dyDescent="0.25">
      <c r="A36" s="50">
        <f>'A) Base RI'!A35</f>
        <v>5435</v>
      </c>
      <c r="B36" s="33" t="str">
        <f>'A) Base RI'!B35</f>
        <v>Saint-Livres</v>
      </c>
      <c r="C36" s="14">
        <f>'A) Base RI'!V35</f>
        <v>683</v>
      </c>
      <c r="D36" s="10">
        <f t="shared" si="1"/>
        <v>683</v>
      </c>
      <c r="E36" s="14">
        <f t="shared" si="1"/>
        <v>0</v>
      </c>
      <c r="F36" s="10">
        <f t="shared" si="1"/>
        <v>0</v>
      </c>
      <c r="G36" s="14">
        <f t="shared" si="1"/>
        <v>0</v>
      </c>
      <c r="H36" s="42">
        <f t="shared" si="1"/>
        <v>0</v>
      </c>
      <c r="I36" s="10">
        <f t="shared" si="1"/>
        <v>0</v>
      </c>
      <c r="J36" s="10">
        <f t="shared" si="2"/>
        <v>0</v>
      </c>
      <c r="K36" s="119">
        <f t="shared" si="3"/>
        <v>84344.31589537223</v>
      </c>
    </row>
    <row r="37" spans="1:11" x14ac:dyDescent="0.25">
      <c r="A37" s="50">
        <f>'A) Base RI'!A36</f>
        <v>5436</v>
      </c>
      <c r="B37" s="33" t="str">
        <f>'A) Base RI'!B36</f>
        <v>Saint-Oyens</v>
      </c>
      <c r="C37" s="14">
        <f>'A) Base RI'!V36</f>
        <v>366</v>
      </c>
      <c r="D37" s="10">
        <f t="shared" si="1"/>
        <v>366</v>
      </c>
      <c r="E37" s="14">
        <f t="shared" si="1"/>
        <v>0</v>
      </c>
      <c r="F37" s="10">
        <f t="shared" si="1"/>
        <v>0</v>
      </c>
      <c r="G37" s="14">
        <f t="shared" si="1"/>
        <v>0</v>
      </c>
      <c r="H37" s="42">
        <f t="shared" si="1"/>
        <v>0</v>
      </c>
      <c r="I37" s="10">
        <f t="shared" si="1"/>
        <v>0</v>
      </c>
      <c r="J37" s="10">
        <f t="shared" si="2"/>
        <v>0</v>
      </c>
      <c r="K37" s="119">
        <f t="shared" si="3"/>
        <v>45197.686116700199</v>
      </c>
    </row>
    <row r="38" spans="1:11" x14ac:dyDescent="0.25">
      <c r="A38" s="50">
        <f>'A) Base RI'!A37</f>
        <v>5437</v>
      </c>
      <c r="B38" s="33" t="str">
        <f>'A) Base RI'!B37</f>
        <v>Saubraz</v>
      </c>
      <c r="C38" s="14">
        <f>'A) Base RI'!V37</f>
        <v>420</v>
      </c>
      <c r="D38" s="10">
        <f t="shared" si="1"/>
        <v>420</v>
      </c>
      <c r="E38" s="14">
        <f t="shared" si="1"/>
        <v>0</v>
      </c>
      <c r="F38" s="10">
        <f t="shared" si="1"/>
        <v>0</v>
      </c>
      <c r="G38" s="14">
        <f t="shared" si="1"/>
        <v>0</v>
      </c>
      <c r="H38" s="42">
        <f t="shared" si="1"/>
        <v>0</v>
      </c>
      <c r="I38" s="10">
        <f t="shared" si="1"/>
        <v>0</v>
      </c>
      <c r="J38" s="10">
        <f t="shared" si="2"/>
        <v>0</v>
      </c>
      <c r="K38" s="119">
        <f t="shared" si="3"/>
        <v>51866.197183098586</v>
      </c>
    </row>
    <row r="39" spans="1:11" x14ac:dyDescent="0.25">
      <c r="A39" s="50">
        <f>'A) Base RI'!A38</f>
        <v>5451</v>
      </c>
      <c r="B39" s="33" t="str">
        <f>'A) Base RI'!B38</f>
        <v>Avenches</v>
      </c>
      <c r="C39" s="14">
        <f>'A) Base RI'!V38</f>
        <v>4210</v>
      </c>
      <c r="D39" s="10">
        <f t="shared" si="1"/>
        <v>1000</v>
      </c>
      <c r="E39" s="14">
        <f t="shared" si="1"/>
        <v>2000</v>
      </c>
      <c r="F39" s="10">
        <f t="shared" si="1"/>
        <v>1210</v>
      </c>
      <c r="G39" s="14">
        <f t="shared" si="1"/>
        <v>0</v>
      </c>
      <c r="H39" s="42">
        <f t="shared" si="1"/>
        <v>0</v>
      </c>
      <c r="I39" s="10">
        <f t="shared" si="1"/>
        <v>0</v>
      </c>
      <c r="J39" s="10">
        <f t="shared" si="2"/>
        <v>0</v>
      </c>
      <c r="K39" s="119">
        <f t="shared" si="3"/>
        <v>1412736.4185110661</v>
      </c>
    </row>
    <row r="40" spans="1:11" x14ac:dyDescent="0.25">
      <c r="A40" s="50">
        <f>'A) Base RI'!A39</f>
        <v>5456</v>
      </c>
      <c r="B40" s="33" t="str">
        <f>'A) Base RI'!B39</f>
        <v>Cudrefin</v>
      </c>
      <c r="C40" s="14">
        <f>'A) Base RI'!V39</f>
        <v>1589</v>
      </c>
      <c r="D40" s="10">
        <f t="shared" si="1"/>
        <v>1000</v>
      </c>
      <c r="E40" s="14">
        <f t="shared" si="1"/>
        <v>589</v>
      </c>
      <c r="F40" s="10">
        <f t="shared" si="1"/>
        <v>0</v>
      </c>
      <c r="G40" s="14">
        <f t="shared" si="1"/>
        <v>0</v>
      </c>
      <c r="H40" s="42">
        <f t="shared" si="1"/>
        <v>0</v>
      </c>
      <c r="I40" s="10">
        <f t="shared" si="1"/>
        <v>0</v>
      </c>
      <c r="J40" s="10">
        <f t="shared" si="2"/>
        <v>0</v>
      </c>
      <c r="K40" s="119">
        <f t="shared" si="3"/>
        <v>327152.21327967802</v>
      </c>
    </row>
    <row r="41" spans="1:11" x14ac:dyDescent="0.25">
      <c r="A41" s="50">
        <f>'A) Base RI'!A40</f>
        <v>5458</v>
      </c>
      <c r="B41" s="33" t="str">
        <f>'A) Base RI'!B40</f>
        <v>Faoug</v>
      </c>
      <c r="C41" s="14">
        <f>'A) Base RI'!V40</f>
        <v>893</v>
      </c>
      <c r="D41" s="10">
        <f t="shared" si="1"/>
        <v>893</v>
      </c>
      <c r="E41" s="14">
        <f t="shared" si="1"/>
        <v>0</v>
      </c>
      <c r="F41" s="10">
        <f t="shared" si="1"/>
        <v>0</v>
      </c>
      <c r="G41" s="14">
        <f t="shared" si="1"/>
        <v>0</v>
      </c>
      <c r="H41" s="42">
        <f t="shared" si="1"/>
        <v>0</v>
      </c>
      <c r="I41" s="10">
        <f t="shared" si="1"/>
        <v>0</v>
      </c>
      <c r="J41" s="10">
        <f t="shared" si="2"/>
        <v>0</v>
      </c>
      <c r="K41" s="119">
        <f t="shared" si="3"/>
        <v>110277.41448692152</v>
      </c>
    </row>
    <row r="42" spans="1:11" x14ac:dyDescent="0.25">
      <c r="A42" s="50">
        <f>'A) Base RI'!A41</f>
        <v>5464</v>
      </c>
      <c r="B42" s="33" t="str">
        <f>'A) Base RI'!B41</f>
        <v>Vully-les-Lacs</v>
      </c>
      <c r="C42" s="14">
        <f>'A) Base RI'!V41</f>
        <v>3080</v>
      </c>
      <c r="D42" s="10">
        <f t="shared" si="1"/>
        <v>1000</v>
      </c>
      <c r="E42" s="14">
        <f t="shared" si="1"/>
        <v>2000</v>
      </c>
      <c r="F42" s="10">
        <f t="shared" si="1"/>
        <v>80</v>
      </c>
      <c r="G42" s="14">
        <f t="shared" si="1"/>
        <v>0</v>
      </c>
      <c r="H42" s="42">
        <f t="shared" si="1"/>
        <v>0</v>
      </c>
      <c r="I42" s="10">
        <f t="shared" si="1"/>
        <v>0</v>
      </c>
      <c r="J42" s="10">
        <f t="shared" si="2"/>
        <v>0</v>
      </c>
      <c r="K42" s="119">
        <f t="shared" si="3"/>
        <v>854557.34406438621</v>
      </c>
    </row>
    <row r="43" spans="1:11" x14ac:dyDescent="0.25">
      <c r="A43" s="50">
        <f>'A) Base RI'!A42</f>
        <v>5471</v>
      </c>
      <c r="B43" s="33" t="str">
        <f>'A) Base RI'!B42</f>
        <v>Bettens</v>
      </c>
      <c r="C43" s="14">
        <f>'A) Base RI'!V42</f>
        <v>574</v>
      </c>
      <c r="D43" s="10">
        <f t="shared" si="1"/>
        <v>574</v>
      </c>
      <c r="E43" s="14">
        <f t="shared" si="1"/>
        <v>0</v>
      </c>
      <c r="F43" s="10">
        <f t="shared" si="1"/>
        <v>0</v>
      </c>
      <c r="G43" s="14">
        <f t="shared" si="1"/>
        <v>0</v>
      </c>
      <c r="H43" s="42">
        <f t="shared" si="1"/>
        <v>0</v>
      </c>
      <c r="I43" s="10">
        <f t="shared" si="1"/>
        <v>0</v>
      </c>
      <c r="J43" s="10">
        <f t="shared" si="2"/>
        <v>0</v>
      </c>
      <c r="K43" s="119">
        <f t="shared" si="3"/>
        <v>70883.8028169014</v>
      </c>
    </row>
    <row r="44" spans="1:11" x14ac:dyDescent="0.25">
      <c r="A44" s="50">
        <f>'A) Base RI'!A43</f>
        <v>5472</v>
      </c>
      <c r="B44" s="33" t="str">
        <f>'A) Base RI'!B43</f>
        <v>Bournens</v>
      </c>
      <c r="C44" s="14">
        <f>'A) Base RI'!V43</f>
        <v>419</v>
      </c>
      <c r="D44" s="10">
        <f t="shared" si="1"/>
        <v>419</v>
      </c>
      <c r="E44" s="14">
        <f t="shared" si="1"/>
        <v>0</v>
      </c>
      <c r="F44" s="10">
        <f t="shared" si="1"/>
        <v>0</v>
      </c>
      <c r="G44" s="14">
        <f t="shared" si="1"/>
        <v>0</v>
      </c>
      <c r="H44" s="42">
        <f t="shared" si="1"/>
        <v>0</v>
      </c>
      <c r="I44" s="10">
        <f t="shared" si="1"/>
        <v>0</v>
      </c>
      <c r="J44" s="10">
        <f t="shared" si="2"/>
        <v>0</v>
      </c>
      <c r="K44" s="119">
        <f t="shared" si="3"/>
        <v>51742.706237424543</v>
      </c>
    </row>
    <row r="45" spans="1:11" x14ac:dyDescent="0.25">
      <c r="A45" s="50">
        <f>'A) Base RI'!A44</f>
        <v>5473</v>
      </c>
      <c r="B45" s="33" t="str">
        <f>'A) Base RI'!B44</f>
        <v>Boussens</v>
      </c>
      <c r="C45" s="14">
        <f>'A) Base RI'!V44</f>
        <v>982</v>
      </c>
      <c r="D45" s="10">
        <f t="shared" si="1"/>
        <v>982</v>
      </c>
      <c r="E45" s="14">
        <f t="shared" si="1"/>
        <v>0</v>
      </c>
      <c r="F45" s="10">
        <f t="shared" si="1"/>
        <v>0</v>
      </c>
      <c r="G45" s="14">
        <f t="shared" si="1"/>
        <v>0</v>
      </c>
      <c r="H45" s="42">
        <f t="shared" si="1"/>
        <v>0</v>
      </c>
      <c r="I45" s="10">
        <f t="shared" si="1"/>
        <v>0</v>
      </c>
      <c r="J45" s="10">
        <f t="shared" si="2"/>
        <v>0</v>
      </c>
      <c r="K45" s="119">
        <f t="shared" si="3"/>
        <v>121268.10865191146</v>
      </c>
    </row>
    <row r="46" spans="1:11" x14ac:dyDescent="0.25">
      <c r="A46" s="50">
        <f>'A) Base RI'!A45</f>
        <v>5474</v>
      </c>
      <c r="B46" s="33" t="str">
        <f>'A) Base RI'!B45</f>
        <v>La Chaux (Cossonay)</v>
      </c>
      <c r="C46" s="14">
        <f>'A) Base RI'!V45</f>
        <v>420</v>
      </c>
      <c r="D46" s="10">
        <f t="shared" si="1"/>
        <v>420</v>
      </c>
      <c r="E46" s="14">
        <f t="shared" si="1"/>
        <v>0</v>
      </c>
      <c r="F46" s="10">
        <f t="shared" si="1"/>
        <v>0</v>
      </c>
      <c r="G46" s="14">
        <f t="shared" si="1"/>
        <v>0</v>
      </c>
      <c r="H46" s="42">
        <f t="shared" si="1"/>
        <v>0</v>
      </c>
      <c r="I46" s="10">
        <f t="shared" si="1"/>
        <v>0</v>
      </c>
      <c r="J46" s="10">
        <f t="shared" si="2"/>
        <v>0</v>
      </c>
      <c r="K46" s="119">
        <f t="shared" si="3"/>
        <v>51866.197183098586</v>
      </c>
    </row>
    <row r="47" spans="1:11" x14ac:dyDescent="0.25">
      <c r="A47" s="50">
        <f>'A) Base RI'!A46</f>
        <v>5475</v>
      </c>
      <c r="B47" s="33" t="str">
        <f>'A) Base RI'!B46</f>
        <v>Chavannes-le-Veyron</v>
      </c>
      <c r="C47" s="14">
        <f>'A) Base RI'!V46</f>
        <v>141</v>
      </c>
      <c r="D47" s="10">
        <f t="shared" si="1"/>
        <v>141</v>
      </c>
      <c r="E47" s="14">
        <f t="shared" si="1"/>
        <v>0</v>
      </c>
      <c r="F47" s="10">
        <f t="shared" si="1"/>
        <v>0</v>
      </c>
      <c r="G47" s="14">
        <f t="shared" si="1"/>
        <v>0</v>
      </c>
      <c r="H47" s="42">
        <f t="shared" si="1"/>
        <v>0</v>
      </c>
      <c r="I47" s="10">
        <f t="shared" si="1"/>
        <v>0</v>
      </c>
      <c r="J47" s="10">
        <f t="shared" si="2"/>
        <v>0</v>
      </c>
      <c r="K47" s="119">
        <f t="shared" si="3"/>
        <v>17412.22334004024</v>
      </c>
    </row>
    <row r="48" spans="1:11" x14ac:dyDescent="0.25">
      <c r="A48" s="50">
        <f>'A) Base RI'!A47</f>
        <v>5476</v>
      </c>
      <c r="B48" s="33" t="str">
        <f>'A) Base RI'!B47</f>
        <v>Chevilly</v>
      </c>
      <c r="C48" s="14">
        <f>'A) Base RI'!V47</f>
        <v>298</v>
      </c>
      <c r="D48" s="10">
        <f t="shared" si="1"/>
        <v>298</v>
      </c>
      <c r="E48" s="14">
        <f t="shared" si="1"/>
        <v>0</v>
      </c>
      <c r="F48" s="10">
        <f t="shared" si="1"/>
        <v>0</v>
      </c>
      <c r="G48" s="14">
        <f t="shared" si="1"/>
        <v>0</v>
      </c>
      <c r="H48" s="42">
        <f t="shared" si="1"/>
        <v>0</v>
      </c>
      <c r="I48" s="10">
        <f t="shared" si="1"/>
        <v>0</v>
      </c>
      <c r="J48" s="10">
        <f t="shared" si="2"/>
        <v>0</v>
      </c>
      <c r="K48" s="119">
        <f t="shared" si="3"/>
        <v>36800.301810865189</v>
      </c>
    </row>
    <row r="49" spans="1:11" x14ac:dyDescent="0.25">
      <c r="A49" s="50">
        <f>'A) Base RI'!A48</f>
        <v>5477</v>
      </c>
      <c r="B49" s="33" t="str">
        <f>'A) Base RI'!B48</f>
        <v>Cossonay</v>
      </c>
      <c r="C49" s="14">
        <f>'A) Base RI'!V48</f>
        <v>3808</v>
      </c>
      <c r="D49" s="10">
        <f t="shared" si="1"/>
        <v>1000</v>
      </c>
      <c r="E49" s="14">
        <f t="shared" si="1"/>
        <v>2000</v>
      </c>
      <c r="F49" s="10">
        <f t="shared" si="1"/>
        <v>808</v>
      </c>
      <c r="G49" s="14">
        <f t="shared" si="1"/>
        <v>0</v>
      </c>
      <c r="H49" s="42">
        <f t="shared" si="1"/>
        <v>0</v>
      </c>
      <c r="I49" s="10">
        <f t="shared" si="1"/>
        <v>0</v>
      </c>
      <c r="J49" s="10">
        <f t="shared" si="2"/>
        <v>0</v>
      </c>
      <c r="K49" s="119">
        <f t="shared" si="3"/>
        <v>1214162.9778672031</v>
      </c>
    </row>
    <row r="50" spans="1:11" x14ac:dyDescent="0.25">
      <c r="A50" s="50">
        <f>'A) Base RI'!A49</f>
        <v>5478</v>
      </c>
      <c r="B50" s="33" t="str">
        <f>'A) Base RI'!B49</f>
        <v>Cottens</v>
      </c>
      <c r="C50" s="14">
        <f>'A) Base RI'!V49</f>
        <v>477</v>
      </c>
      <c r="D50" s="10">
        <f t="shared" si="1"/>
        <v>477</v>
      </c>
      <c r="E50" s="14">
        <f t="shared" si="1"/>
        <v>0</v>
      </c>
      <c r="F50" s="10">
        <f t="shared" si="1"/>
        <v>0</v>
      </c>
      <c r="G50" s="14">
        <f t="shared" si="1"/>
        <v>0</v>
      </c>
      <c r="H50" s="42">
        <f t="shared" si="1"/>
        <v>0</v>
      </c>
      <c r="I50" s="10">
        <f t="shared" si="1"/>
        <v>0</v>
      </c>
      <c r="J50" s="10">
        <f t="shared" si="2"/>
        <v>0</v>
      </c>
      <c r="K50" s="119">
        <f t="shared" si="3"/>
        <v>58905.181086519107</v>
      </c>
    </row>
    <row r="51" spans="1:11" x14ac:dyDescent="0.25">
      <c r="A51" s="50">
        <f>'A) Base RI'!A50</f>
        <v>5479</v>
      </c>
      <c r="B51" s="33" t="str">
        <f>'A) Base RI'!B50</f>
        <v>Cuarnens</v>
      </c>
      <c r="C51" s="14">
        <f>'A) Base RI'!V50</f>
        <v>479</v>
      </c>
      <c r="D51" s="10">
        <f t="shared" si="1"/>
        <v>479</v>
      </c>
      <c r="E51" s="14">
        <f t="shared" si="1"/>
        <v>0</v>
      </c>
      <c r="F51" s="10">
        <f t="shared" si="1"/>
        <v>0</v>
      </c>
      <c r="G51" s="14">
        <f t="shared" si="1"/>
        <v>0</v>
      </c>
      <c r="H51" s="42">
        <f t="shared" si="1"/>
        <v>0</v>
      </c>
      <c r="I51" s="10">
        <f t="shared" si="1"/>
        <v>0</v>
      </c>
      <c r="J51" s="10">
        <f t="shared" si="2"/>
        <v>0</v>
      </c>
      <c r="K51" s="119">
        <f t="shared" si="3"/>
        <v>59152.1629778672</v>
      </c>
    </row>
    <row r="52" spans="1:11" x14ac:dyDescent="0.25">
      <c r="A52" s="50">
        <f>'A) Base RI'!A51</f>
        <v>5480</v>
      </c>
      <c r="B52" s="33" t="str">
        <f>'A) Base RI'!B51</f>
        <v>Daillens</v>
      </c>
      <c r="C52" s="14">
        <f>'A) Base RI'!V51</f>
        <v>998</v>
      </c>
      <c r="D52" s="10">
        <f t="shared" si="1"/>
        <v>998</v>
      </c>
      <c r="E52" s="14">
        <f t="shared" si="1"/>
        <v>0</v>
      </c>
      <c r="F52" s="10">
        <f t="shared" si="1"/>
        <v>0</v>
      </c>
      <c r="G52" s="14">
        <f t="shared" si="1"/>
        <v>0</v>
      </c>
      <c r="H52" s="42">
        <f t="shared" si="1"/>
        <v>0</v>
      </c>
      <c r="I52" s="10">
        <f t="shared" si="1"/>
        <v>0</v>
      </c>
      <c r="J52" s="10">
        <f t="shared" si="2"/>
        <v>0</v>
      </c>
      <c r="K52" s="119">
        <f t="shared" si="3"/>
        <v>123243.96378269617</v>
      </c>
    </row>
    <row r="53" spans="1:11" x14ac:dyDescent="0.25">
      <c r="A53" s="50">
        <f>'A) Base RI'!A52</f>
        <v>5481</v>
      </c>
      <c r="B53" s="33" t="str">
        <f>'A) Base RI'!B52</f>
        <v>Dizy</v>
      </c>
      <c r="C53" s="14">
        <f>'A) Base RI'!V52</f>
        <v>229</v>
      </c>
      <c r="D53" s="10">
        <f t="shared" si="1"/>
        <v>229</v>
      </c>
      <c r="E53" s="14">
        <f t="shared" si="1"/>
        <v>0</v>
      </c>
      <c r="F53" s="10">
        <f t="shared" si="1"/>
        <v>0</v>
      </c>
      <c r="G53" s="14">
        <f t="shared" si="1"/>
        <v>0</v>
      </c>
      <c r="H53" s="42">
        <f t="shared" si="1"/>
        <v>0</v>
      </c>
      <c r="I53" s="10">
        <f t="shared" si="1"/>
        <v>0</v>
      </c>
      <c r="J53" s="10">
        <f t="shared" si="2"/>
        <v>0</v>
      </c>
      <c r="K53" s="119">
        <f t="shared" si="3"/>
        <v>28279.426559356136</v>
      </c>
    </row>
    <row r="54" spans="1:11" x14ac:dyDescent="0.25">
      <c r="A54" s="50">
        <f>'A) Base RI'!A53</f>
        <v>5482</v>
      </c>
      <c r="B54" s="33" t="str">
        <f>'A) Base RI'!B53</f>
        <v>Eclépens</v>
      </c>
      <c r="C54" s="14">
        <f>'A) Base RI'!V53</f>
        <v>1091</v>
      </c>
      <c r="D54" s="10">
        <f t="shared" si="1"/>
        <v>1000</v>
      </c>
      <c r="E54" s="14">
        <f t="shared" si="1"/>
        <v>91</v>
      </c>
      <c r="F54" s="10">
        <f t="shared" si="1"/>
        <v>0</v>
      </c>
      <c r="G54" s="14">
        <f t="shared" si="1"/>
        <v>0</v>
      </c>
      <c r="H54" s="42">
        <f t="shared" si="1"/>
        <v>0</v>
      </c>
      <c r="I54" s="10">
        <f t="shared" si="1"/>
        <v>0</v>
      </c>
      <c r="J54" s="10">
        <f t="shared" si="2"/>
        <v>0</v>
      </c>
      <c r="K54" s="119">
        <f t="shared" si="3"/>
        <v>154956.43863179072</v>
      </c>
    </row>
    <row r="55" spans="1:11" x14ac:dyDescent="0.25">
      <c r="A55" s="50">
        <f>'A) Base RI'!A54</f>
        <v>5483</v>
      </c>
      <c r="B55" s="33" t="str">
        <f>'A) Base RI'!B54</f>
        <v>Ferreyres</v>
      </c>
      <c r="C55" s="14">
        <f>'A) Base RI'!V54</f>
        <v>322</v>
      </c>
      <c r="D55" s="10">
        <f t="shared" si="1"/>
        <v>322</v>
      </c>
      <c r="E55" s="14">
        <f t="shared" si="1"/>
        <v>0</v>
      </c>
      <c r="F55" s="10">
        <f t="shared" si="1"/>
        <v>0</v>
      </c>
      <c r="G55" s="14">
        <f t="shared" si="1"/>
        <v>0</v>
      </c>
      <c r="H55" s="42">
        <f t="shared" si="1"/>
        <v>0</v>
      </c>
      <c r="I55" s="10">
        <f t="shared" si="1"/>
        <v>0</v>
      </c>
      <c r="J55" s="10">
        <f t="shared" si="2"/>
        <v>0</v>
      </c>
      <c r="K55" s="119">
        <f t="shared" si="3"/>
        <v>39764.084507042251</v>
      </c>
    </row>
    <row r="56" spans="1:11" x14ac:dyDescent="0.25">
      <c r="A56" s="50">
        <f>'A) Base RI'!A55</f>
        <v>5484</v>
      </c>
      <c r="B56" s="33" t="str">
        <f>'A) Base RI'!B55</f>
        <v>Gollion</v>
      </c>
      <c r="C56" s="14">
        <f>'A) Base RI'!V55</f>
        <v>918</v>
      </c>
      <c r="D56" s="10">
        <f t="shared" si="1"/>
        <v>918</v>
      </c>
      <c r="E56" s="14">
        <f t="shared" si="1"/>
        <v>0</v>
      </c>
      <c r="F56" s="10">
        <f t="shared" si="1"/>
        <v>0</v>
      </c>
      <c r="G56" s="14">
        <f t="shared" si="1"/>
        <v>0</v>
      </c>
      <c r="H56" s="42">
        <f t="shared" si="1"/>
        <v>0</v>
      </c>
      <c r="I56" s="10">
        <f t="shared" si="1"/>
        <v>0</v>
      </c>
      <c r="J56" s="10">
        <f t="shared" si="2"/>
        <v>0</v>
      </c>
      <c r="K56" s="119">
        <f t="shared" si="3"/>
        <v>113364.68812877263</v>
      </c>
    </row>
    <row r="57" spans="1:11" x14ac:dyDescent="0.25">
      <c r="A57" s="50">
        <f>'A) Base RI'!A56</f>
        <v>5485</v>
      </c>
      <c r="B57" s="33" t="str">
        <f>'A) Base RI'!B56</f>
        <v>Grancy</v>
      </c>
      <c r="C57" s="14">
        <f>'A) Base RI'!V56</f>
        <v>403</v>
      </c>
      <c r="D57" s="10">
        <f t="shared" si="1"/>
        <v>403</v>
      </c>
      <c r="E57" s="14">
        <f t="shared" si="1"/>
        <v>0</v>
      </c>
      <c r="F57" s="10">
        <f t="shared" si="1"/>
        <v>0</v>
      </c>
      <c r="G57" s="14">
        <f t="shared" si="1"/>
        <v>0</v>
      </c>
      <c r="H57" s="42">
        <f t="shared" si="1"/>
        <v>0</v>
      </c>
      <c r="I57" s="10">
        <f t="shared" si="1"/>
        <v>0</v>
      </c>
      <c r="J57" s="10">
        <f t="shared" si="2"/>
        <v>0</v>
      </c>
      <c r="K57" s="119">
        <f t="shared" si="3"/>
        <v>49766.851106639835</v>
      </c>
    </row>
    <row r="58" spans="1:11" x14ac:dyDescent="0.25">
      <c r="A58" s="50">
        <f>'A) Base RI'!A57</f>
        <v>5486</v>
      </c>
      <c r="B58" s="33" t="str">
        <f>'A) Base RI'!B57</f>
        <v>L'Isle</v>
      </c>
      <c r="C58" s="14">
        <f>'A) Base RI'!V57</f>
        <v>1005</v>
      </c>
      <c r="D58" s="10">
        <f t="shared" si="1"/>
        <v>1000</v>
      </c>
      <c r="E58" s="14">
        <f t="shared" si="1"/>
        <v>5</v>
      </c>
      <c r="F58" s="10">
        <f t="shared" si="1"/>
        <v>0</v>
      </c>
      <c r="G58" s="14">
        <f t="shared" si="1"/>
        <v>0</v>
      </c>
      <c r="H58" s="42">
        <f t="shared" si="1"/>
        <v>0</v>
      </c>
      <c r="I58" s="10">
        <f t="shared" si="1"/>
        <v>0</v>
      </c>
      <c r="J58" s="10">
        <f t="shared" si="2"/>
        <v>0</v>
      </c>
      <c r="K58" s="119">
        <f t="shared" si="3"/>
        <v>125219.81891348088</v>
      </c>
    </row>
    <row r="59" spans="1:11" x14ac:dyDescent="0.25">
      <c r="A59" s="50">
        <f>'A) Base RI'!A58</f>
        <v>5487</v>
      </c>
      <c r="B59" s="33" t="str">
        <f>'A) Base RI'!B58</f>
        <v>Lussery-Villars</v>
      </c>
      <c r="C59" s="14">
        <f>'A) Base RI'!V58</f>
        <v>459</v>
      </c>
      <c r="D59" s="10">
        <f t="shared" si="1"/>
        <v>459</v>
      </c>
      <c r="E59" s="14">
        <f t="shared" si="1"/>
        <v>0</v>
      </c>
      <c r="F59" s="10">
        <f t="shared" si="1"/>
        <v>0</v>
      </c>
      <c r="G59" s="14">
        <f t="shared" si="1"/>
        <v>0</v>
      </c>
      <c r="H59" s="42">
        <f t="shared" si="1"/>
        <v>0</v>
      </c>
      <c r="I59" s="10">
        <f t="shared" si="1"/>
        <v>0</v>
      </c>
      <c r="J59" s="10">
        <f t="shared" si="2"/>
        <v>0</v>
      </c>
      <c r="K59" s="119">
        <f t="shared" si="3"/>
        <v>56682.344064386314</v>
      </c>
    </row>
    <row r="60" spans="1:11" x14ac:dyDescent="0.25">
      <c r="A60" s="50">
        <f>'A) Base RI'!A59</f>
        <v>5488</v>
      </c>
      <c r="B60" s="33" t="str">
        <f>'A) Base RI'!B59</f>
        <v>Mauraz</v>
      </c>
      <c r="C60" s="14">
        <f>'A) Base RI'!V59</f>
        <v>60</v>
      </c>
      <c r="D60" s="10">
        <f t="shared" si="1"/>
        <v>60</v>
      </c>
      <c r="E60" s="14">
        <f t="shared" si="1"/>
        <v>0</v>
      </c>
      <c r="F60" s="10">
        <f t="shared" si="1"/>
        <v>0</v>
      </c>
      <c r="G60" s="14">
        <f t="shared" si="1"/>
        <v>0</v>
      </c>
      <c r="H60" s="42">
        <f t="shared" si="1"/>
        <v>0</v>
      </c>
      <c r="I60" s="10">
        <f t="shared" si="1"/>
        <v>0</v>
      </c>
      <c r="J60" s="10">
        <f t="shared" si="2"/>
        <v>0</v>
      </c>
      <c r="K60" s="119">
        <f t="shared" si="3"/>
        <v>7409.4567404426552</v>
      </c>
    </row>
    <row r="61" spans="1:11" x14ac:dyDescent="0.25">
      <c r="A61" s="50">
        <f>'A) Base RI'!A60</f>
        <v>5489</v>
      </c>
      <c r="B61" s="33" t="str">
        <f>'A) Base RI'!B60</f>
        <v>Mex</v>
      </c>
      <c r="C61" s="14">
        <f>'A) Base RI'!V60</f>
        <v>718</v>
      </c>
      <c r="D61" s="10">
        <f t="shared" si="1"/>
        <v>718</v>
      </c>
      <c r="E61" s="14">
        <f t="shared" si="1"/>
        <v>0</v>
      </c>
      <c r="F61" s="10">
        <f t="shared" si="1"/>
        <v>0</v>
      </c>
      <c r="G61" s="14">
        <f t="shared" si="1"/>
        <v>0</v>
      </c>
      <c r="H61" s="42">
        <f t="shared" si="1"/>
        <v>0</v>
      </c>
      <c r="I61" s="10">
        <f t="shared" si="1"/>
        <v>0</v>
      </c>
      <c r="J61" s="10">
        <f t="shared" si="2"/>
        <v>0</v>
      </c>
      <c r="K61" s="119">
        <f t="shared" si="3"/>
        <v>88666.498993963774</v>
      </c>
    </row>
    <row r="62" spans="1:11" x14ac:dyDescent="0.25">
      <c r="A62" s="50">
        <f>'A) Base RI'!A61</f>
        <v>5490</v>
      </c>
      <c r="B62" s="33" t="str">
        <f>'A) Base RI'!B61</f>
        <v>Moiry</v>
      </c>
      <c r="C62" s="14">
        <f>'A) Base RI'!V61</f>
        <v>316</v>
      </c>
      <c r="D62" s="10">
        <f t="shared" si="1"/>
        <v>316</v>
      </c>
      <c r="E62" s="14">
        <f t="shared" si="1"/>
        <v>0</v>
      </c>
      <c r="F62" s="10">
        <f t="shared" si="1"/>
        <v>0</v>
      </c>
      <c r="G62" s="14">
        <f t="shared" si="1"/>
        <v>0</v>
      </c>
      <c r="H62" s="42">
        <f t="shared" si="1"/>
        <v>0</v>
      </c>
      <c r="I62" s="10">
        <f t="shared" si="1"/>
        <v>0</v>
      </c>
      <c r="J62" s="10">
        <f t="shared" si="2"/>
        <v>0</v>
      </c>
      <c r="K62" s="119">
        <f t="shared" si="3"/>
        <v>39023.138832997982</v>
      </c>
    </row>
    <row r="63" spans="1:11" x14ac:dyDescent="0.25">
      <c r="A63" s="50">
        <f>'A) Base RI'!A62</f>
        <v>5491</v>
      </c>
      <c r="B63" s="33" t="str">
        <f>'A) Base RI'!B62</f>
        <v>Mont-la-Ville</v>
      </c>
      <c r="C63" s="14">
        <f>'A) Base RI'!V62</f>
        <v>417</v>
      </c>
      <c r="D63" s="10">
        <f t="shared" si="1"/>
        <v>417</v>
      </c>
      <c r="E63" s="14">
        <f t="shared" si="1"/>
        <v>0</v>
      </c>
      <c r="F63" s="10">
        <f t="shared" si="1"/>
        <v>0</v>
      </c>
      <c r="G63" s="14">
        <f t="shared" si="1"/>
        <v>0</v>
      </c>
      <c r="H63" s="42">
        <f t="shared" si="1"/>
        <v>0</v>
      </c>
      <c r="I63" s="10">
        <f t="shared" si="1"/>
        <v>0</v>
      </c>
      <c r="J63" s="10">
        <f t="shared" si="2"/>
        <v>0</v>
      </c>
      <c r="K63" s="119">
        <f t="shared" si="3"/>
        <v>51495.724346076451</v>
      </c>
    </row>
    <row r="64" spans="1:11" x14ac:dyDescent="0.25">
      <c r="A64" s="50">
        <f>'A) Base RI'!A63</f>
        <v>5492</v>
      </c>
      <c r="B64" s="33" t="str">
        <f>'A) Base RI'!B63</f>
        <v>Montricher</v>
      </c>
      <c r="C64" s="14">
        <f>'A) Base RI'!V63</f>
        <v>986</v>
      </c>
      <c r="D64" s="10">
        <f t="shared" ref="D64:I106" si="4">IF($C64&gt;D$4,IF($C64&lt;D$5,$C64-D$4,D$5-D$4),0)</f>
        <v>986</v>
      </c>
      <c r="E64" s="14">
        <f t="shared" si="4"/>
        <v>0</v>
      </c>
      <c r="F64" s="10">
        <f t="shared" si="4"/>
        <v>0</v>
      </c>
      <c r="G64" s="14">
        <f t="shared" si="4"/>
        <v>0</v>
      </c>
      <c r="H64" s="42">
        <f t="shared" si="4"/>
        <v>0</v>
      </c>
      <c r="I64" s="10">
        <f t="shared" si="4"/>
        <v>0</v>
      </c>
      <c r="J64" s="10">
        <f t="shared" si="2"/>
        <v>0</v>
      </c>
      <c r="K64" s="119">
        <f t="shared" si="3"/>
        <v>121762.07243460763</v>
      </c>
    </row>
    <row r="65" spans="1:11" x14ac:dyDescent="0.25">
      <c r="A65" s="50">
        <f>'A) Base RI'!A64</f>
        <v>5493</v>
      </c>
      <c r="B65" s="33" t="str">
        <f>'A) Base RI'!B64</f>
        <v>Orny</v>
      </c>
      <c r="C65" s="14">
        <f>'A) Base RI'!V64</f>
        <v>356</v>
      </c>
      <c r="D65" s="10">
        <f t="shared" si="4"/>
        <v>356</v>
      </c>
      <c r="E65" s="14">
        <f t="shared" si="4"/>
        <v>0</v>
      </c>
      <c r="F65" s="10">
        <f t="shared" si="4"/>
        <v>0</v>
      </c>
      <c r="G65" s="14">
        <f t="shared" si="4"/>
        <v>0</v>
      </c>
      <c r="H65" s="42">
        <f t="shared" si="4"/>
        <v>0</v>
      </c>
      <c r="I65" s="10">
        <f t="shared" si="4"/>
        <v>0</v>
      </c>
      <c r="J65" s="10">
        <f t="shared" si="2"/>
        <v>0</v>
      </c>
      <c r="K65" s="119">
        <f t="shared" si="3"/>
        <v>43962.776659959753</v>
      </c>
    </row>
    <row r="66" spans="1:11" x14ac:dyDescent="0.25">
      <c r="A66" s="50">
        <f>'A) Base RI'!A65</f>
        <v>5494</v>
      </c>
      <c r="B66" s="33" t="str">
        <f>'A) Base RI'!B65</f>
        <v>Pampigny</v>
      </c>
      <c r="C66" s="14">
        <f>'A) Base RI'!V65</f>
        <v>1124</v>
      </c>
      <c r="D66" s="10">
        <f t="shared" si="4"/>
        <v>1000</v>
      </c>
      <c r="E66" s="14">
        <f t="shared" si="4"/>
        <v>124</v>
      </c>
      <c r="F66" s="10">
        <f t="shared" si="4"/>
        <v>0</v>
      </c>
      <c r="G66" s="14">
        <f t="shared" si="4"/>
        <v>0</v>
      </c>
      <c r="H66" s="42">
        <f t="shared" si="4"/>
        <v>0</v>
      </c>
      <c r="I66" s="10">
        <f t="shared" si="4"/>
        <v>0</v>
      </c>
      <c r="J66" s="10">
        <f t="shared" si="2"/>
        <v>0</v>
      </c>
      <c r="K66" s="119">
        <f t="shared" si="3"/>
        <v>166367.00201207242</v>
      </c>
    </row>
    <row r="67" spans="1:11" x14ac:dyDescent="0.25">
      <c r="A67" s="50">
        <f>'A) Base RI'!A66</f>
        <v>5495</v>
      </c>
      <c r="B67" s="33" t="str">
        <f>'A) Base RI'!B66</f>
        <v>Penthalaz</v>
      </c>
      <c r="C67" s="14">
        <f>'A) Base RI'!V66</f>
        <v>3282</v>
      </c>
      <c r="D67" s="10">
        <f t="shared" si="4"/>
        <v>1000</v>
      </c>
      <c r="E67" s="14">
        <f t="shared" si="4"/>
        <v>2000</v>
      </c>
      <c r="F67" s="10">
        <f t="shared" si="4"/>
        <v>282</v>
      </c>
      <c r="G67" s="14">
        <f t="shared" si="4"/>
        <v>0</v>
      </c>
      <c r="H67" s="42">
        <f t="shared" si="4"/>
        <v>0</v>
      </c>
      <c r="I67" s="10">
        <f t="shared" si="4"/>
        <v>0</v>
      </c>
      <c r="J67" s="10">
        <f t="shared" si="2"/>
        <v>0</v>
      </c>
      <c r="K67" s="119">
        <f t="shared" si="3"/>
        <v>954338.02816901403</v>
      </c>
    </row>
    <row r="68" spans="1:11" x14ac:dyDescent="0.25">
      <c r="A68" s="50">
        <f>'A) Base RI'!A67</f>
        <v>5496</v>
      </c>
      <c r="B68" s="33" t="str">
        <f>'A) Base RI'!B67</f>
        <v>Penthaz</v>
      </c>
      <c r="C68" s="14">
        <f>'A) Base RI'!V67</f>
        <v>1726</v>
      </c>
      <c r="D68" s="10">
        <f t="shared" si="4"/>
        <v>1000</v>
      </c>
      <c r="E68" s="14">
        <f t="shared" si="4"/>
        <v>726</v>
      </c>
      <c r="F68" s="10">
        <f t="shared" si="4"/>
        <v>0</v>
      </c>
      <c r="G68" s="14">
        <f t="shared" si="4"/>
        <v>0</v>
      </c>
      <c r="H68" s="42">
        <f t="shared" si="4"/>
        <v>0</v>
      </c>
      <c r="I68" s="10">
        <f t="shared" si="4"/>
        <v>0</v>
      </c>
      <c r="J68" s="10">
        <f t="shared" si="2"/>
        <v>0</v>
      </c>
      <c r="K68" s="119">
        <f t="shared" si="3"/>
        <v>374523.34004024143</v>
      </c>
    </row>
    <row r="69" spans="1:11" x14ac:dyDescent="0.25">
      <c r="A69" s="50">
        <f>'A) Base RI'!A68</f>
        <v>5497</v>
      </c>
      <c r="B69" s="33" t="str">
        <f>'A) Base RI'!B68</f>
        <v>Pompaples</v>
      </c>
      <c r="C69" s="14">
        <f>'A) Base RI'!V68</f>
        <v>854</v>
      </c>
      <c r="D69" s="10">
        <f t="shared" si="4"/>
        <v>854</v>
      </c>
      <c r="E69" s="14">
        <f t="shared" si="4"/>
        <v>0</v>
      </c>
      <c r="F69" s="10">
        <f t="shared" si="4"/>
        <v>0</v>
      </c>
      <c r="G69" s="14">
        <f t="shared" si="4"/>
        <v>0</v>
      </c>
      <c r="H69" s="42">
        <f t="shared" si="4"/>
        <v>0</v>
      </c>
      <c r="I69" s="10">
        <f t="shared" si="4"/>
        <v>0</v>
      </c>
      <c r="J69" s="10">
        <f t="shared" si="2"/>
        <v>0</v>
      </c>
      <c r="K69" s="119">
        <f t="shared" si="3"/>
        <v>105461.2676056338</v>
      </c>
    </row>
    <row r="70" spans="1:11" x14ac:dyDescent="0.25">
      <c r="A70" s="50">
        <f>'A) Base RI'!A69</f>
        <v>5498</v>
      </c>
      <c r="B70" s="33" t="str">
        <f>'A) Base RI'!B69</f>
        <v>La Sarraz</v>
      </c>
      <c r="C70" s="14">
        <f>'A) Base RI'!V69</f>
        <v>2609</v>
      </c>
      <c r="D70" s="10">
        <f t="shared" si="4"/>
        <v>1000</v>
      </c>
      <c r="E70" s="14">
        <f t="shared" si="4"/>
        <v>1609</v>
      </c>
      <c r="F70" s="10">
        <f t="shared" si="4"/>
        <v>0</v>
      </c>
      <c r="G70" s="14">
        <f t="shared" si="4"/>
        <v>0</v>
      </c>
      <c r="H70" s="42">
        <f t="shared" si="4"/>
        <v>0</v>
      </c>
      <c r="I70" s="10">
        <f t="shared" si="4"/>
        <v>0</v>
      </c>
      <c r="J70" s="10">
        <f t="shared" si="2"/>
        <v>0</v>
      </c>
      <c r="K70" s="119">
        <f t="shared" si="3"/>
        <v>679842.35412474838</v>
      </c>
    </row>
    <row r="71" spans="1:11" x14ac:dyDescent="0.25">
      <c r="A71" s="50">
        <f>'A) Base RI'!A70</f>
        <v>5499</v>
      </c>
      <c r="B71" s="33" t="str">
        <f>'A) Base RI'!B70</f>
        <v>Senarclens</v>
      </c>
      <c r="C71" s="14">
        <f>'A) Base RI'!V70</f>
        <v>505</v>
      </c>
      <c r="D71" s="10">
        <f t="shared" si="4"/>
        <v>505</v>
      </c>
      <c r="E71" s="14">
        <f t="shared" si="4"/>
        <v>0</v>
      </c>
      <c r="F71" s="10">
        <f t="shared" si="4"/>
        <v>0</v>
      </c>
      <c r="G71" s="14">
        <f t="shared" si="4"/>
        <v>0</v>
      </c>
      <c r="H71" s="42">
        <f t="shared" si="4"/>
        <v>0</v>
      </c>
      <c r="I71" s="10">
        <f t="shared" si="4"/>
        <v>0</v>
      </c>
      <c r="J71" s="10">
        <f t="shared" si="2"/>
        <v>0</v>
      </c>
      <c r="K71" s="119">
        <f t="shared" si="3"/>
        <v>62362.927565392347</v>
      </c>
    </row>
    <row r="72" spans="1:11" x14ac:dyDescent="0.25">
      <c r="A72" s="50">
        <f>'A) Base RI'!A71</f>
        <v>5500</v>
      </c>
      <c r="B72" s="33" t="str">
        <f>'A) Base RI'!B71</f>
        <v>Sévery</v>
      </c>
      <c r="C72" s="14">
        <f>'A) Base RI'!V71</f>
        <v>233</v>
      </c>
      <c r="D72" s="10">
        <f t="shared" si="4"/>
        <v>233</v>
      </c>
      <c r="E72" s="14">
        <f t="shared" si="4"/>
        <v>0</v>
      </c>
      <c r="F72" s="10">
        <f t="shared" si="4"/>
        <v>0</v>
      </c>
      <c r="G72" s="14">
        <f t="shared" si="4"/>
        <v>0</v>
      </c>
      <c r="H72" s="42">
        <f t="shared" si="4"/>
        <v>0</v>
      </c>
      <c r="I72" s="10">
        <f t="shared" si="4"/>
        <v>0</v>
      </c>
      <c r="J72" s="10">
        <f t="shared" si="2"/>
        <v>0</v>
      </c>
      <c r="K72" s="119">
        <f t="shared" si="3"/>
        <v>28773.390342052313</v>
      </c>
    </row>
    <row r="73" spans="1:11" x14ac:dyDescent="0.25">
      <c r="A73" s="50">
        <f>'A) Base RI'!A72</f>
        <v>5501</v>
      </c>
      <c r="B73" s="33" t="str">
        <f>'A) Base RI'!B72</f>
        <v>Sullens</v>
      </c>
      <c r="C73" s="14">
        <f>'A) Base RI'!V72</f>
        <v>1005</v>
      </c>
      <c r="D73" s="10">
        <f t="shared" si="4"/>
        <v>1000</v>
      </c>
      <c r="E73" s="14">
        <f t="shared" si="4"/>
        <v>5</v>
      </c>
      <c r="F73" s="10">
        <f t="shared" si="4"/>
        <v>0</v>
      </c>
      <c r="G73" s="14">
        <f t="shared" si="4"/>
        <v>0</v>
      </c>
      <c r="H73" s="42">
        <f t="shared" si="4"/>
        <v>0</v>
      </c>
      <c r="I73" s="10">
        <f t="shared" si="4"/>
        <v>0</v>
      </c>
      <c r="J73" s="10">
        <f t="shared" ref="J73:J136" si="5">IF(C73&gt;$J$4,C73-$J$4,0)</f>
        <v>0</v>
      </c>
      <c r="K73" s="119">
        <f t="shared" ref="K73:K136" si="6">(D73*D$7)+(E73*E$7)+(F73*F$7)+(G73*G$7)+(H73*H$7)+(I73*I$7)+(J73*J$7)</f>
        <v>125219.81891348088</v>
      </c>
    </row>
    <row r="74" spans="1:11" x14ac:dyDescent="0.25">
      <c r="A74" s="50">
        <f>'A) Base RI'!A73</f>
        <v>5503</v>
      </c>
      <c r="B74" s="33" t="str">
        <f>'A) Base RI'!B73</f>
        <v>Vufflens-la-Ville</v>
      </c>
      <c r="C74" s="14">
        <f>'A) Base RI'!V73</f>
        <v>1284</v>
      </c>
      <c r="D74" s="10">
        <f t="shared" si="4"/>
        <v>1000</v>
      </c>
      <c r="E74" s="14">
        <f t="shared" si="4"/>
        <v>284</v>
      </c>
      <c r="F74" s="10">
        <f t="shared" si="4"/>
        <v>0</v>
      </c>
      <c r="G74" s="14">
        <f t="shared" si="4"/>
        <v>0</v>
      </c>
      <c r="H74" s="42">
        <f t="shared" si="4"/>
        <v>0</v>
      </c>
      <c r="I74" s="10">
        <f t="shared" si="4"/>
        <v>0</v>
      </c>
      <c r="J74" s="10">
        <f t="shared" si="5"/>
        <v>0</v>
      </c>
      <c r="K74" s="119">
        <f t="shared" si="6"/>
        <v>221690.94567404425</v>
      </c>
    </row>
    <row r="75" spans="1:11" x14ac:dyDescent="0.25">
      <c r="A75" s="50">
        <f>'A) Base RI'!A74</f>
        <v>5511</v>
      </c>
      <c r="B75" s="33" t="str">
        <f>'A) Base RI'!B74</f>
        <v>Assens</v>
      </c>
      <c r="C75" s="14">
        <f>'A) Base RI'!V74</f>
        <v>1070</v>
      </c>
      <c r="D75" s="10">
        <f t="shared" si="4"/>
        <v>1000</v>
      </c>
      <c r="E75" s="14">
        <f t="shared" si="4"/>
        <v>70</v>
      </c>
      <c r="F75" s="10">
        <f t="shared" si="4"/>
        <v>0</v>
      </c>
      <c r="G75" s="14">
        <f t="shared" si="4"/>
        <v>0</v>
      </c>
      <c r="H75" s="42">
        <f t="shared" si="4"/>
        <v>0</v>
      </c>
      <c r="I75" s="10">
        <f t="shared" si="4"/>
        <v>0</v>
      </c>
      <c r="J75" s="10">
        <f t="shared" si="5"/>
        <v>0</v>
      </c>
      <c r="K75" s="119">
        <f t="shared" si="6"/>
        <v>147695.17102615692</v>
      </c>
    </row>
    <row r="76" spans="1:11" x14ac:dyDescent="0.25">
      <c r="A76" s="50">
        <f>'A) Base RI'!A75</f>
        <v>5512</v>
      </c>
      <c r="B76" s="33" t="str">
        <f>'A) Base RI'!B75</f>
        <v>Bercher</v>
      </c>
      <c r="C76" s="14">
        <f>'A) Base RI'!V75</f>
        <v>1221</v>
      </c>
      <c r="D76" s="10">
        <f t="shared" si="4"/>
        <v>1000</v>
      </c>
      <c r="E76" s="14">
        <f t="shared" si="4"/>
        <v>221</v>
      </c>
      <c r="F76" s="10">
        <f t="shared" si="4"/>
        <v>0</v>
      </c>
      <c r="G76" s="14">
        <f t="shared" si="4"/>
        <v>0</v>
      </c>
      <c r="H76" s="42">
        <f t="shared" si="4"/>
        <v>0</v>
      </c>
      <c r="I76" s="10">
        <f t="shared" si="4"/>
        <v>0</v>
      </c>
      <c r="J76" s="10">
        <f t="shared" si="5"/>
        <v>0</v>
      </c>
      <c r="K76" s="119">
        <f t="shared" si="6"/>
        <v>199907.14285714284</v>
      </c>
    </row>
    <row r="77" spans="1:11" x14ac:dyDescent="0.25">
      <c r="A77" s="50">
        <f>'A) Base RI'!A76</f>
        <v>5513</v>
      </c>
      <c r="B77" s="33" t="str">
        <f>'A) Base RI'!B76</f>
        <v>Bioley-Orjulaz</v>
      </c>
      <c r="C77" s="14">
        <f>'A) Base RI'!V76</f>
        <v>499</v>
      </c>
      <c r="D77" s="10">
        <f t="shared" si="4"/>
        <v>499</v>
      </c>
      <c r="E77" s="14">
        <f t="shared" si="4"/>
        <v>0</v>
      </c>
      <c r="F77" s="10">
        <f t="shared" si="4"/>
        <v>0</v>
      </c>
      <c r="G77" s="14">
        <f t="shared" si="4"/>
        <v>0</v>
      </c>
      <c r="H77" s="42">
        <f t="shared" si="4"/>
        <v>0</v>
      </c>
      <c r="I77" s="10">
        <f t="shared" si="4"/>
        <v>0</v>
      </c>
      <c r="J77" s="10">
        <f t="shared" si="5"/>
        <v>0</v>
      </c>
      <c r="K77" s="119">
        <f t="shared" si="6"/>
        <v>61621.981891348085</v>
      </c>
    </row>
    <row r="78" spans="1:11" x14ac:dyDescent="0.25">
      <c r="A78" s="50">
        <f>'A) Base RI'!A77</f>
        <v>5514</v>
      </c>
      <c r="B78" s="33" t="str">
        <f>'A) Base RI'!B77</f>
        <v>Bottens</v>
      </c>
      <c r="C78" s="14">
        <f>'A) Base RI'!V77</f>
        <v>1263</v>
      </c>
      <c r="D78" s="10">
        <f t="shared" si="4"/>
        <v>1000</v>
      </c>
      <c r="E78" s="14">
        <f t="shared" si="4"/>
        <v>263</v>
      </c>
      <c r="F78" s="10">
        <f t="shared" si="4"/>
        <v>0</v>
      </c>
      <c r="G78" s="14">
        <f t="shared" si="4"/>
        <v>0</v>
      </c>
      <c r="H78" s="42">
        <f t="shared" si="4"/>
        <v>0</v>
      </c>
      <c r="I78" s="10">
        <f t="shared" si="4"/>
        <v>0</v>
      </c>
      <c r="J78" s="10">
        <f t="shared" si="5"/>
        <v>0</v>
      </c>
      <c r="K78" s="119">
        <f t="shared" si="6"/>
        <v>214429.67806841043</v>
      </c>
    </row>
    <row r="79" spans="1:11" x14ac:dyDescent="0.25">
      <c r="A79" s="50">
        <f>'A) Base RI'!A78</f>
        <v>5515</v>
      </c>
      <c r="B79" s="33" t="str">
        <f>'A) Base RI'!B78</f>
        <v>Bretigny-sur-Morrens</v>
      </c>
      <c r="C79" s="14">
        <f>'A) Base RI'!V78</f>
        <v>825</v>
      </c>
      <c r="D79" s="10">
        <f t="shared" si="4"/>
        <v>825</v>
      </c>
      <c r="E79" s="14">
        <f t="shared" si="4"/>
        <v>0</v>
      </c>
      <c r="F79" s="10">
        <f t="shared" si="4"/>
        <v>0</v>
      </c>
      <c r="G79" s="14">
        <f t="shared" si="4"/>
        <v>0</v>
      </c>
      <c r="H79" s="42">
        <f t="shared" si="4"/>
        <v>0</v>
      </c>
      <c r="I79" s="10">
        <f t="shared" si="4"/>
        <v>0</v>
      </c>
      <c r="J79" s="10">
        <f t="shared" si="5"/>
        <v>0</v>
      </c>
      <c r="K79" s="119">
        <f t="shared" si="6"/>
        <v>101880.03018108651</v>
      </c>
    </row>
    <row r="80" spans="1:11" x14ac:dyDescent="0.25">
      <c r="A80" s="50">
        <f>'A) Base RI'!A79</f>
        <v>5516</v>
      </c>
      <c r="B80" s="33" t="str">
        <f>'A) Base RI'!B79</f>
        <v>Cugy</v>
      </c>
      <c r="C80" s="14">
        <f>'A) Base RI'!V79</f>
        <v>2744</v>
      </c>
      <c r="D80" s="10">
        <f t="shared" si="4"/>
        <v>1000</v>
      </c>
      <c r="E80" s="14">
        <f t="shared" si="4"/>
        <v>1744</v>
      </c>
      <c r="F80" s="10">
        <f t="shared" si="4"/>
        <v>0</v>
      </c>
      <c r="G80" s="14">
        <f t="shared" si="4"/>
        <v>0</v>
      </c>
      <c r="H80" s="42">
        <f t="shared" si="4"/>
        <v>0</v>
      </c>
      <c r="I80" s="10">
        <f t="shared" si="4"/>
        <v>0</v>
      </c>
      <c r="J80" s="10">
        <f t="shared" si="5"/>
        <v>0</v>
      </c>
      <c r="K80" s="119">
        <f t="shared" si="6"/>
        <v>726521.93158953707</v>
      </c>
    </row>
    <row r="81" spans="1:11" x14ac:dyDescent="0.25">
      <c r="A81" s="50">
        <f>'A) Base RI'!A80</f>
        <v>5518</v>
      </c>
      <c r="B81" s="33" t="str">
        <f>'A) Base RI'!B80</f>
        <v>Echallens</v>
      </c>
      <c r="C81" s="14">
        <f>'A) Base RI'!V80</f>
        <v>5728</v>
      </c>
      <c r="D81" s="10">
        <f t="shared" si="4"/>
        <v>1000</v>
      </c>
      <c r="E81" s="14">
        <f t="shared" si="4"/>
        <v>2000</v>
      </c>
      <c r="F81" s="10">
        <f t="shared" si="4"/>
        <v>2000</v>
      </c>
      <c r="G81" s="14">
        <f t="shared" si="4"/>
        <v>728</v>
      </c>
      <c r="H81" s="42">
        <f t="shared" si="4"/>
        <v>0</v>
      </c>
      <c r="I81" s="10">
        <f t="shared" si="4"/>
        <v>0</v>
      </c>
      <c r="J81" s="10">
        <f t="shared" si="5"/>
        <v>0</v>
      </c>
      <c r="K81" s="119">
        <f t="shared" si="6"/>
        <v>2234494.5674044262</v>
      </c>
    </row>
    <row r="82" spans="1:11" x14ac:dyDescent="0.25">
      <c r="A82" s="50">
        <f>'A) Base RI'!A81</f>
        <v>5520</v>
      </c>
      <c r="B82" s="33" t="str">
        <f>'A) Base RI'!B81</f>
        <v>Essertines-sur-Yverdon</v>
      </c>
      <c r="C82" s="14">
        <f>'A) Base RI'!V81</f>
        <v>981</v>
      </c>
      <c r="D82" s="10">
        <f t="shared" si="4"/>
        <v>981</v>
      </c>
      <c r="E82" s="14">
        <f t="shared" si="4"/>
        <v>0</v>
      </c>
      <c r="F82" s="10">
        <f t="shared" si="4"/>
        <v>0</v>
      </c>
      <c r="G82" s="14">
        <f t="shared" si="4"/>
        <v>0</v>
      </c>
      <c r="H82" s="42">
        <f t="shared" si="4"/>
        <v>0</v>
      </c>
      <c r="I82" s="10">
        <f t="shared" si="4"/>
        <v>0</v>
      </c>
      <c r="J82" s="10">
        <f t="shared" si="5"/>
        <v>0</v>
      </c>
      <c r="K82" s="119">
        <f t="shared" si="6"/>
        <v>121144.61770623742</v>
      </c>
    </row>
    <row r="83" spans="1:11" x14ac:dyDescent="0.25">
      <c r="A83" s="50">
        <f>'A) Base RI'!A82</f>
        <v>5521</v>
      </c>
      <c r="B83" s="33" t="str">
        <f>'A) Base RI'!B82</f>
        <v>Etagnières</v>
      </c>
      <c r="C83" s="14">
        <f>'A) Base RI'!V82</f>
        <v>1119</v>
      </c>
      <c r="D83" s="10">
        <f t="shared" si="4"/>
        <v>1000</v>
      </c>
      <c r="E83" s="14">
        <f t="shared" si="4"/>
        <v>119</v>
      </c>
      <c r="F83" s="10">
        <f t="shared" si="4"/>
        <v>0</v>
      </c>
      <c r="G83" s="14">
        <f t="shared" si="4"/>
        <v>0</v>
      </c>
      <c r="H83" s="42">
        <f t="shared" si="4"/>
        <v>0</v>
      </c>
      <c r="I83" s="10">
        <f t="shared" si="4"/>
        <v>0</v>
      </c>
      <c r="J83" s="10">
        <f t="shared" si="5"/>
        <v>0</v>
      </c>
      <c r="K83" s="119">
        <f t="shared" si="6"/>
        <v>164638.1287726358</v>
      </c>
    </row>
    <row r="84" spans="1:11" x14ac:dyDescent="0.25">
      <c r="A84" s="50">
        <f>'A) Base RI'!A83</f>
        <v>5522</v>
      </c>
      <c r="B84" s="33" t="str">
        <f>'A) Base RI'!B83</f>
        <v>Fey</v>
      </c>
      <c r="C84" s="14">
        <f>'A) Base RI'!V83</f>
        <v>703</v>
      </c>
      <c r="D84" s="10">
        <f t="shared" si="4"/>
        <v>703</v>
      </c>
      <c r="E84" s="14">
        <f t="shared" si="4"/>
        <v>0</v>
      </c>
      <c r="F84" s="10">
        <f t="shared" si="4"/>
        <v>0</v>
      </c>
      <c r="G84" s="14">
        <f t="shared" si="4"/>
        <v>0</v>
      </c>
      <c r="H84" s="42">
        <f t="shared" si="4"/>
        <v>0</v>
      </c>
      <c r="I84" s="10">
        <f t="shared" si="4"/>
        <v>0</v>
      </c>
      <c r="J84" s="10">
        <f t="shared" si="5"/>
        <v>0</v>
      </c>
      <c r="K84" s="119">
        <f t="shared" si="6"/>
        <v>86814.134808853109</v>
      </c>
    </row>
    <row r="85" spans="1:11" x14ac:dyDescent="0.25">
      <c r="A85" s="50">
        <f>'A) Base RI'!A84</f>
        <v>5523</v>
      </c>
      <c r="B85" s="33" t="str">
        <f>'A) Base RI'!B84</f>
        <v>Froideville</v>
      </c>
      <c r="C85" s="14">
        <f>'A) Base RI'!V84</f>
        <v>2561</v>
      </c>
      <c r="D85" s="10">
        <f t="shared" si="4"/>
        <v>1000</v>
      </c>
      <c r="E85" s="14">
        <f t="shared" si="4"/>
        <v>1561</v>
      </c>
      <c r="F85" s="10">
        <f t="shared" si="4"/>
        <v>0</v>
      </c>
      <c r="G85" s="14">
        <f t="shared" si="4"/>
        <v>0</v>
      </c>
      <c r="H85" s="42">
        <f t="shared" si="4"/>
        <v>0</v>
      </c>
      <c r="I85" s="10">
        <f t="shared" si="4"/>
        <v>0</v>
      </c>
      <c r="J85" s="10">
        <f t="shared" si="5"/>
        <v>0</v>
      </c>
      <c r="K85" s="119">
        <f t="shared" si="6"/>
        <v>663245.17102615698</v>
      </c>
    </row>
    <row r="86" spans="1:11" x14ac:dyDescent="0.25">
      <c r="A86" s="50">
        <f>'A) Base RI'!A85</f>
        <v>5527</v>
      </c>
      <c r="B86" s="33" t="str">
        <f>'A) Base RI'!B85</f>
        <v>Morrens</v>
      </c>
      <c r="C86" s="14">
        <f>'A) Base RI'!V85</f>
        <v>1092</v>
      </c>
      <c r="D86" s="10">
        <f t="shared" si="4"/>
        <v>1000</v>
      </c>
      <c r="E86" s="14">
        <f t="shared" si="4"/>
        <v>92</v>
      </c>
      <c r="F86" s="10">
        <f t="shared" si="4"/>
        <v>0</v>
      </c>
      <c r="G86" s="14">
        <f t="shared" si="4"/>
        <v>0</v>
      </c>
      <c r="H86" s="42">
        <f t="shared" si="4"/>
        <v>0</v>
      </c>
      <c r="I86" s="10">
        <f t="shared" si="4"/>
        <v>0</v>
      </c>
      <c r="J86" s="10">
        <f t="shared" si="5"/>
        <v>0</v>
      </c>
      <c r="K86" s="119">
        <f t="shared" si="6"/>
        <v>155302.21327967805</v>
      </c>
    </row>
    <row r="87" spans="1:11" x14ac:dyDescent="0.25">
      <c r="A87" s="50">
        <f>'A) Base RI'!A86</f>
        <v>5529</v>
      </c>
      <c r="B87" s="33" t="str">
        <f>'A) Base RI'!B86</f>
        <v>Oulens-sous-Echallens</v>
      </c>
      <c r="C87" s="14">
        <f>'A) Base RI'!V86</f>
        <v>577</v>
      </c>
      <c r="D87" s="10">
        <f t="shared" si="4"/>
        <v>577</v>
      </c>
      <c r="E87" s="14">
        <f t="shared" si="4"/>
        <v>0</v>
      </c>
      <c r="F87" s="10">
        <f t="shared" si="4"/>
        <v>0</v>
      </c>
      <c r="G87" s="14">
        <f t="shared" si="4"/>
        <v>0</v>
      </c>
      <c r="H87" s="42">
        <f t="shared" si="4"/>
        <v>0</v>
      </c>
      <c r="I87" s="10">
        <f t="shared" si="4"/>
        <v>0</v>
      </c>
      <c r="J87" s="10">
        <f t="shared" si="5"/>
        <v>0</v>
      </c>
      <c r="K87" s="119">
        <f t="shared" si="6"/>
        <v>71254.275653923542</v>
      </c>
    </row>
    <row r="88" spans="1:11" x14ac:dyDescent="0.25">
      <c r="A88" s="50">
        <f>'A) Base RI'!A87</f>
        <v>5530</v>
      </c>
      <c r="B88" s="33" t="str">
        <f>'A) Base RI'!B87</f>
        <v>Pailly</v>
      </c>
      <c r="C88" s="14">
        <f>'A) Base RI'!V87</f>
        <v>543</v>
      </c>
      <c r="D88" s="10">
        <f t="shared" si="4"/>
        <v>543</v>
      </c>
      <c r="E88" s="14">
        <f t="shared" si="4"/>
        <v>0</v>
      </c>
      <c r="F88" s="10">
        <f t="shared" si="4"/>
        <v>0</v>
      </c>
      <c r="G88" s="14">
        <f t="shared" si="4"/>
        <v>0</v>
      </c>
      <c r="H88" s="42">
        <f t="shared" si="4"/>
        <v>0</v>
      </c>
      <c r="I88" s="10">
        <f t="shared" si="4"/>
        <v>0</v>
      </c>
      <c r="J88" s="10">
        <f t="shared" si="5"/>
        <v>0</v>
      </c>
      <c r="K88" s="119">
        <f t="shared" si="6"/>
        <v>67055.583501006025</v>
      </c>
    </row>
    <row r="89" spans="1:11" x14ac:dyDescent="0.25">
      <c r="A89" s="50">
        <f>'A) Base RI'!A88</f>
        <v>5531</v>
      </c>
      <c r="B89" s="33" t="str">
        <f>'A) Base RI'!B88</f>
        <v>Penthéréaz</v>
      </c>
      <c r="C89" s="14">
        <f>'A) Base RI'!V88</f>
        <v>418</v>
      </c>
      <c r="D89" s="10">
        <f t="shared" si="4"/>
        <v>418</v>
      </c>
      <c r="E89" s="14">
        <f t="shared" si="4"/>
        <v>0</v>
      </c>
      <c r="F89" s="10">
        <f t="shared" si="4"/>
        <v>0</v>
      </c>
      <c r="G89" s="14">
        <f t="shared" si="4"/>
        <v>0</v>
      </c>
      <c r="H89" s="42">
        <f t="shared" si="4"/>
        <v>0</v>
      </c>
      <c r="I89" s="10">
        <f t="shared" si="4"/>
        <v>0</v>
      </c>
      <c r="J89" s="10">
        <f t="shared" si="5"/>
        <v>0</v>
      </c>
      <c r="K89" s="119">
        <f t="shared" si="6"/>
        <v>51619.215291750501</v>
      </c>
    </row>
    <row r="90" spans="1:11" x14ac:dyDescent="0.25">
      <c r="A90" s="50">
        <f>'A) Base RI'!A89</f>
        <v>5533</v>
      </c>
      <c r="B90" s="33" t="str">
        <f>'A) Base RI'!B89</f>
        <v>Poliez-Pittet</v>
      </c>
      <c r="C90" s="14">
        <f>'A) Base RI'!V89</f>
        <v>849</v>
      </c>
      <c r="D90" s="10">
        <f t="shared" si="4"/>
        <v>849</v>
      </c>
      <c r="E90" s="14">
        <f t="shared" si="4"/>
        <v>0</v>
      </c>
      <c r="F90" s="10">
        <f t="shared" si="4"/>
        <v>0</v>
      </c>
      <c r="G90" s="14">
        <f t="shared" si="4"/>
        <v>0</v>
      </c>
      <c r="H90" s="42">
        <f t="shared" si="4"/>
        <v>0</v>
      </c>
      <c r="I90" s="10">
        <f t="shared" si="4"/>
        <v>0</v>
      </c>
      <c r="J90" s="10">
        <f t="shared" si="5"/>
        <v>0</v>
      </c>
      <c r="K90" s="119">
        <f t="shared" si="6"/>
        <v>104843.81287726357</v>
      </c>
    </row>
    <row r="91" spans="1:11" x14ac:dyDescent="0.25">
      <c r="A91" s="50">
        <f>'A) Base RI'!A90</f>
        <v>5534</v>
      </c>
      <c r="B91" s="33" t="str">
        <f>'A) Base RI'!B90</f>
        <v>Rueyres</v>
      </c>
      <c r="C91" s="14">
        <f>'A) Base RI'!V90</f>
        <v>257</v>
      </c>
      <c r="D91" s="10">
        <f t="shared" si="4"/>
        <v>257</v>
      </c>
      <c r="E91" s="14">
        <f t="shared" si="4"/>
        <v>0</v>
      </c>
      <c r="F91" s="10">
        <f t="shared" si="4"/>
        <v>0</v>
      </c>
      <c r="G91" s="14">
        <f t="shared" si="4"/>
        <v>0</v>
      </c>
      <c r="H91" s="42">
        <f t="shared" si="4"/>
        <v>0</v>
      </c>
      <c r="I91" s="10">
        <f t="shared" si="4"/>
        <v>0</v>
      </c>
      <c r="J91" s="10">
        <f t="shared" si="5"/>
        <v>0</v>
      </c>
      <c r="K91" s="119">
        <f t="shared" si="6"/>
        <v>31737.173038229372</v>
      </c>
    </row>
    <row r="92" spans="1:11" x14ac:dyDescent="0.25">
      <c r="A92" s="50">
        <f>'A) Base RI'!A91</f>
        <v>5535</v>
      </c>
      <c r="B92" s="33" t="str">
        <f>'A) Base RI'!B91</f>
        <v>Saint-Barthélemy</v>
      </c>
      <c r="C92" s="14">
        <f>'A) Base RI'!V91</f>
        <v>769</v>
      </c>
      <c r="D92" s="10">
        <f t="shared" si="4"/>
        <v>769</v>
      </c>
      <c r="E92" s="14">
        <f t="shared" si="4"/>
        <v>0</v>
      </c>
      <c r="F92" s="10">
        <f t="shared" si="4"/>
        <v>0</v>
      </c>
      <c r="G92" s="14">
        <f t="shared" si="4"/>
        <v>0</v>
      </c>
      <c r="H92" s="42">
        <f t="shared" si="4"/>
        <v>0</v>
      </c>
      <c r="I92" s="10">
        <f t="shared" si="4"/>
        <v>0</v>
      </c>
      <c r="J92" s="10">
        <f t="shared" si="5"/>
        <v>0</v>
      </c>
      <c r="K92" s="119">
        <f t="shared" si="6"/>
        <v>94964.537223340027</v>
      </c>
    </row>
    <row r="93" spans="1:11" x14ac:dyDescent="0.25">
      <c r="A93" s="50">
        <f>'A) Base RI'!A92</f>
        <v>5537</v>
      </c>
      <c r="B93" s="33" t="str">
        <f>'A) Base RI'!B92</f>
        <v>Villars-le-Terroir</v>
      </c>
      <c r="C93" s="14">
        <f>'A) Base RI'!V92</f>
        <v>1150</v>
      </c>
      <c r="D93" s="10">
        <f t="shared" si="4"/>
        <v>1000</v>
      </c>
      <c r="E93" s="14">
        <f t="shared" si="4"/>
        <v>150</v>
      </c>
      <c r="F93" s="10">
        <f t="shared" si="4"/>
        <v>0</v>
      </c>
      <c r="G93" s="14">
        <f t="shared" si="4"/>
        <v>0</v>
      </c>
      <c r="H93" s="42">
        <f t="shared" si="4"/>
        <v>0</v>
      </c>
      <c r="I93" s="10">
        <f t="shared" si="4"/>
        <v>0</v>
      </c>
      <c r="J93" s="10">
        <f t="shared" si="5"/>
        <v>0</v>
      </c>
      <c r="K93" s="119">
        <f t="shared" si="6"/>
        <v>175357.14285714284</v>
      </c>
    </row>
    <row r="94" spans="1:11" x14ac:dyDescent="0.25">
      <c r="A94" s="50">
        <f>'A) Base RI'!A93</f>
        <v>5539</v>
      </c>
      <c r="B94" s="33" t="str">
        <f>'A) Base RI'!B93</f>
        <v>Vuarrens</v>
      </c>
      <c r="C94" s="14">
        <f>'A) Base RI'!V93</f>
        <v>1003</v>
      </c>
      <c r="D94" s="10">
        <f t="shared" si="4"/>
        <v>1000</v>
      </c>
      <c r="E94" s="14">
        <f t="shared" si="4"/>
        <v>3</v>
      </c>
      <c r="F94" s="10">
        <f t="shared" si="4"/>
        <v>0</v>
      </c>
      <c r="G94" s="14">
        <f t="shared" si="4"/>
        <v>0</v>
      </c>
      <c r="H94" s="42">
        <f t="shared" si="4"/>
        <v>0</v>
      </c>
      <c r="I94" s="10">
        <f t="shared" si="4"/>
        <v>0</v>
      </c>
      <c r="J94" s="10">
        <f t="shared" si="5"/>
        <v>0</v>
      </c>
      <c r="K94" s="119">
        <f t="shared" si="6"/>
        <v>124528.26961770623</v>
      </c>
    </row>
    <row r="95" spans="1:11" x14ac:dyDescent="0.25">
      <c r="A95" s="50">
        <f>'A) Base RI'!A94</f>
        <v>5540</v>
      </c>
      <c r="B95" s="33" t="str">
        <f>'A) Base RI'!B94</f>
        <v>Montilliez</v>
      </c>
      <c r="C95" s="14">
        <f>'A) Base RI'!V94</f>
        <v>1731</v>
      </c>
      <c r="D95" s="10">
        <f t="shared" si="4"/>
        <v>1000</v>
      </c>
      <c r="E95" s="14">
        <f t="shared" si="4"/>
        <v>731</v>
      </c>
      <c r="F95" s="10">
        <f t="shared" si="4"/>
        <v>0</v>
      </c>
      <c r="G95" s="14">
        <f t="shared" si="4"/>
        <v>0</v>
      </c>
      <c r="H95" s="42">
        <f t="shared" si="4"/>
        <v>0</v>
      </c>
      <c r="I95" s="10">
        <f t="shared" si="4"/>
        <v>0</v>
      </c>
      <c r="J95" s="10">
        <f t="shared" si="5"/>
        <v>0</v>
      </c>
      <c r="K95" s="119">
        <f t="shared" si="6"/>
        <v>376252.21327967802</v>
      </c>
    </row>
    <row r="96" spans="1:11" x14ac:dyDescent="0.25">
      <c r="A96" s="50">
        <f>'A) Base RI'!A95</f>
        <v>5541</v>
      </c>
      <c r="B96" s="33" t="str">
        <f>'A) Base RI'!B95</f>
        <v>Goumoëns</v>
      </c>
      <c r="C96" s="14">
        <f>'A) Base RI'!V95</f>
        <v>1110</v>
      </c>
      <c r="D96" s="10">
        <f t="shared" si="4"/>
        <v>1000</v>
      </c>
      <c r="E96" s="14">
        <f t="shared" si="4"/>
        <v>110</v>
      </c>
      <c r="F96" s="10">
        <f t="shared" si="4"/>
        <v>0</v>
      </c>
      <c r="G96" s="14">
        <f t="shared" si="4"/>
        <v>0</v>
      </c>
      <c r="H96" s="42">
        <f t="shared" si="4"/>
        <v>0</v>
      </c>
      <c r="I96" s="10">
        <f t="shared" si="4"/>
        <v>0</v>
      </c>
      <c r="J96" s="10">
        <f t="shared" si="5"/>
        <v>0</v>
      </c>
      <c r="K96" s="119">
        <f t="shared" si="6"/>
        <v>161526.15694164988</v>
      </c>
    </row>
    <row r="97" spans="1:11" x14ac:dyDescent="0.25">
      <c r="A97" s="50">
        <f>'A) Base RI'!A96</f>
        <v>5551</v>
      </c>
      <c r="B97" s="33" t="str">
        <f>'A) Base RI'!B96</f>
        <v>Bonvillars</v>
      </c>
      <c r="C97" s="14">
        <f>'A) Base RI'!V96</f>
        <v>495</v>
      </c>
      <c r="D97" s="10">
        <f t="shared" si="4"/>
        <v>495</v>
      </c>
      <c r="E97" s="14">
        <f t="shared" si="4"/>
        <v>0</v>
      </c>
      <c r="F97" s="10">
        <f t="shared" si="4"/>
        <v>0</v>
      </c>
      <c r="G97" s="14">
        <f t="shared" si="4"/>
        <v>0</v>
      </c>
      <c r="H97" s="42">
        <f t="shared" si="4"/>
        <v>0</v>
      </c>
      <c r="I97" s="10">
        <f t="shared" si="4"/>
        <v>0</v>
      </c>
      <c r="J97" s="10">
        <f t="shared" si="5"/>
        <v>0</v>
      </c>
      <c r="K97" s="119">
        <f t="shared" si="6"/>
        <v>61128.018108651908</v>
      </c>
    </row>
    <row r="98" spans="1:11" x14ac:dyDescent="0.25">
      <c r="A98" s="50">
        <f>'A) Base RI'!A97</f>
        <v>5552</v>
      </c>
      <c r="B98" s="33" t="str">
        <f>'A) Base RI'!B97</f>
        <v>Bullet</v>
      </c>
      <c r="C98" s="14">
        <f>'A) Base RI'!V97</f>
        <v>644</v>
      </c>
      <c r="D98" s="10">
        <f t="shared" si="4"/>
        <v>644</v>
      </c>
      <c r="E98" s="14">
        <f t="shared" si="4"/>
        <v>0</v>
      </c>
      <c r="F98" s="10">
        <f t="shared" si="4"/>
        <v>0</v>
      </c>
      <c r="G98" s="14">
        <f t="shared" si="4"/>
        <v>0</v>
      </c>
      <c r="H98" s="42">
        <f t="shared" si="4"/>
        <v>0</v>
      </c>
      <c r="I98" s="10">
        <f t="shared" si="4"/>
        <v>0</v>
      </c>
      <c r="J98" s="10">
        <f t="shared" si="5"/>
        <v>0</v>
      </c>
      <c r="K98" s="119">
        <f t="shared" si="6"/>
        <v>79528.169014084502</v>
      </c>
    </row>
    <row r="99" spans="1:11" x14ac:dyDescent="0.25">
      <c r="A99" s="50">
        <f>'A) Base RI'!A98</f>
        <v>5553</v>
      </c>
      <c r="B99" s="33" t="str">
        <f>'A) Base RI'!B98</f>
        <v>Champagne</v>
      </c>
      <c r="C99" s="14">
        <f>'A) Base RI'!V98</f>
        <v>1027</v>
      </c>
      <c r="D99" s="10">
        <f t="shared" si="4"/>
        <v>1000</v>
      </c>
      <c r="E99" s="14">
        <f t="shared" si="4"/>
        <v>27</v>
      </c>
      <c r="F99" s="10">
        <f t="shared" si="4"/>
        <v>0</v>
      </c>
      <c r="G99" s="14">
        <f t="shared" si="4"/>
        <v>0</v>
      </c>
      <c r="H99" s="42">
        <f t="shared" si="4"/>
        <v>0</v>
      </c>
      <c r="I99" s="10">
        <f t="shared" si="4"/>
        <v>0</v>
      </c>
      <c r="J99" s="10">
        <f t="shared" si="5"/>
        <v>0</v>
      </c>
      <c r="K99" s="119">
        <f t="shared" si="6"/>
        <v>132826.861167002</v>
      </c>
    </row>
    <row r="100" spans="1:11" x14ac:dyDescent="0.25">
      <c r="A100" s="50">
        <f>'A) Base RI'!A99</f>
        <v>5554</v>
      </c>
      <c r="B100" s="33" t="str">
        <f>'A) Base RI'!B99</f>
        <v>Concise</v>
      </c>
      <c r="C100" s="14">
        <f>'A) Base RI'!V99</f>
        <v>969</v>
      </c>
      <c r="D100" s="10">
        <f t="shared" si="4"/>
        <v>969</v>
      </c>
      <c r="E100" s="14">
        <f t="shared" si="4"/>
        <v>0</v>
      </c>
      <c r="F100" s="10">
        <f t="shared" si="4"/>
        <v>0</v>
      </c>
      <c r="G100" s="14">
        <f t="shared" si="4"/>
        <v>0</v>
      </c>
      <c r="H100" s="42">
        <f t="shared" si="4"/>
        <v>0</v>
      </c>
      <c r="I100" s="10">
        <f t="shared" si="4"/>
        <v>0</v>
      </c>
      <c r="J100" s="10">
        <f t="shared" si="5"/>
        <v>0</v>
      </c>
      <c r="K100" s="119">
        <f t="shared" si="6"/>
        <v>119662.72635814888</v>
      </c>
    </row>
    <row r="101" spans="1:11" x14ac:dyDescent="0.25">
      <c r="A101" s="50">
        <f>'A) Base RI'!A100</f>
        <v>5555</v>
      </c>
      <c r="B101" s="33" t="str">
        <f>'A) Base RI'!B100</f>
        <v>Corcelles-près-Concise</v>
      </c>
      <c r="C101" s="14">
        <f>'A) Base RI'!V100</f>
        <v>377</v>
      </c>
      <c r="D101" s="10">
        <f t="shared" si="4"/>
        <v>377</v>
      </c>
      <c r="E101" s="14">
        <f t="shared" si="4"/>
        <v>0</v>
      </c>
      <c r="F101" s="10">
        <f t="shared" si="4"/>
        <v>0</v>
      </c>
      <c r="G101" s="14">
        <f t="shared" si="4"/>
        <v>0</v>
      </c>
      <c r="H101" s="42">
        <f t="shared" si="4"/>
        <v>0</v>
      </c>
      <c r="I101" s="10">
        <f t="shared" si="4"/>
        <v>0</v>
      </c>
      <c r="J101" s="10">
        <f t="shared" si="5"/>
        <v>0</v>
      </c>
      <c r="K101" s="119">
        <f t="shared" si="6"/>
        <v>46556.086519114688</v>
      </c>
    </row>
    <row r="102" spans="1:11" x14ac:dyDescent="0.25">
      <c r="A102" s="50">
        <f>'A) Base RI'!A101</f>
        <v>5556</v>
      </c>
      <c r="B102" s="33" t="str">
        <f>'A) Base RI'!B101</f>
        <v>Fiez</v>
      </c>
      <c r="C102" s="14">
        <f>'A) Base RI'!V101</f>
        <v>425</v>
      </c>
      <c r="D102" s="10">
        <f t="shared" si="4"/>
        <v>425</v>
      </c>
      <c r="E102" s="14">
        <f t="shared" si="4"/>
        <v>0</v>
      </c>
      <c r="F102" s="10">
        <f t="shared" si="4"/>
        <v>0</v>
      </c>
      <c r="G102" s="14">
        <f t="shared" si="4"/>
        <v>0</v>
      </c>
      <c r="H102" s="42">
        <f t="shared" si="4"/>
        <v>0</v>
      </c>
      <c r="I102" s="10">
        <f t="shared" si="4"/>
        <v>0</v>
      </c>
      <c r="J102" s="10">
        <f t="shared" si="5"/>
        <v>0</v>
      </c>
      <c r="K102" s="119">
        <f t="shared" si="6"/>
        <v>52483.651911468805</v>
      </c>
    </row>
    <row r="103" spans="1:11" x14ac:dyDescent="0.25">
      <c r="A103" s="50">
        <f>'A) Base RI'!A102</f>
        <v>5557</v>
      </c>
      <c r="B103" s="33" t="str">
        <f>'A) Base RI'!B102</f>
        <v>Fontaines-sur-Grandson</v>
      </c>
      <c r="C103" s="14">
        <f>'A) Base RI'!V102</f>
        <v>210</v>
      </c>
      <c r="D103" s="10">
        <f t="shared" si="4"/>
        <v>210</v>
      </c>
      <c r="E103" s="14">
        <f t="shared" si="4"/>
        <v>0</v>
      </c>
      <c r="F103" s="10">
        <f t="shared" si="4"/>
        <v>0</v>
      </c>
      <c r="G103" s="14">
        <f t="shared" si="4"/>
        <v>0</v>
      </c>
      <c r="H103" s="42">
        <f t="shared" si="4"/>
        <v>0</v>
      </c>
      <c r="I103" s="10">
        <f t="shared" si="4"/>
        <v>0</v>
      </c>
      <c r="J103" s="10">
        <f t="shared" si="5"/>
        <v>0</v>
      </c>
      <c r="K103" s="119">
        <f t="shared" si="6"/>
        <v>25933.098591549293</v>
      </c>
    </row>
    <row r="104" spans="1:11" x14ac:dyDescent="0.25">
      <c r="A104" s="50">
        <f>'A) Base RI'!A103</f>
        <v>5559</v>
      </c>
      <c r="B104" s="33" t="str">
        <f>'A) Base RI'!B103</f>
        <v>Giez</v>
      </c>
      <c r="C104" s="14">
        <f>'A) Base RI'!V103</f>
        <v>421</v>
      </c>
      <c r="D104" s="10">
        <f t="shared" si="4"/>
        <v>421</v>
      </c>
      <c r="E104" s="14">
        <f t="shared" si="4"/>
        <v>0</v>
      </c>
      <c r="F104" s="10">
        <f t="shared" si="4"/>
        <v>0</v>
      </c>
      <c r="G104" s="14">
        <f t="shared" si="4"/>
        <v>0</v>
      </c>
      <c r="H104" s="42">
        <f t="shared" si="4"/>
        <v>0</v>
      </c>
      <c r="I104" s="10">
        <f t="shared" si="4"/>
        <v>0</v>
      </c>
      <c r="J104" s="10">
        <f t="shared" si="5"/>
        <v>0</v>
      </c>
      <c r="K104" s="119">
        <f t="shared" si="6"/>
        <v>51989.688128772628</v>
      </c>
    </row>
    <row r="105" spans="1:11" x14ac:dyDescent="0.25">
      <c r="A105" s="50">
        <f>'A) Base RI'!A104</f>
        <v>5560</v>
      </c>
      <c r="B105" s="33" t="str">
        <f>'A) Base RI'!B104</f>
        <v>Grandevent</v>
      </c>
      <c r="C105" s="14">
        <f>'A) Base RI'!V104</f>
        <v>229</v>
      </c>
      <c r="D105" s="10">
        <f t="shared" si="4"/>
        <v>229</v>
      </c>
      <c r="E105" s="14">
        <f t="shared" si="4"/>
        <v>0</v>
      </c>
      <c r="F105" s="10">
        <f t="shared" si="4"/>
        <v>0</v>
      </c>
      <c r="G105" s="14">
        <f t="shared" si="4"/>
        <v>0</v>
      </c>
      <c r="H105" s="42">
        <f t="shared" si="4"/>
        <v>0</v>
      </c>
      <c r="I105" s="10">
        <f t="shared" si="4"/>
        <v>0</v>
      </c>
      <c r="J105" s="10">
        <f t="shared" si="5"/>
        <v>0</v>
      </c>
      <c r="K105" s="119">
        <f t="shared" si="6"/>
        <v>28279.426559356136</v>
      </c>
    </row>
    <row r="106" spans="1:11" x14ac:dyDescent="0.25">
      <c r="A106" s="50">
        <f>'A) Base RI'!A105</f>
        <v>5561</v>
      </c>
      <c r="B106" s="33" t="str">
        <f>'A) Base RI'!B105</f>
        <v>Grandson</v>
      </c>
      <c r="C106" s="14">
        <f>'A) Base RI'!V105</f>
        <v>3284</v>
      </c>
      <c r="D106" s="10">
        <f t="shared" si="4"/>
        <v>1000</v>
      </c>
      <c r="E106" s="14">
        <f t="shared" si="4"/>
        <v>2000</v>
      </c>
      <c r="F106" s="10">
        <f t="shared" si="4"/>
        <v>284</v>
      </c>
      <c r="G106" s="14">
        <f t="shared" ref="E106:I157" si="7">IF($C106&gt;G$4,IF($C106&lt;G$5,$C106-G$4,G$5-G$4),0)</f>
        <v>0</v>
      </c>
      <c r="H106" s="42">
        <f t="shared" si="7"/>
        <v>0</v>
      </c>
      <c r="I106" s="10">
        <f t="shared" si="7"/>
        <v>0</v>
      </c>
      <c r="J106" s="10">
        <f t="shared" si="5"/>
        <v>0</v>
      </c>
      <c r="K106" s="119">
        <f t="shared" si="6"/>
        <v>955325.95573440637</v>
      </c>
    </row>
    <row r="107" spans="1:11" x14ac:dyDescent="0.25">
      <c r="A107" s="50">
        <f>'A) Base RI'!A106</f>
        <v>5562</v>
      </c>
      <c r="B107" s="33" t="str">
        <f>'A) Base RI'!B106</f>
        <v>Mauborget</v>
      </c>
      <c r="C107" s="14">
        <f>'A) Base RI'!V106</f>
        <v>119</v>
      </c>
      <c r="D107" s="10">
        <f t="shared" ref="D107:D170" si="8">IF($C107&gt;D$4,IF($C107&lt;D$5,$C107-D$4,D$5-D$4),0)</f>
        <v>119</v>
      </c>
      <c r="E107" s="14">
        <f t="shared" si="7"/>
        <v>0</v>
      </c>
      <c r="F107" s="10">
        <f t="shared" si="7"/>
        <v>0</v>
      </c>
      <c r="G107" s="14">
        <f t="shared" si="7"/>
        <v>0</v>
      </c>
      <c r="H107" s="42">
        <f t="shared" si="7"/>
        <v>0</v>
      </c>
      <c r="I107" s="10">
        <f t="shared" si="7"/>
        <v>0</v>
      </c>
      <c r="J107" s="10">
        <f t="shared" si="5"/>
        <v>0</v>
      </c>
      <c r="K107" s="119">
        <f t="shared" si="6"/>
        <v>14695.422535211266</v>
      </c>
    </row>
    <row r="108" spans="1:11" x14ac:dyDescent="0.25">
      <c r="A108" s="50">
        <f>'A) Base RI'!A107</f>
        <v>5563</v>
      </c>
      <c r="B108" s="33" t="str">
        <f>'A) Base RI'!B107</f>
        <v>Mutrux</v>
      </c>
      <c r="C108" s="14">
        <f>'A) Base RI'!V107</f>
        <v>163</v>
      </c>
      <c r="D108" s="10">
        <f t="shared" si="8"/>
        <v>163</v>
      </c>
      <c r="E108" s="14">
        <f t="shared" si="7"/>
        <v>0</v>
      </c>
      <c r="F108" s="10">
        <f t="shared" si="7"/>
        <v>0</v>
      </c>
      <c r="G108" s="14">
        <f t="shared" si="7"/>
        <v>0</v>
      </c>
      <c r="H108" s="42">
        <f t="shared" si="7"/>
        <v>0</v>
      </c>
      <c r="I108" s="10">
        <f t="shared" si="7"/>
        <v>0</v>
      </c>
      <c r="J108" s="10">
        <f t="shared" si="5"/>
        <v>0</v>
      </c>
      <c r="K108" s="119">
        <f t="shared" si="6"/>
        <v>20129.024144869214</v>
      </c>
    </row>
    <row r="109" spans="1:11" x14ac:dyDescent="0.25">
      <c r="A109" s="50">
        <f>'A) Base RI'!A108</f>
        <v>5564</v>
      </c>
      <c r="B109" s="33" t="str">
        <f>'A) Base RI'!B108</f>
        <v>Novalles</v>
      </c>
      <c r="C109" s="14">
        <f>'A) Base RI'!V108</f>
        <v>101</v>
      </c>
      <c r="D109" s="10">
        <f t="shared" si="8"/>
        <v>101</v>
      </c>
      <c r="E109" s="14">
        <f t="shared" si="7"/>
        <v>0</v>
      </c>
      <c r="F109" s="10">
        <f t="shared" si="7"/>
        <v>0</v>
      </c>
      <c r="G109" s="14">
        <f t="shared" si="7"/>
        <v>0</v>
      </c>
      <c r="H109" s="42">
        <f t="shared" si="7"/>
        <v>0</v>
      </c>
      <c r="I109" s="10">
        <f t="shared" si="7"/>
        <v>0</v>
      </c>
      <c r="J109" s="10">
        <f t="shared" si="5"/>
        <v>0</v>
      </c>
      <c r="K109" s="119">
        <f t="shared" si="6"/>
        <v>12472.585513078469</v>
      </c>
    </row>
    <row r="110" spans="1:11" x14ac:dyDescent="0.25">
      <c r="A110" s="50">
        <f>'A) Base RI'!A109</f>
        <v>5565</v>
      </c>
      <c r="B110" s="33" t="str">
        <f>'A) Base RI'!B109</f>
        <v>Onnens</v>
      </c>
      <c r="C110" s="14">
        <f>'A) Base RI'!V109</f>
        <v>477</v>
      </c>
      <c r="D110" s="10">
        <f t="shared" si="8"/>
        <v>477</v>
      </c>
      <c r="E110" s="14">
        <f t="shared" si="7"/>
        <v>0</v>
      </c>
      <c r="F110" s="10">
        <f t="shared" si="7"/>
        <v>0</v>
      </c>
      <c r="G110" s="14">
        <f t="shared" si="7"/>
        <v>0</v>
      </c>
      <c r="H110" s="42">
        <f t="shared" si="7"/>
        <v>0</v>
      </c>
      <c r="I110" s="10">
        <f t="shared" si="7"/>
        <v>0</v>
      </c>
      <c r="J110" s="10">
        <f t="shared" si="5"/>
        <v>0</v>
      </c>
      <c r="K110" s="119">
        <f t="shared" si="6"/>
        <v>58905.181086519107</v>
      </c>
    </row>
    <row r="111" spans="1:11" x14ac:dyDescent="0.25">
      <c r="A111" s="50">
        <f>'A) Base RI'!A110</f>
        <v>5566</v>
      </c>
      <c r="B111" s="33" t="str">
        <f>'A) Base RI'!B110</f>
        <v>Provence</v>
      </c>
      <c r="C111" s="14">
        <f>'A) Base RI'!V110</f>
        <v>388</v>
      </c>
      <c r="D111" s="10">
        <f t="shared" si="8"/>
        <v>388</v>
      </c>
      <c r="E111" s="14">
        <f t="shared" si="7"/>
        <v>0</v>
      </c>
      <c r="F111" s="10">
        <f t="shared" si="7"/>
        <v>0</v>
      </c>
      <c r="G111" s="14">
        <f t="shared" si="7"/>
        <v>0</v>
      </c>
      <c r="H111" s="42">
        <f t="shared" si="7"/>
        <v>0</v>
      </c>
      <c r="I111" s="10">
        <f t="shared" si="7"/>
        <v>0</v>
      </c>
      <c r="J111" s="10">
        <f t="shared" si="5"/>
        <v>0</v>
      </c>
      <c r="K111" s="119">
        <f t="shared" si="6"/>
        <v>47914.486921529169</v>
      </c>
    </row>
    <row r="112" spans="1:11" x14ac:dyDescent="0.25">
      <c r="A112" s="50">
        <f>'A) Base RI'!A111</f>
        <v>5568</v>
      </c>
      <c r="B112" s="33" t="str">
        <f>'A) Base RI'!B111</f>
        <v>Sainte-Croix</v>
      </c>
      <c r="C112" s="14">
        <f>'A) Base RI'!V111</f>
        <v>4919</v>
      </c>
      <c r="D112" s="10">
        <f t="shared" si="8"/>
        <v>1000</v>
      </c>
      <c r="E112" s="14">
        <f t="shared" si="7"/>
        <v>2000</v>
      </c>
      <c r="F112" s="10">
        <f t="shared" si="7"/>
        <v>1919</v>
      </c>
      <c r="G112" s="14">
        <f t="shared" si="7"/>
        <v>0</v>
      </c>
      <c r="H112" s="42">
        <f t="shared" si="7"/>
        <v>0</v>
      </c>
      <c r="I112" s="10">
        <f t="shared" si="7"/>
        <v>0</v>
      </c>
      <c r="J112" s="10">
        <f t="shared" si="5"/>
        <v>0</v>
      </c>
      <c r="K112" s="119">
        <f t="shared" si="6"/>
        <v>1762956.7404426557</v>
      </c>
    </row>
    <row r="113" spans="1:11" x14ac:dyDescent="0.25">
      <c r="A113" s="50">
        <f>'A) Base RI'!A112</f>
        <v>5571</v>
      </c>
      <c r="B113" s="33" t="str">
        <f>'A) Base RI'!B112</f>
        <v>Tévenon</v>
      </c>
      <c r="C113" s="14">
        <f>'A) Base RI'!V112</f>
        <v>843</v>
      </c>
      <c r="D113" s="10">
        <f t="shared" si="8"/>
        <v>843</v>
      </c>
      <c r="E113" s="14">
        <f t="shared" si="7"/>
        <v>0</v>
      </c>
      <c r="F113" s="10">
        <f t="shared" si="7"/>
        <v>0</v>
      </c>
      <c r="G113" s="14">
        <f t="shared" si="7"/>
        <v>0</v>
      </c>
      <c r="H113" s="42">
        <f t="shared" si="7"/>
        <v>0</v>
      </c>
      <c r="I113" s="10">
        <f t="shared" si="7"/>
        <v>0</v>
      </c>
      <c r="J113" s="10">
        <f t="shared" si="5"/>
        <v>0</v>
      </c>
      <c r="K113" s="119">
        <f t="shared" si="6"/>
        <v>104102.86720321931</v>
      </c>
    </row>
    <row r="114" spans="1:11" x14ac:dyDescent="0.25">
      <c r="A114" s="50">
        <f>'A) Base RI'!A113</f>
        <v>5581</v>
      </c>
      <c r="B114" s="33" t="str">
        <f>'A) Base RI'!B113</f>
        <v>Belmont-sur-Lausanne</v>
      </c>
      <c r="C114" s="14">
        <f>'A) Base RI'!V113</f>
        <v>3662</v>
      </c>
      <c r="D114" s="10">
        <f t="shared" si="8"/>
        <v>1000</v>
      </c>
      <c r="E114" s="14">
        <f t="shared" si="7"/>
        <v>2000</v>
      </c>
      <c r="F114" s="10">
        <f t="shared" si="7"/>
        <v>662</v>
      </c>
      <c r="G114" s="14">
        <f t="shared" si="7"/>
        <v>0</v>
      </c>
      <c r="H114" s="42">
        <f t="shared" si="7"/>
        <v>0</v>
      </c>
      <c r="I114" s="10">
        <f t="shared" si="7"/>
        <v>0</v>
      </c>
      <c r="J114" s="10">
        <f t="shared" si="5"/>
        <v>0</v>
      </c>
      <c r="K114" s="119">
        <f t="shared" si="6"/>
        <v>1142044.2655935613</v>
      </c>
    </row>
    <row r="115" spans="1:11" x14ac:dyDescent="0.25">
      <c r="A115" s="50">
        <f>'A) Base RI'!A114</f>
        <v>5582</v>
      </c>
      <c r="B115" s="33" t="str">
        <f>'A) Base RI'!B114</f>
        <v>Cheseaux-sur-Lausanne</v>
      </c>
      <c r="C115" s="14">
        <f>'A) Base RI'!V114</f>
        <v>4357</v>
      </c>
      <c r="D115" s="10">
        <f t="shared" si="8"/>
        <v>1000</v>
      </c>
      <c r="E115" s="14">
        <f t="shared" si="7"/>
        <v>2000</v>
      </c>
      <c r="F115" s="10">
        <f t="shared" si="7"/>
        <v>1357</v>
      </c>
      <c r="G115" s="14">
        <f t="shared" si="7"/>
        <v>0</v>
      </c>
      <c r="H115" s="42">
        <f t="shared" si="7"/>
        <v>0</v>
      </c>
      <c r="I115" s="10">
        <f t="shared" si="7"/>
        <v>0</v>
      </c>
      <c r="J115" s="10">
        <f t="shared" si="5"/>
        <v>0</v>
      </c>
      <c r="K115" s="119">
        <f t="shared" si="6"/>
        <v>1485349.0945674041</v>
      </c>
    </row>
    <row r="116" spans="1:11" x14ac:dyDescent="0.25">
      <c r="A116" s="50">
        <f>'A) Base RI'!A115</f>
        <v>5583</v>
      </c>
      <c r="B116" s="33" t="str">
        <f>'A) Base RI'!B115</f>
        <v>Crissier</v>
      </c>
      <c r="C116" s="14">
        <f>'A) Base RI'!V115</f>
        <v>8008</v>
      </c>
      <c r="D116" s="10">
        <f t="shared" si="8"/>
        <v>1000</v>
      </c>
      <c r="E116" s="14">
        <f t="shared" si="7"/>
        <v>2000</v>
      </c>
      <c r="F116" s="10">
        <f t="shared" si="7"/>
        <v>2000</v>
      </c>
      <c r="G116" s="14">
        <f t="shared" si="7"/>
        <v>3008</v>
      </c>
      <c r="H116" s="42">
        <f t="shared" si="7"/>
        <v>0</v>
      </c>
      <c r="I116" s="10">
        <f t="shared" si="7"/>
        <v>0</v>
      </c>
      <c r="J116" s="10">
        <f t="shared" si="5"/>
        <v>0</v>
      </c>
      <c r="K116" s="119">
        <f t="shared" si="6"/>
        <v>3585979.4768611668</v>
      </c>
    </row>
    <row r="117" spans="1:11" x14ac:dyDescent="0.25">
      <c r="A117" s="50">
        <f>'A) Base RI'!A116</f>
        <v>5584</v>
      </c>
      <c r="B117" s="33" t="str">
        <f>'A) Base RI'!B116</f>
        <v>Epalinges</v>
      </c>
      <c r="C117" s="14">
        <f>'A) Base RI'!V116</f>
        <v>9335</v>
      </c>
      <c r="D117" s="10">
        <f t="shared" si="8"/>
        <v>1000</v>
      </c>
      <c r="E117" s="14">
        <f t="shared" si="7"/>
        <v>2000</v>
      </c>
      <c r="F117" s="10">
        <f t="shared" si="7"/>
        <v>2000</v>
      </c>
      <c r="G117" s="14">
        <f t="shared" si="7"/>
        <v>4000</v>
      </c>
      <c r="H117" s="42">
        <f t="shared" si="7"/>
        <v>335</v>
      </c>
      <c r="I117" s="10">
        <f t="shared" si="7"/>
        <v>0</v>
      </c>
      <c r="J117" s="10">
        <f t="shared" si="5"/>
        <v>0</v>
      </c>
      <c r="K117" s="119">
        <f t="shared" si="6"/>
        <v>4455306.3380281692</v>
      </c>
    </row>
    <row r="118" spans="1:11" x14ac:dyDescent="0.25">
      <c r="A118" s="50">
        <f>'A) Base RI'!A117</f>
        <v>5585</v>
      </c>
      <c r="B118" s="33" t="str">
        <f>'A) Base RI'!B117</f>
        <v>Jouxtens-Mézery</v>
      </c>
      <c r="C118" s="14">
        <f>'A) Base RI'!V117</f>
        <v>1469</v>
      </c>
      <c r="D118" s="10">
        <f t="shared" si="8"/>
        <v>1000</v>
      </c>
      <c r="E118" s="14">
        <f t="shared" si="7"/>
        <v>469</v>
      </c>
      <c r="F118" s="10">
        <f t="shared" si="7"/>
        <v>0</v>
      </c>
      <c r="G118" s="14">
        <f t="shared" si="7"/>
        <v>0</v>
      </c>
      <c r="H118" s="42">
        <f t="shared" si="7"/>
        <v>0</v>
      </c>
      <c r="I118" s="10">
        <f t="shared" si="7"/>
        <v>0</v>
      </c>
      <c r="J118" s="10">
        <f t="shared" si="5"/>
        <v>0</v>
      </c>
      <c r="K118" s="119">
        <f t="shared" si="6"/>
        <v>285659.25553319918</v>
      </c>
    </row>
    <row r="119" spans="1:11" x14ac:dyDescent="0.25">
      <c r="A119" s="50">
        <f>'A) Base RI'!A118</f>
        <v>5586</v>
      </c>
      <c r="B119" s="33" t="str">
        <f>'A) Base RI'!B118</f>
        <v>Lausanne</v>
      </c>
      <c r="C119" s="14">
        <f>'A) Base RI'!V118</f>
        <v>139624</v>
      </c>
      <c r="D119" s="10">
        <f t="shared" si="8"/>
        <v>1000</v>
      </c>
      <c r="E119" s="14">
        <f t="shared" si="7"/>
        <v>2000</v>
      </c>
      <c r="F119" s="10">
        <f t="shared" si="7"/>
        <v>2000</v>
      </c>
      <c r="G119" s="14">
        <f t="shared" si="7"/>
        <v>4000</v>
      </c>
      <c r="H119" s="42">
        <f t="shared" si="7"/>
        <v>3000</v>
      </c>
      <c r="I119" s="10">
        <f t="shared" si="7"/>
        <v>3000</v>
      </c>
      <c r="J119" s="10">
        <f t="shared" si="5"/>
        <v>124624</v>
      </c>
      <c r="K119" s="119">
        <f t="shared" si="6"/>
        <v>138932451.10663983</v>
      </c>
    </row>
    <row r="120" spans="1:11" x14ac:dyDescent="0.25">
      <c r="A120" s="50">
        <f>'A) Base RI'!A119</f>
        <v>5587</v>
      </c>
      <c r="B120" s="33" t="str">
        <f>'A) Base RI'!B119</f>
        <v>Le Mont-sur-Lausanne</v>
      </c>
      <c r="C120" s="14">
        <f>'A) Base RI'!V119</f>
        <v>8093</v>
      </c>
      <c r="D120" s="10">
        <f t="shared" si="8"/>
        <v>1000</v>
      </c>
      <c r="E120" s="14">
        <f t="shared" si="7"/>
        <v>2000</v>
      </c>
      <c r="F120" s="10">
        <f t="shared" si="7"/>
        <v>2000</v>
      </c>
      <c r="G120" s="14">
        <f t="shared" si="7"/>
        <v>3093</v>
      </c>
      <c r="H120" s="42">
        <f t="shared" si="7"/>
        <v>0</v>
      </c>
      <c r="I120" s="10">
        <f t="shared" si="7"/>
        <v>0</v>
      </c>
      <c r="J120" s="10">
        <f t="shared" si="5"/>
        <v>0</v>
      </c>
      <c r="K120" s="119">
        <f t="shared" si="6"/>
        <v>3636363.7826961768</v>
      </c>
    </row>
    <row r="121" spans="1:11" x14ac:dyDescent="0.25">
      <c r="A121" s="50">
        <f>'A) Base RI'!A120</f>
        <v>5588</v>
      </c>
      <c r="B121" s="33" t="str">
        <f>'A) Base RI'!B120</f>
        <v>Paudex</v>
      </c>
      <c r="C121" s="14">
        <f>'A) Base RI'!V120</f>
        <v>1480</v>
      </c>
      <c r="D121" s="10">
        <f t="shared" si="8"/>
        <v>1000</v>
      </c>
      <c r="E121" s="14">
        <f t="shared" si="7"/>
        <v>480</v>
      </c>
      <c r="F121" s="10">
        <f t="shared" si="7"/>
        <v>0</v>
      </c>
      <c r="G121" s="14">
        <f t="shared" si="7"/>
        <v>0</v>
      </c>
      <c r="H121" s="42">
        <f t="shared" si="7"/>
        <v>0</v>
      </c>
      <c r="I121" s="10">
        <f t="shared" si="7"/>
        <v>0</v>
      </c>
      <c r="J121" s="10">
        <f t="shared" si="5"/>
        <v>0</v>
      </c>
      <c r="K121" s="119">
        <f t="shared" si="6"/>
        <v>289462.77665995969</v>
      </c>
    </row>
    <row r="122" spans="1:11" x14ac:dyDescent="0.25">
      <c r="A122" s="50">
        <f>'A) Base RI'!A121</f>
        <v>5589</v>
      </c>
      <c r="B122" s="33" t="str">
        <f>'A) Base RI'!B121</f>
        <v>Prilly</v>
      </c>
      <c r="C122" s="14">
        <f>'A) Base RI'!V121</f>
        <v>12105</v>
      </c>
      <c r="D122" s="10">
        <f t="shared" si="8"/>
        <v>1000</v>
      </c>
      <c r="E122" s="14">
        <f t="shared" si="7"/>
        <v>2000</v>
      </c>
      <c r="F122" s="10">
        <f t="shared" si="7"/>
        <v>2000</v>
      </c>
      <c r="G122" s="14">
        <f t="shared" si="7"/>
        <v>4000</v>
      </c>
      <c r="H122" s="42">
        <f t="shared" si="7"/>
        <v>3000</v>
      </c>
      <c r="I122" s="10">
        <f t="shared" si="7"/>
        <v>105</v>
      </c>
      <c r="J122" s="10">
        <f t="shared" si="5"/>
        <v>0</v>
      </c>
      <c r="K122" s="119">
        <f t="shared" si="6"/>
        <v>6796941.6498993961</v>
      </c>
    </row>
    <row r="123" spans="1:11" x14ac:dyDescent="0.25">
      <c r="A123" s="50">
        <f>'A) Base RI'!A122</f>
        <v>5590</v>
      </c>
      <c r="B123" s="33" t="str">
        <f>'A) Base RI'!B122</f>
        <v>Pully</v>
      </c>
      <c r="C123" s="14">
        <f>'A) Base RI'!V122</f>
        <v>18194</v>
      </c>
      <c r="D123" s="10">
        <f t="shared" si="8"/>
        <v>1000</v>
      </c>
      <c r="E123" s="14">
        <f t="shared" si="7"/>
        <v>2000</v>
      </c>
      <c r="F123" s="10">
        <f t="shared" si="7"/>
        <v>2000</v>
      </c>
      <c r="G123" s="14">
        <f t="shared" si="7"/>
        <v>4000</v>
      </c>
      <c r="H123" s="42">
        <f t="shared" si="7"/>
        <v>3000</v>
      </c>
      <c r="I123" s="10">
        <f t="shared" si="7"/>
        <v>3000</v>
      </c>
      <c r="J123" s="10">
        <f t="shared" si="5"/>
        <v>3194</v>
      </c>
      <c r="K123" s="119">
        <f t="shared" si="6"/>
        <v>12970204.627766598</v>
      </c>
    </row>
    <row r="124" spans="1:11" x14ac:dyDescent="0.25">
      <c r="A124" s="50">
        <f>'A) Base RI'!A123</f>
        <v>5591</v>
      </c>
      <c r="B124" s="33" t="str">
        <f>'A) Base RI'!B123</f>
        <v>Renens</v>
      </c>
      <c r="C124" s="14">
        <f>'A) Base RI'!V123</f>
        <v>21114</v>
      </c>
      <c r="D124" s="10">
        <f t="shared" si="8"/>
        <v>1000</v>
      </c>
      <c r="E124" s="14">
        <f t="shared" si="7"/>
        <v>2000</v>
      </c>
      <c r="F124" s="10">
        <f t="shared" si="7"/>
        <v>2000</v>
      </c>
      <c r="G124" s="14">
        <f t="shared" si="7"/>
        <v>4000</v>
      </c>
      <c r="H124" s="42">
        <f t="shared" si="7"/>
        <v>3000</v>
      </c>
      <c r="I124" s="10">
        <f t="shared" si="7"/>
        <v>3000</v>
      </c>
      <c r="J124" s="10">
        <f t="shared" si="5"/>
        <v>6114</v>
      </c>
      <c r="K124" s="119">
        <f t="shared" si="6"/>
        <v>15999190.543259557</v>
      </c>
    </row>
    <row r="125" spans="1:11" x14ac:dyDescent="0.25">
      <c r="A125" s="50">
        <f>'A) Base RI'!A124</f>
        <v>5592</v>
      </c>
      <c r="B125" s="33" t="str">
        <f>'A) Base RI'!B124</f>
        <v>Romanel-sur-Lausanne</v>
      </c>
      <c r="C125" s="14">
        <f>'A) Base RI'!V124</f>
        <v>3300</v>
      </c>
      <c r="D125" s="10">
        <f t="shared" si="8"/>
        <v>1000</v>
      </c>
      <c r="E125" s="14">
        <f t="shared" si="7"/>
        <v>2000</v>
      </c>
      <c r="F125" s="10">
        <f t="shared" si="7"/>
        <v>300</v>
      </c>
      <c r="G125" s="14">
        <f t="shared" si="7"/>
        <v>0</v>
      </c>
      <c r="H125" s="42">
        <f t="shared" si="7"/>
        <v>0</v>
      </c>
      <c r="I125" s="10">
        <f t="shared" si="7"/>
        <v>0</v>
      </c>
      <c r="J125" s="10">
        <f t="shared" si="5"/>
        <v>0</v>
      </c>
      <c r="K125" s="119">
        <f t="shared" si="6"/>
        <v>963229.37625754508</v>
      </c>
    </row>
    <row r="126" spans="1:11" x14ac:dyDescent="0.25">
      <c r="A126" s="50">
        <f>'A) Base RI'!A125</f>
        <v>5601</v>
      </c>
      <c r="B126" s="33" t="str">
        <f>'A) Base RI'!B125</f>
        <v>Chexbres</v>
      </c>
      <c r="C126" s="14">
        <f>'A) Base RI'!V125</f>
        <v>2250</v>
      </c>
      <c r="D126" s="10">
        <f t="shared" si="8"/>
        <v>1000</v>
      </c>
      <c r="E126" s="14">
        <f t="shared" si="7"/>
        <v>1250</v>
      </c>
      <c r="F126" s="10">
        <f t="shared" si="7"/>
        <v>0</v>
      </c>
      <c r="G126" s="14">
        <f t="shared" si="7"/>
        <v>0</v>
      </c>
      <c r="H126" s="42">
        <f t="shared" si="7"/>
        <v>0</v>
      </c>
      <c r="I126" s="10">
        <f t="shared" si="7"/>
        <v>0</v>
      </c>
      <c r="J126" s="10">
        <f t="shared" si="5"/>
        <v>0</v>
      </c>
      <c r="K126" s="119">
        <f t="shared" si="6"/>
        <v>555709.25553319906</v>
      </c>
    </row>
    <row r="127" spans="1:11" x14ac:dyDescent="0.25">
      <c r="A127" s="50">
        <f>'A) Base RI'!A126</f>
        <v>5604</v>
      </c>
      <c r="B127" s="33" t="str">
        <f>'A) Base RI'!B126</f>
        <v>Forel (Lavaux)</v>
      </c>
      <c r="C127" s="14">
        <f>'A) Base RI'!V126</f>
        <v>2084</v>
      </c>
      <c r="D127" s="10">
        <f t="shared" si="8"/>
        <v>1000</v>
      </c>
      <c r="E127" s="14">
        <f t="shared" si="7"/>
        <v>1084</v>
      </c>
      <c r="F127" s="10">
        <f t="shared" si="7"/>
        <v>0</v>
      </c>
      <c r="G127" s="14">
        <f t="shared" si="7"/>
        <v>0</v>
      </c>
      <c r="H127" s="42">
        <f t="shared" si="7"/>
        <v>0</v>
      </c>
      <c r="I127" s="10">
        <f t="shared" si="7"/>
        <v>0</v>
      </c>
      <c r="J127" s="10">
        <f t="shared" si="5"/>
        <v>0</v>
      </c>
      <c r="K127" s="119">
        <f t="shared" si="6"/>
        <v>498310.66398390336</v>
      </c>
    </row>
    <row r="128" spans="1:11" x14ac:dyDescent="0.25">
      <c r="A128" s="50">
        <f>'A) Base RI'!A127</f>
        <v>5606</v>
      </c>
      <c r="B128" s="33" t="str">
        <f>'A) Base RI'!B127</f>
        <v>Lutry</v>
      </c>
      <c r="C128" s="14">
        <f>'A) Base RI'!V127</f>
        <v>10001</v>
      </c>
      <c r="D128" s="10">
        <f t="shared" si="8"/>
        <v>1000</v>
      </c>
      <c r="E128" s="14">
        <f t="shared" si="7"/>
        <v>2000</v>
      </c>
      <c r="F128" s="10">
        <f t="shared" si="7"/>
        <v>2000</v>
      </c>
      <c r="G128" s="14">
        <f t="shared" si="7"/>
        <v>4000</v>
      </c>
      <c r="H128" s="42">
        <f t="shared" si="7"/>
        <v>1001</v>
      </c>
      <c r="I128" s="10">
        <f t="shared" si="7"/>
        <v>0</v>
      </c>
      <c r="J128" s="10">
        <f t="shared" si="5"/>
        <v>0</v>
      </c>
      <c r="K128" s="119">
        <f t="shared" si="6"/>
        <v>5014572.1327967802</v>
      </c>
    </row>
    <row r="129" spans="1:11" x14ac:dyDescent="0.25">
      <c r="A129" s="50">
        <f>'A) Base RI'!A128</f>
        <v>5607</v>
      </c>
      <c r="B129" s="33" t="str">
        <f>'A) Base RI'!B128</f>
        <v>Puidoux</v>
      </c>
      <c r="C129" s="14">
        <f>'A) Base RI'!V128</f>
        <v>2904</v>
      </c>
      <c r="D129" s="10">
        <f t="shared" si="8"/>
        <v>1000</v>
      </c>
      <c r="E129" s="14">
        <f t="shared" si="7"/>
        <v>1904</v>
      </c>
      <c r="F129" s="10">
        <f t="shared" si="7"/>
        <v>0</v>
      </c>
      <c r="G129" s="14">
        <f t="shared" si="7"/>
        <v>0</v>
      </c>
      <c r="H129" s="42">
        <f t="shared" si="7"/>
        <v>0</v>
      </c>
      <c r="I129" s="10">
        <f t="shared" si="7"/>
        <v>0</v>
      </c>
      <c r="J129" s="10">
        <f t="shared" si="5"/>
        <v>0</v>
      </c>
      <c r="K129" s="119">
        <f t="shared" si="6"/>
        <v>781845.87525150902</v>
      </c>
    </row>
    <row r="130" spans="1:11" x14ac:dyDescent="0.25">
      <c r="A130" s="50">
        <f>'A) Base RI'!A129</f>
        <v>5609</v>
      </c>
      <c r="B130" s="33" t="str">
        <f>'A) Base RI'!B129</f>
        <v>Rivaz</v>
      </c>
      <c r="C130" s="14">
        <f>'A) Base RI'!V129</f>
        <v>351</v>
      </c>
      <c r="D130" s="10">
        <f t="shared" si="8"/>
        <v>351</v>
      </c>
      <c r="E130" s="14">
        <f t="shared" si="7"/>
        <v>0</v>
      </c>
      <c r="F130" s="10">
        <f t="shared" si="7"/>
        <v>0</v>
      </c>
      <c r="G130" s="14">
        <f t="shared" si="7"/>
        <v>0</v>
      </c>
      <c r="H130" s="42">
        <f t="shared" si="7"/>
        <v>0</v>
      </c>
      <c r="I130" s="10">
        <f t="shared" si="7"/>
        <v>0</v>
      </c>
      <c r="J130" s="10">
        <f t="shared" si="5"/>
        <v>0</v>
      </c>
      <c r="K130" s="119">
        <f t="shared" si="6"/>
        <v>43345.321931589533</v>
      </c>
    </row>
    <row r="131" spans="1:11" x14ac:dyDescent="0.25">
      <c r="A131" s="50">
        <f>'A) Base RI'!A130</f>
        <v>5610</v>
      </c>
      <c r="B131" s="33" t="str">
        <f>'A) Base RI'!B130</f>
        <v>St-Saphorin (Lavaux)</v>
      </c>
      <c r="C131" s="14">
        <f>'A) Base RI'!V130</f>
        <v>389</v>
      </c>
      <c r="D131" s="10">
        <f t="shared" si="8"/>
        <v>389</v>
      </c>
      <c r="E131" s="14">
        <f t="shared" si="7"/>
        <v>0</v>
      </c>
      <c r="F131" s="10">
        <f t="shared" si="7"/>
        <v>0</v>
      </c>
      <c r="G131" s="14">
        <f t="shared" si="7"/>
        <v>0</v>
      </c>
      <c r="H131" s="42">
        <f t="shared" si="7"/>
        <v>0</v>
      </c>
      <c r="I131" s="10">
        <f t="shared" si="7"/>
        <v>0</v>
      </c>
      <c r="J131" s="10">
        <f t="shared" si="5"/>
        <v>0</v>
      </c>
      <c r="K131" s="119">
        <f t="shared" si="6"/>
        <v>48037.977867203212</v>
      </c>
    </row>
    <row r="132" spans="1:11" x14ac:dyDescent="0.25">
      <c r="A132" s="50">
        <f>'A) Base RI'!A131</f>
        <v>5611</v>
      </c>
      <c r="B132" s="33" t="str">
        <f>'A) Base RI'!B131</f>
        <v>Savigny</v>
      </c>
      <c r="C132" s="14">
        <f>'A) Base RI'!V131</f>
        <v>3352</v>
      </c>
      <c r="D132" s="10">
        <f t="shared" si="8"/>
        <v>1000</v>
      </c>
      <c r="E132" s="14">
        <f t="shared" si="7"/>
        <v>2000</v>
      </c>
      <c r="F132" s="10">
        <f t="shared" si="7"/>
        <v>352</v>
      </c>
      <c r="G132" s="14">
        <f t="shared" si="7"/>
        <v>0</v>
      </c>
      <c r="H132" s="42">
        <f t="shared" si="7"/>
        <v>0</v>
      </c>
      <c r="I132" s="10">
        <f t="shared" si="7"/>
        <v>0</v>
      </c>
      <c r="J132" s="10">
        <f t="shared" si="5"/>
        <v>0</v>
      </c>
      <c r="K132" s="119">
        <f t="shared" si="6"/>
        <v>988915.49295774638</v>
      </c>
    </row>
    <row r="133" spans="1:11" x14ac:dyDescent="0.25">
      <c r="A133" s="50">
        <f>'A) Base RI'!A132</f>
        <v>5613</v>
      </c>
      <c r="B133" s="33" t="str">
        <f>'A) Base RI'!B132</f>
        <v>Bourg-en-Lavaux</v>
      </c>
      <c r="C133" s="14">
        <f>'A) Base RI'!V132</f>
        <v>5288</v>
      </c>
      <c r="D133" s="10">
        <f t="shared" si="8"/>
        <v>1000</v>
      </c>
      <c r="E133" s="14">
        <f t="shared" si="7"/>
        <v>2000</v>
      </c>
      <c r="F133" s="10">
        <f t="shared" si="7"/>
        <v>2000</v>
      </c>
      <c r="G133" s="14">
        <f t="shared" si="7"/>
        <v>288</v>
      </c>
      <c r="H133" s="42">
        <f t="shared" si="7"/>
        <v>0</v>
      </c>
      <c r="I133" s="10">
        <f t="shared" si="7"/>
        <v>0</v>
      </c>
      <c r="J133" s="10">
        <f t="shared" si="5"/>
        <v>0</v>
      </c>
      <c r="K133" s="119">
        <f t="shared" si="6"/>
        <v>1973681.6901408448</v>
      </c>
    </row>
    <row r="134" spans="1:11" x14ac:dyDescent="0.25">
      <c r="A134" s="50">
        <f>'A) Base RI'!A133</f>
        <v>5621</v>
      </c>
      <c r="B134" s="33" t="str">
        <f>'A) Base RI'!B133</f>
        <v>Aclens</v>
      </c>
      <c r="C134" s="14">
        <f>'A) Base RI'!V133</f>
        <v>545</v>
      </c>
      <c r="D134" s="10">
        <f t="shared" si="8"/>
        <v>545</v>
      </c>
      <c r="E134" s="14">
        <f t="shared" si="7"/>
        <v>0</v>
      </c>
      <c r="F134" s="10">
        <f t="shared" si="7"/>
        <v>0</v>
      </c>
      <c r="G134" s="14">
        <f t="shared" si="7"/>
        <v>0</v>
      </c>
      <c r="H134" s="42">
        <f t="shared" si="7"/>
        <v>0</v>
      </c>
      <c r="I134" s="10">
        <f t="shared" si="7"/>
        <v>0</v>
      </c>
      <c r="J134" s="10">
        <f t="shared" si="5"/>
        <v>0</v>
      </c>
      <c r="K134" s="119">
        <f t="shared" si="6"/>
        <v>67302.565392354125</v>
      </c>
    </row>
    <row r="135" spans="1:11" x14ac:dyDescent="0.25">
      <c r="A135" s="50">
        <f>'A) Base RI'!A134</f>
        <v>5622</v>
      </c>
      <c r="B135" s="33" t="str">
        <f>'A) Base RI'!B134</f>
        <v>Bremblens</v>
      </c>
      <c r="C135" s="14">
        <f>'A) Base RI'!V134</f>
        <v>547</v>
      </c>
      <c r="D135" s="10">
        <f t="shared" si="8"/>
        <v>547</v>
      </c>
      <c r="E135" s="14">
        <f t="shared" si="7"/>
        <v>0</v>
      </c>
      <c r="F135" s="10">
        <f t="shared" si="7"/>
        <v>0</v>
      </c>
      <c r="G135" s="14">
        <f t="shared" si="7"/>
        <v>0</v>
      </c>
      <c r="H135" s="42">
        <f t="shared" si="7"/>
        <v>0</v>
      </c>
      <c r="I135" s="10">
        <f t="shared" si="7"/>
        <v>0</v>
      </c>
      <c r="J135" s="10">
        <f t="shared" si="5"/>
        <v>0</v>
      </c>
      <c r="K135" s="119">
        <f t="shared" si="6"/>
        <v>67549.54728370221</v>
      </c>
    </row>
    <row r="136" spans="1:11" x14ac:dyDescent="0.25">
      <c r="A136" s="50">
        <f>'A) Base RI'!A135</f>
        <v>5623</v>
      </c>
      <c r="B136" s="33" t="str">
        <f>'A) Base RI'!B135</f>
        <v>Buchillon</v>
      </c>
      <c r="C136" s="14">
        <f>'A) Base RI'!V135</f>
        <v>638</v>
      </c>
      <c r="D136" s="10">
        <f t="shared" si="8"/>
        <v>638</v>
      </c>
      <c r="E136" s="14">
        <f t="shared" si="7"/>
        <v>0</v>
      </c>
      <c r="F136" s="10">
        <f t="shared" si="7"/>
        <v>0</v>
      </c>
      <c r="G136" s="14">
        <f t="shared" si="7"/>
        <v>0</v>
      </c>
      <c r="H136" s="42">
        <f t="shared" si="7"/>
        <v>0</v>
      </c>
      <c r="I136" s="10">
        <f t="shared" si="7"/>
        <v>0</v>
      </c>
      <c r="J136" s="10">
        <f t="shared" si="5"/>
        <v>0</v>
      </c>
      <c r="K136" s="119">
        <f t="shared" si="6"/>
        <v>78787.223340040233</v>
      </c>
    </row>
    <row r="137" spans="1:11" x14ac:dyDescent="0.25">
      <c r="A137" s="50">
        <f>'A) Base RI'!A136</f>
        <v>5624</v>
      </c>
      <c r="B137" s="33" t="str">
        <f>'A) Base RI'!B136</f>
        <v>Bussigny</v>
      </c>
      <c r="C137" s="14">
        <f>'A) Base RI'!V136</f>
        <v>8677</v>
      </c>
      <c r="D137" s="10">
        <f t="shared" si="8"/>
        <v>1000</v>
      </c>
      <c r="E137" s="14">
        <f t="shared" si="7"/>
        <v>2000</v>
      </c>
      <c r="F137" s="10">
        <f t="shared" si="7"/>
        <v>2000</v>
      </c>
      <c r="G137" s="14">
        <f t="shared" si="7"/>
        <v>3677</v>
      </c>
      <c r="H137" s="42">
        <f t="shared" si="7"/>
        <v>0</v>
      </c>
      <c r="I137" s="10">
        <f t="shared" si="7"/>
        <v>0</v>
      </c>
      <c r="J137" s="10">
        <f t="shared" ref="J137:J200" si="9">IF(C137&gt;$J$4,C137-$J$4,0)</f>
        <v>0</v>
      </c>
      <c r="K137" s="119">
        <f t="shared" ref="K137:K200" si="10">(D137*D$7)+(E137*E$7)+(F137*F$7)+(G137*G$7)+(H137*H$7)+(I137*I$7)+(J137*J$7)</f>
        <v>3982533.6016096575</v>
      </c>
    </row>
    <row r="138" spans="1:11" x14ac:dyDescent="0.25">
      <c r="A138" s="50">
        <f>'A) Base RI'!A137</f>
        <v>5625</v>
      </c>
      <c r="B138" s="33" t="str">
        <f>'A) Base RI'!B137</f>
        <v>Bussy-Chardonney</v>
      </c>
      <c r="C138" s="14">
        <f>'A) Base RI'!V137</f>
        <v>371</v>
      </c>
      <c r="D138" s="10">
        <f t="shared" si="8"/>
        <v>371</v>
      </c>
      <c r="E138" s="14">
        <f t="shared" si="7"/>
        <v>0</v>
      </c>
      <c r="F138" s="10">
        <f t="shared" si="7"/>
        <v>0</v>
      </c>
      <c r="G138" s="14">
        <f t="shared" si="7"/>
        <v>0</v>
      </c>
      <c r="H138" s="42">
        <f t="shared" si="7"/>
        <v>0</v>
      </c>
      <c r="I138" s="10">
        <f t="shared" si="7"/>
        <v>0</v>
      </c>
      <c r="J138" s="10">
        <f t="shared" si="9"/>
        <v>0</v>
      </c>
      <c r="K138" s="119">
        <f t="shared" si="10"/>
        <v>45815.140845070418</v>
      </c>
    </row>
    <row r="139" spans="1:11" x14ac:dyDescent="0.25">
      <c r="A139" s="50">
        <f>'A) Base RI'!A138</f>
        <v>5627</v>
      </c>
      <c r="B139" s="33" t="str">
        <f>'A) Base RI'!B138</f>
        <v>Chavannes-près-Renens</v>
      </c>
      <c r="C139" s="14">
        <f>'A) Base RI'!V138</f>
        <v>7653</v>
      </c>
      <c r="D139" s="10">
        <f t="shared" si="8"/>
        <v>1000</v>
      </c>
      <c r="E139" s="14">
        <f t="shared" si="7"/>
        <v>2000</v>
      </c>
      <c r="F139" s="10">
        <f t="shared" si="7"/>
        <v>2000</v>
      </c>
      <c r="G139" s="14">
        <f t="shared" si="7"/>
        <v>2653</v>
      </c>
      <c r="H139" s="42">
        <f t="shared" si="7"/>
        <v>0</v>
      </c>
      <c r="I139" s="10">
        <f t="shared" si="7"/>
        <v>0</v>
      </c>
      <c r="J139" s="10">
        <f t="shared" si="9"/>
        <v>0</v>
      </c>
      <c r="K139" s="119">
        <f t="shared" si="10"/>
        <v>3375550.9054325954</v>
      </c>
    </row>
    <row r="140" spans="1:11" x14ac:dyDescent="0.25">
      <c r="A140" s="50">
        <f>'A) Base RI'!A139</f>
        <v>5628</v>
      </c>
      <c r="B140" s="33" t="str">
        <f>'A) Base RI'!B139</f>
        <v>Chigny</v>
      </c>
      <c r="C140" s="14">
        <f>'A) Base RI'!V139</f>
        <v>338</v>
      </c>
      <c r="D140" s="10">
        <f t="shared" si="8"/>
        <v>338</v>
      </c>
      <c r="E140" s="14">
        <f t="shared" si="7"/>
        <v>0</v>
      </c>
      <c r="F140" s="10">
        <f t="shared" si="7"/>
        <v>0</v>
      </c>
      <c r="G140" s="14">
        <f t="shared" si="7"/>
        <v>0</v>
      </c>
      <c r="H140" s="42">
        <f t="shared" si="7"/>
        <v>0</v>
      </c>
      <c r="I140" s="10">
        <f t="shared" si="7"/>
        <v>0</v>
      </c>
      <c r="J140" s="10">
        <f t="shared" si="9"/>
        <v>0</v>
      </c>
      <c r="K140" s="119">
        <f t="shared" si="10"/>
        <v>41739.939637826959</v>
      </c>
    </row>
    <row r="141" spans="1:11" x14ac:dyDescent="0.25">
      <c r="A141" s="50">
        <f>'A) Base RI'!A140</f>
        <v>5629</v>
      </c>
      <c r="B141" s="33" t="str">
        <f>'A) Base RI'!B140</f>
        <v>Clarmont</v>
      </c>
      <c r="C141" s="14">
        <f>'A) Base RI'!V140</f>
        <v>189</v>
      </c>
      <c r="D141" s="10">
        <f t="shared" si="8"/>
        <v>189</v>
      </c>
      <c r="E141" s="14">
        <f t="shared" si="7"/>
        <v>0</v>
      </c>
      <c r="F141" s="10">
        <f t="shared" si="7"/>
        <v>0</v>
      </c>
      <c r="G141" s="14">
        <f t="shared" si="7"/>
        <v>0</v>
      </c>
      <c r="H141" s="42">
        <f t="shared" si="7"/>
        <v>0</v>
      </c>
      <c r="I141" s="10">
        <f t="shared" si="7"/>
        <v>0</v>
      </c>
      <c r="J141" s="10">
        <f t="shared" si="9"/>
        <v>0</v>
      </c>
      <c r="K141" s="119">
        <f t="shared" si="10"/>
        <v>23339.788732394365</v>
      </c>
    </row>
    <row r="142" spans="1:11" x14ac:dyDescent="0.25">
      <c r="A142" s="50">
        <f>'A) Base RI'!A141</f>
        <v>5631</v>
      </c>
      <c r="B142" s="33" t="str">
        <f>'A) Base RI'!B141</f>
        <v>Denens</v>
      </c>
      <c r="C142" s="14">
        <f>'A) Base RI'!V141</f>
        <v>774</v>
      </c>
      <c r="D142" s="10">
        <f t="shared" si="8"/>
        <v>774</v>
      </c>
      <c r="E142" s="14">
        <f t="shared" si="7"/>
        <v>0</v>
      </c>
      <c r="F142" s="10">
        <f t="shared" si="7"/>
        <v>0</v>
      </c>
      <c r="G142" s="14">
        <f t="shared" si="7"/>
        <v>0</v>
      </c>
      <c r="H142" s="42">
        <f t="shared" si="7"/>
        <v>0</v>
      </c>
      <c r="I142" s="10">
        <f t="shared" si="7"/>
        <v>0</v>
      </c>
      <c r="J142" s="10">
        <f t="shared" si="9"/>
        <v>0</v>
      </c>
      <c r="K142" s="119">
        <f t="shared" si="10"/>
        <v>95581.991951710253</v>
      </c>
    </row>
    <row r="143" spans="1:11" x14ac:dyDescent="0.25">
      <c r="A143" s="50">
        <f>'A) Base RI'!A142</f>
        <v>5632</v>
      </c>
      <c r="B143" s="33" t="str">
        <f>'A) Base RI'!B142</f>
        <v>Denges</v>
      </c>
      <c r="C143" s="14">
        <f>'A) Base RI'!V142</f>
        <v>1614</v>
      </c>
      <c r="D143" s="10">
        <f t="shared" si="8"/>
        <v>1000</v>
      </c>
      <c r="E143" s="14">
        <f t="shared" si="7"/>
        <v>614</v>
      </c>
      <c r="F143" s="10">
        <f t="shared" si="7"/>
        <v>0</v>
      </c>
      <c r="G143" s="14">
        <f t="shared" si="7"/>
        <v>0</v>
      </c>
      <c r="H143" s="42">
        <f t="shared" si="7"/>
        <v>0</v>
      </c>
      <c r="I143" s="10">
        <f t="shared" si="7"/>
        <v>0</v>
      </c>
      <c r="J143" s="10">
        <f t="shared" si="9"/>
        <v>0</v>
      </c>
      <c r="K143" s="119">
        <f t="shared" si="10"/>
        <v>335796.57947686117</v>
      </c>
    </row>
    <row r="144" spans="1:11" x14ac:dyDescent="0.25">
      <c r="A144" s="50">
        <f>'A) Base RI'!A143</f>
        <v>5633</v>
      </c>
      <c r="B144" s="33" t="str">
        <f>'A) Base RI'!B143</f>
        <v>Echandens</v>
      </c>
      <c r="C144" s="14">
        <f>'A) Base RI'!V143</f>
        <v>2757</v>
      </c>
      <c r="D144" s="10">
        <f t="shared" si="8"/>
        <v>1000</v>
      </c>
      <c r="E144" s="14">
        <f t="shared" si="7"/>
        <v>1757</v>
      </c>
      <c r="F144" s="10">
        <f t="shared" si="7"/>
        <v>0</v>
      </c>
      <c r="G144" s="14">
        <f t="shared" si="7"/>
        <v>0</v>
      </c>
      <c r="H144" s="42">
        <f t="shared" si="7"/>
        <v>0</v>
      </c>
      <c r="I144" s="10">
        <f t="shared" si="7"/>
        <v>0</v>
      </c>
      <c r="J144" s="10">
        <f t="shared" si="9"/>
        <v>0</v>
      </c>
      <c r="K144" s="119">
        <f t="shared" si="10"/>
        <v>731017.00201207236</v>
      </c>
    </row>
    <row r="145" spans="1:11" x14ac:dyDescent="0.25">
      <c r="A145" s="50">
        <f>'A) Base RI'!A144</f>
        <v>5634</v>
      </c>
      <c r="B145" s="33" t="str">
        <f>'A) Base RI'!B144</f>
        <v>Echichens</v>
      </c>
      <c r="C145" s="14">
        <f>'A) Base RI'!V144</f>
        <v>2712</v>
      </c>
      <c r="D145" s="10">
        <f t="shared" si="8"/>
        <v>1000</v>
      </c>
      <c r="E145" s="14">
        <f t="shared" si="7"/>
        <v>1712</v>
      </c>
      <c r="F145" s="10">
        <f t="shared" si="7"/>
        <v>0</v>
      </c>
      <c r="G145" s="14">
        <f t="shared" si="7"/>
        <v>0</v>
      </c>
      <c r="H145" s="42">
        <f t="shared" si="7"/>
        <v>0</v>
      </c>
      <c r="I145" s="10">
        <f t="shared" si="7"/>
        <v>0</v>
      </c>
      <c r="J145" s="10">
        <f t="shared" si="9"/>
        <v>0</v>
      </c>
      <c r="K145" s="119">
        <f t="shared" si="10"/>
        <v>715457.14285714272</v>
      </c>
    </row>
    <row r="146" spans="1:11" x14ac:dyDescent="0.25">
      <c r="A146" s="50">
        <f>'A) Base RI'!A145</f>
        <v>5635</v>
      </c>
      <c r="B146" s="33" t="str">
        <f>'A) Base RI'!B145</f>
        <v>Ecublens</v>
      </c>
      <c r="C146" s="14">
        <f>'A) Base RI'!V145</f>
        <v>12560</v>
      </c>
      <c r="D146" s="10">
        <f t="shared" si="8"/>
        <v>1000</v>
      </c>
      <c r="E146" s="14">
        <f t="shared" si="7"/>
        <v>2000</v>
      </c>
      <c r="F146" s="10">
        <f t="shared" si="7"/>
        <v>2000</v>
      </c>
      <c r="G146" s="14">
        <f t="shared" si="7"/>
        <v>4000</v>
      </c>
      <c r="H146" s="42">
        <f t="shared" si="7"/>
        <v>3000</v>
      </c>
      <c r="I146" s="10">
        <f t="shared" si="7"/>
        <v>560</v>
      </c>
      <c r="J146" s="10">
        <f t="shared" si="9"/>
        <v>0</v>
      </c>
      <c r="K146" s="119">
        <f t="shared" si="10"/>
        <v>7246448.6921529174</v>
      </c>
    </row>
    <row r="147" spans="1:11" x14ac:dyDescent="0.25">
      <c r="A147" s="50">
        <f>'A) Base RI'!A146</f>
        <v>5636</v>
      </c>
      <c r="B147" s="33" t="str">
        <f>'A) Base RI'!B146</f>
        <v>Etoy</v>
      </c>
      <c r="C147" s="14">
        <f>'A) Base RI'!V146</f>
        <v>2908</v>
      </c>
      <c r="D147" s="10">
        <f t="shared" si="8"/>
        <v>1000</v>
      </c>
      <c r="E147" s="14">
        <f t="shared" si="7"/>
        <v>1908</v>
      </c>
      <c r="F147" s="10">
        <f t="shared" si="7"/>
        <v>0</v>
      </c>
      <c r="G147" s="14">
        <f t="shared" si="7"/>
        <v>0</v>
      </c>
      <c r="H147" s="42">
        <f t="shared" si="7"/>
        <v>0</v>
      </c>
      <c r="I147" s="10">
        <f t="shared" si="7"/>
        <v>0</v>
      </c>
      <c r="J147" s="10">
        <f t="shared" si="9"/>
        <v>0</v>
      </c>
      <c r="K147" s="119">
        <f t="shared" si="10"/>
        <v>783228.97384305834</v>
      </c>
    </row>
    <row r="148" spans="1:11" x14ac:dyDescent="0.25">
      <c r="A148" s="50">
        <f>'A) Base RI'!A147</f>
        <v>5637</v>
      </c>
      <c r="B148" s="33" t="str">
        <f>'A) Base RI'!B147</f>
        <v>Lavigny</v>
      </c>
      <c r="C148" s="14">
        <f>'A) Base RI'!V147</f>
        <v>1007</v>
      </c>
      <c r="D148" s="10">
        <f t="shared" si="8"/>
        <v>1000</v>
      </c>
      <c r="E148" s="14">
        <f t="shared" si="7"/>
        <v>7</v>
      </c>
      <c r="F148" s="10">
        <f t="shared" si="7"/>
        <v>0</v>
      </c>
      <c r="G148" s="14">
        <f t="shared" si="7"/>
        <v>0</v>
      </c>
      <c r="H148" s="42">
        <f t="shared" si="7"/>
        <v>0</v>
      </c>
      <c r="I148" s="10">
        <f t="shared" si="7"/>
        <v>0</v>
      </c>
      <c r="J148" s="10">
        <f t="shared" si="9"/>
        <v>0</v>
      </c>
      <c r="K148" s="119">
        <f t="shared" si="10"/>
        <v>125911.36820925552</v>
      </c>
    </row>
    <row r="149" spans="1:11" x14ac:dyDescent="0.25">
      <c r="A149" s="50">
        <f>'A) Base RI'!A148</f>
        <v>5638</v>
      </c>
      <c r="B149" s="33" t="str">
        <f>'A) Base RI'!B148</f>
        <v>Lonay</v>
      </c>
      <c r="C149" s="14">
        <f>'A) Base RI'!V148</f>
        <v>2492</v>
      </c>
      <c r="D149" s="10">
        <f t="shared" si="8"/>
        <v>1000</v>
      </c>
      <c r="E149" s="14">
        <f t="shared" si="7"/>
        <v>1492</v>
      </c>
      <c r="F149" s="10">
        <f t="shared" si="7"/>
        <v>0</v>
      </c>
      <c r="G149" s="14">
        <f t="shared" si="7"/>
        <v>0</v>
      </c>
      <c r="H149" s="42">
        <f t="shared" si="7"/>
        <v>0</v>
      </c>
      <c r="I149" s="10">
        <f t="shared" si="7"/>
        <v>0</v>
      </c>
      <c r="J149" s="10">
        <f t="shared" si="9"/>
        <v>0</v>
      </c>
      <c r="K149" s="119">
        <f t="shared" si="10"/>
        <v>639386.72032193153</v>
      </c>
    </row>
    <row r="150" spans="1:11" x14ac:dyDescent="0.25">
      <c r="A150" s="50">
        <f>'A) Base RI'!A149</f>
        <v>5639</v>
      </c>
      <c r="B150" s="33" t="str">
        <f>'A) Base RI'!B149</f>
        <v>Lully</v>
      </c>
      <c r="C150" s="14">
        <f>'A) Base RI'!V149</f>
        <v>795</v>
      </c>
      <c r="D150" s="10">
        <f t="shared" si="8"/>
        <v>795</v>
      </c>
      <c r="E150" s="14">
        <f t="shared" si="7"/>
        <v>0</v>
      </c>
      <c r="F150" s="10">
        <f t="shared" si="7"/>
        <v>0</v>
      </c>
      <c r="G150" s="14">
        <f t="shared" si="7"/>
        <v>0</v>
      </c>
      <c r="H150" s="42">
        <f t="shared" si="7"/>
        <v>0</v>
      </c>
      <c r="I150" s="10">
        <f t="shared" si="7"/>
        <v>0</v>
      </c>
      <c r="J150" s="10">
        <f t="shared" si="9"/>
        <v>0</v>
      </c>
      <c r="K150" s="119">
        <f t="shared" si="10"/>
        <v>98175.301810865189</v>
      </c>
    </row>
    <row r="151" spans="1:11" x14ac:dyDescent="0.25">
      <c r="A151" s="50">
        <f>'A) Base RI'!A150</f>
        <v>5640</v>
      </c>
      <c r="B151" s="33" t="str">
        <f>'A) Base RI'!B150</f>
        <v>Lussy-sur-Morges</v>
      </c>
      <c r="C151" s="14">
        <f>'A) Base RI'!V150</f>
        <v>667</v>
      </c>
      <c r="D151" s="10">
        <f t="shared" si="8"/>
        <v>667</v>
      </c>
      <c r="E151" s="14">
        <f t="shared" si="7"/>
        <v>0</v>
      </c>
      <c r="F151" s="10">
        <f t="shared" si="7"/>
        <v>0</v>
      </c>
      <c r="G151" s="14">
        <f t="shared" si="7"/>
        <v>0</v>
      </c>
      <c r="H151" s="42">
        <f t="shared" si="7"/>
        <v>0</v>
      </c>
      <c r="I151" s="10">
        <f t="shared" si="7"/>
        <v>0</v>
      </c>
      <c r="J151" s="10">
        <f t="shared" si="9"/>
        <v>0</v>
      </c>
      <c r="K151" s="119">
        <f t="shared" si="10"/>
        <v>82368.460764587522</v>
      </c>
    </row>
    <row r="152" spans="1:11" x14ac:dyDescent="0.25">
      <c r="A152" s="50">
        <f>'A) Base RI'!A151</f>
        <v>5642</v>
      </c>
      <c r="B152" s="33" t="str">
        <f>'A) Base RI'!B151</f>
        <v>Morges</v>
      </c>
      <c r="C152" s="14">
        <f>'A) Base RI'!V151</f>
        <v>15839</v>
      </c>
      <c r="D152" s="10">
        <f t="shared" si="8"/>
        <v>1000</v>
      </c>
      <c r="E152" s="14">
        <f t="shared" si="7"/>
        <v>2000</v>
      </c>
      <c r="F152" s="10">
        <f t="shared" si="7"/>
        <v>2000</v>
      </c>
      <c r="G152" s="14">
        <f t="shared" si="7"/>
        <v>4000</v>
      </c>
      <c r="H152" s="42">
        <f t="shared" si="7"/>
        <v>3000</v>
      </c>
      <c r="I152" s="10">
        <f t="shared" si="7"/>
        <v>3000</v>
      </c>
      <c r="J152" s="10">
        <f t="shared" si="9"/>
        <v>839</v>
      </c>
      <c r="K152" s="119">
        <f t="shared" si="10"/>
        <v>10527306.740442656</v>
      </c>
    </row>
    <row r="153" spans="1:11" x14ac:dyDescent="0.25">
      <c r="A153" s="50">
        <f>'A) Base RI'!A152</f>
        <v>5643</v>
      </c>
      <c r="B153" s="33" t="str">
        <f>'A) Base RI'!B152</f>
        <v>Préverenges</v>
      </c>
      <c r="C153" s="14">
        <f>'A) Base RI'!V152</f>
        <v>5291</v>
      </c>
      <c r="D153" s="10">
        <f t="shared" si="8"/>
        <v>1000</v>
      </c>
      <c r="E153" s="14">
        <f t="shared" si="7"/>
        <v>2000</v>
      </c>
      <c r="F153" s="10">
        <f t="shared" si="7"/>
        <v>2000</v>
      </c>
      <c r="G153" s="14">
        <f t="shared" si="7"/>
        <v>291</v>
      </c>
      <c r="H153" s="42">
        <f t="shared" si="7"/>
        <v>0</v>
      </c>
      <c r="I153" s="10">
        <f t="shared" si="7"/>
        <v>0</v>
      </c>
      <c r="J153" s="10">
        <f t="shared" si="9"/>
        <v>0</v>
      </c>
      <c r="K153" s="119">
        <f t="shared" si="10"/>
        <v>1975459.9597585511</v>
      </c>
    </row>
    <row r="154" spans="1:11" x14ac:dyDescent="0.25">
      <c r="A154" s="50">
        <f>'A) Base RI'!A153</f>
        <v>5644</v>
      </c>
      <c r="B154" s="33" t="str">
        <f>'A) Base RI'!B153</f>
        <v>Reverolle</v>
      </c>
      <c r="C154" s="14">
        <f>'A) Base RI'!V153</f>
        <v>382</v>
      </c>
      <c r="D154" s="10">
        <f t="shared" si="8"/>
        <v>382</v>
      </c>
      <c r="E154" s="14">
        <f t="shared" si="7"/>
        <v>0</v>
      </c>
      <c r="F154" s="10">
        <f t="shared" si="7"/>
        <v>0</v>
      </c>
      <c r="G154" s="14">
        <f t="shared" si="7"/>
        <v>0</v>
      </c>
      <c r="H154" s="42">
        <f t="shared" si="7"/>
        <v>0</v>
      </c>
      <c r="I154" s="10">
        <f t="shared" si="7"/>
        <v>0</v>
      </c>
      <c r="J154" s="10">
        <f t="shared" si="9"/>
        <v>0</v>
      </c>
      <c r="K154" s="119">
        <f t="shared" si="10"/>
        <v>47173.541247484907</v>
      </c>
    </row>
    <row r="155" spans="1:11" x14ac:dyDescent="0.25">
      <c r="A155" s="50">
        <f>'A) Base RI'!A154</f>
        <v>5645</v>
      </c>
      <c r="B155" s="33" t="str">
        <f>'A) Base RI'!B154</f>
        <v>Romanel-sur-Morges</v>
      </c>
      <c r="C155" s="14">
        <f>'A) Base RI'!V154</f>
        <v>470</v>
      </c>
      <c r="D155" s="10">
        <f t="shared" si="8"/>
        <v>470</v>
      </c>
      <c r="E155" s="14">
        <f t="shared" si="7"/>
        <v>0</v>
      </c>
      <c r="F155" s="10">
        <f t="shared" si="7"/>
        <v>0</v>
      </c>
      <c r="G155" s="14">
        <f t="shared" si="7"/>
        <v>0</v>
      </c>
      <c r="H155" s="42">
        <f t="shared" si="7"/>
        <v>0</v>
      </c>
      <c r="I155" s="10">
        <f t="shared" si="7"/>
        <v>0</v>
      </c>
      <c r="J155" s="10">
        <f t="shared" si="9"/>
        <v>0</v>
      </c>
      <c r="K155" s="119">
        <f t="shared" si="10"/>
        <v>58040.744466800803</v>
      </c>
    </row>
    <row r="156" spans="1:11" x14ac:dyDescent="0.25">
      <c r="A156" s="50">
        <f>'A) Base RI'!A155</f>
        <v>5646</v>
      </c>
      <c r="B156" s="33" t="str">
        <f>'A) Base RI'!B155</f>
        <v>Saint-Prex</v>
      </c>
      <c r="C156" s="14">
        <f>'A) Base RI'!V155</f>
        <v>5695</v>
      </c>
      <c r="D156" s="10">
        <f t="shared" si="8"/>
        <v>1000</v>
      </c>
      <c r="E156" s="14">
        <f t="shared" si="7"/>
        <v>2000</v>
      </c>
      <c r="F156" s="10">
        <f t="shared" si="7"/>
        <v>2000</v>
      </c>
      <c r="G156" s="14">
        <f t="shared" si="7"/>
        <v>695</v>
      </c>
      <c r="H156" s="42">
        <f t="shared" si="7"/>
        <v>0</v>
      </c>
      <c r="I156" s="10">
        <f t="shared" si="7"/>
        <v>0</v>
      </c>
      <c r="J156" s="10">
        <f t="shared" si="9"/>
        <v>0</v>
      </c>
      <c r="K156" s="119">
        <f t="shared" si="10"/>
        <v>2214933.6016096575</v>
      </c>
    </row>
    <row r="157" spans="1:11" x14ac:dyDescent="0.25">
      <c r="A157" s="50">
        <f>'A) Base RI'!A156</f>
        <v>5648</v>
      </c>
      <c r="B157" s="33" t="str">
        <f>'A) Base RI'!B156</f>
        <v>Saint-Sulpice</v>
      </c>
      <c r="C157" s="14">
        <f>'A) Base RI'!V156</f>
        <v>4524</v>
      </c>
      <c r="D157" s="10">
        <f t="shared" si="8"/>
        <v>1000</v>
      </c>
      <c r="E157" s="14">
        <f t="shared" si="7"/>
        <v>2000</v>
      </c>
      <c r="F157" s="10">
        <f t="shared" si="7"/>
        <v>1524</v>
      </c>
      <c r="G157" s="14">
        <f t="shared" ref="E157:I208" si="11">IF($C157&gt;G$4,IF($C157&lt;G$5,$C157-G$4,G$5-G$4),0)</f>
        <v>0</v>
      </c>
      <c r="H157" s="42">
        <f t="shared" si="11"/>
        <v>0</v>
      </c>
      <c r="I157" s="10">
        <f t="shared" si="11"/>
        <v>0</v>
      </c>
      <c r="J157" s="10">
        <f t="shared" si="9"/>
        <v>0</v>
      </c>
      <c r="K157" s="119">
        <f t="shared" si="10"/>
        <v>1567841.046277666</v>
      </c>
    </row>
    <row r="158" spans="1:11" x14ac:dyDescent="0.25">
      <c r="A158" s="50">
        <f>'A) Base RI'!A157</f>
        <v>5649</v>
      </c>
      <c r="B158" s="33" t="str">
        <f>'A) Base RI'!B157</f>
        <v>Tolochenaz</v>
      </c>
      <c r="C158" s="14">
        <f>'A) Base RI'!V157</f>
        <v>1883</v>
      </c>
      <c r="D158" s="10">
        <f t="shared" si="8"/>
        <v>1000</v>
      </c>
      <c r="E158" s="14">
        <f t="shared" si="11"/>
        <v>883</v>
      </c>
      <c r="F158" s="10">
        <f t="shared" si="11"/>
        <v>0</v>
      </c>
      <c r="G158" s="14">
        <f t="shared" si="11"/>
        <v>0</v>
      </c>
      <c r="H158" s="42">
        <f t="shared" si="11"/>
        <v>0</v>
      </c>
      <c r="I158" s="10">
        <f t="shared" si="11"/>
        <v>0</v>
      </c>
      <c r="J158" s="10">
        <f t="shared" si="9"/>
        <v>0</v>
      </c>
      <c r="K158" s="119">
        <f t="shared" si="10"/>
        <v>428809.95975855127</v>
      </c>
    </row>
    <row r="159" spans="1:11" x14ac:dyDescent="0.25">
      <c r="A159" s="50">
        <f>'A) Base RI'!A158</f>
        <v>5650</v>
      </c>
      <c r="B159" s="33" t="str">
        <f>'A) Base RI'!B158</f>
        <v>Vaux-sur-Morges</v>
      </c>
      <c r="C159" s="14">
        <f>'A) Base RI'!V158</f>
        <v>199</v>
      </c>
      <c r="D159" s="10">
        <f t="shared" si="8"/>
        <v>199</v>
      </c>
      <c r="E159" s="14">
        <f t="shared" si="11"/>
        <v>0</v>
      </c>
      <c r="F159" s="10">
        <f t="shared" si="11"/>
        <v>0</v>
      </c>
      <c r="G159" s="14">
        <f t="shared" si="11"/>
        <v>0</v>
      </c>
      <c r="H159" s="42">
        <f t="shared" si="11"/>
        <v>0</v>
      </c>
      <c r="I159" s="10">
        <f t="shared" si="11"/>
        <v>0</v>
      </c>
      <c r="J159" s="10">
        <f t="shared" si="9"/>
        <v>0</v>
      </c>
      <c r="K159" s="119">
        <f t="shared" si="10"/>
        <v>24574.698189134808</v>
      </c>
    </row>
    <row r="160" spans="1:11" x14ac:dyDescent="0.25">
      <c r="A160" s="50">
        <f>'A) Base RI'!A159</f>
        <v>5651</v>
      </c>
      <c r="B160" s="33" t="str">
        <f>'A) Base RI'!B159</f>
        <v>Villars-Sainte-Croix</v>
      </c>
      <c r="C160" s="14">
        <f>'A) Base RI'!V159</f>
        <v>935</v>
      </c>
      <c r="D160" s="10">
        <f t="shared" si="8"/>
        <v>935</v>
      </c>
      <c r="E160" s="14">
        <f t="shared" si="11"/>
        <v>0</v>
      </c>
      <c r="F160" s="10">
        <f t="shared" si="11"/>
        <v>0</v>
      </c>
      <c r="G160" s="14">
        <f t="shared" si="11"/>
        <v>0</v>
      </c>
      <c r="H160" s="42">
        <f t="shared" si="11"/>
        <v>0</v>
      </c>
      <c r="I160" s="10">
        <f t="shared" si="11"/>
        <v>0</v>
      </c>
      <c r="J160" s="10">
        <f t="shared" si="9"/>
        <v>0</v>
      </c>
      <c r="K160" s="119">
        <f t="shared" si="10"/>
        <v>115464.03420523138</v>
      </c>
    </row>
    <row r="161" spans="1:11" x14ac:dyDescent="0.25">
      <c r="A161" s="50">
        <f>'A) Base RI'!A160</f>
        <v>5652</v>
      </c>
      <c r="B161" s="33" t="str">
        <f>'A) Base RI'!B160</f>
        <v>Villars-sous-Yens</v>
      </c>
      <c r="C161" s="14">
        <f>'A) Base RI'!V160</f>
        <v>614</v>
      </c>
      <c r="D161" s="10">
        <f t="shared" si="8"/>
        <v>614</v>
      </c>
      <c r="E161" s="14">
        <f t="shared" si="11"/>
        <v>0</v>
      </c>
      <c r="F161" s="10">
        <f t="shared" si="11"/>
        <v>0</v>
      </c>
      <c r="G161" s="14">
        <f t="shared" si="11"/>
        <v>0</v>
      </c>
      <c r="H161" s="42">
        <f t="shared" si="11"/>
        <v>0</v>
      </c>
      <c r="I161" s="10">
        <f t="shared" si="11"/>
        <v>0</v>
      </c>
      <c r="J161" s="10">
        <f t="shared" si="9"/>
        <v>0</v>
      </c>
      <c r="K161" s="119">
        <f t="shared" si="10"/>
        <v>75823.44064386317</v>
      </c>
    </row>
    <row r="162" spans="1:11" x14ac:dyDescent="0.25">
      <c r="A162" s="50">
        <f>'A) Base RI'!A161</f>
        <v>5653</v>
      </c>
      <c r="B162" s="33" t="str">
        <f>'A) Base RI'!B161</f>
        <v>Vufflens-le-Château</v>
      </c>
      <c r="C162" s="14">
        <f>'A) Base RI'!V161</f>
        <v>884</v>
      </c>
      <c r="D162" s="10">
        <f t="shared" si="8"/>
        <v>884</v>
      </c>
      <c r="E162" s="14">
        <f t="shared" si="11"/>
        <v>0</v>
      </c>
      <c r="F162" s="10">
        <f t="shared" si="11"/>
        <v>0</v>
      </c>
      <c r="G162" s="14">
        <f t="shared" si="11"/>
        <v>0</v>
      </c>
      <c r="H162" s="42">
        <f t="shared" si="11"/>
        <v>0</v>
      </c>
      <c r="I162" s="10">
        <f t="shared" si="11"/>
        <v>0</v>
      </c>
      <c r="J162" s="10">
        <f t="shared" si="9"/>
        <v>0</v>
      </c>
      <c r="K162" s="119">
        <f t="shared" si="10"/>
        <v>109165.99597585513</v>
      </c>
    </row>
    <row r="163" spans="1:11" x14ac:dyDescent="0.25">
      <c r="A163" s="50">
        <f>'A) Base RI'!A162</f>
        <v>5654</v>
      </c>
      <c r="B163" s="33" t="str">
        <f>'A) Base RI'!B162</f>
        <v>Vullierens</v>
      </c>
      <c r="C163" s="14">
        <f>'A) Base RI'!V162</f>
        <v>499</v>
      </c>
      <c r="D163" s="10">
        <f t="shared" si="8"/>
        <v>499</v>
      </c>
      <c r="E163" s="14">
        <f t="shared" si="11"/>
        <v>0</v>
      </c>
      <c r="F163" s="10">
        <f t="shared" si="11"/>
        <v>0</v>
      </c>
      <c r="G163" s="14">
        <f t="shared" si="11"/>
        <v>0</v>
      </c>
      <c r="H163" s="42">
        <f t="shared" si="11"/>
        <v>0</v>
      </c>
      <c r="I163" s="10">
        <f t="shared" si="11"/>
        <v>0</v>
      </c>
      <c r="J163" s="10">
        <f t="shared" si="9"/>
        <v>0</v>
      </c>
      <c r="K163" s="119">
        <f t="shared" si="10"/>
        <v>61621.981891348085</v>
      </c>
    </row>
    <row r="164" spans="1:11" x14ac:dyDescent="0.25">
      <c r="A164" s="50">
        <f>'A) Base RI'!A163</f>
        <v>5655</v>
      </c>
      <c r="B164" s="33" t="str">
        <f>'A) Base RI'!B163</f>
        <v>Yens</v>
      </c>
      <c r="C164" s="14">
        <f>'A) Base RI'!V163</f>
        <v>1395</v>
      </c>
      <c r="D164" s="10">
        <f t="shared" si="8"/>
        <v>1000</v>
      </c>
      <c r="E164" s="14">
        <f t="shared" si="11"/>
        <v>395</v>
      </c>
      <c r="F164" s="10">
        <f t="shared" si="11"/>
        <v>0</v>
      </c>
      <c r="G164" s="14">
        <f t="shared" si="11"/>
        <v>0</v>
      </c>
      <c r="H164" s="42">
        <f t="shared" si="11"/>
        <v>0</v>
      </c>
      <c r="I164" s="10">
        <f t="shared" si="11"/>
        <v>0</v>
      </c>
      <c r="J164" s="10">
        <f t="shared" si="9"/>
        <v>0</v>
      </c>
      <c r="K164" s="119">
        <f t="shared" si="10"/>
        <v>260071.93158953721</v>
      </c>
    </row>
    <row r="165" spans="1:11" x14ac:dyDescent="0.25">
      <c r="A165" s="50">
        <f>'A) Base RI'!A164</f>
        <v>5661</v>
      </c>
      <c r="B165" s="33" t="str">
        <f>'A) Base RI'!B164</f>
        <v>Boulens</v>
      </c>
      <c r="C165" s="14">
        <f>'A) Base RI'!V164</f>
        <v>377</v>
      </c>
      <c r="D165" s="10">
        <f t="shared" si="8"/>
        <v>377</v>
      </c>
      <c r="E165" s="14">
        <f t="shared" si="11"/>
        <v>0</v>
      </c>
      <c r="F165" s="10">
        <f t="shared" si="11"/>
        <v>0</v>
      </c>
      <c r="G165" s="14">
        <f t="shared" si="11"/>
        <v>0</v>
      </c>
      <c r="H165" s="42">
        <f t="shared" si="11"/>
        <v>0</v>
      </c>
      <c r="I165" s="10">
        <f t="shared" si="11"/>
        <v>0</v>
      </c>
      <c r="J165" s="10">
        <f t="shared" si="9"/>
        <v>0</v>
      </c>
      <c r="K165" s="119">
        <f t="shared" si="10"/>
        <v>46556.086519114688</v>
      </c>
    </row>
    <row r="166" spans="1:11" x14ac:dyDescent="0.25">
      <c r="A166" s="50">
        <f>'A) Base RI'!A165</f>
        <v>5663</v>
      </c>
      <c r="B166" s="33" t="str">
        <f>'A) Base RI'!B165</f>
        <v>Bussy-sur-Moudon</v>
      </c>
      <c r="C166" s="14">
        <f>'A) Base RI'!V165</f>
        <v>209</v>
      </c>
      <c r="D166" s="10">
        <f t="shared" si="8"/>
        <v>209</v>
      </c>
      <c r="E166" s="14">
        <f t="shared" si="11"/>
        <v>0</v>
      </c>
      <c r="F166" s="10">
        <f t="shared" si="11"/>
        <v>0</v>
      </c>
      <c r="G166" s="14">
        <f t="shared" si="11"/>
        <v>0</v>
      </c>
      <c r="H166" s="42">
        <f t="shared" si="11"/>
        <v>0</v>
      </c>
      <c r="I166" s="10">
        <f t="shared" si="11"/>
        <v>0</v>
      </c>
      <c r="J166" s="10">
        <f t="shared" si="9"/>
        <v>0</v>
      </c>
      <c r="K166" s="119">
        <f t="shared" si="10"/>
        <v>25809.60764587525</v>
      </c>
    </row>
    <row r="167" spans="1:11" x14ac:dyDescent="0.25">
      <c r="A167" s="50">
        <f>'A) Base RI'!A166</f>
        <v>5665</v>
      </c>
      <c r="B167" s="33" t="str">
        <f>'A) Base RI'!B166</f>
        <v>Chavannes-sur-Moudon</v>
      </c>
      <c r="C167" s="14">
        <f>'A) Base RI'!V166</f>
        <v>220</v>
      </c>
      <c r="D167" s="10">
        <f t="shared" si="8"/>
        <v>220</v>
      </c>
      <c r="E167" s="14">
        <f t="shared" si="11"/>
        <v>0</v>
      </c>
      <c r="F167" s="10">
        <f t="shared" si="11"/>
        <v>0</v>
      </c>
      <c r="G167" s="14">
        <f t="shared" si="11"/>
        <v>0</v>
      </c>
      <c r="H167" s="42">
        <f t="shared" si="11"/>
        <v>0</v>
      </c>
      <c r="I167" s="10">
        <f t="shared" si="11"/>
        <v>0</v>
      </c>
      <c r="J167" s="10">
        <f t="shared" si="9"/>
        <v>0</v>
      </c>
      <c r="K167" s="119">
        <f t="shared" si="10"/>
        <v>27168.008048289736</v>
      </c>
    </row>
    <row r="168" spans="1:11" x14ac:dyDescent="0.25">
      <c r="A168" s="50">
        <f>'A) Base RI'!A167</f>
        <v>5669</v>
      </c>
      <c r="B168" s="33" t="str">
        <f>'A) Base RI'!B167</f>
        <v>Curtilles</v>
      </c>
      <c r="C168" s="14">
        <f>'A) Base RI'!V167</f>
        <v>318</v>
      </c>
      <c r="D168" s="10">
        <f t="shared" si="8"/>
        <v>318</v>
      </c>
      <c r="E168" s="14">
        <f t="shared" si="11"/>
        <v>0</v>
      </c>
      <c r="F168" s="10">
        <f t="shared" si="11"/>
        <v>0</v>
      </c>
      <c r="G168" s="14">
        <f t="shared" si="11"/>
        <v>0</v>
      </c>
      <c r="H168" s="42">
        <f t="shared" si="11"/>
        <v>0</v>
      </c>
      <c r="I168" s="10">
        <f t="shared" si="11"/>
        <v>0</v>
      </c>
      <c r="J168" s="10">
        <f t="shared" si="9"/>
        <v>0</v>
      </c>
      <c r="K168" s="119">
        <f t="shared" si="10"/>
        <v>39270.120724346074</v>
      </c>
    </row>
    <row r="169" spans="1:11" x14ac:dyDescent="0.25">
      <c r="A169" s="50">
        <f>'A) Base RI'!A168</f>
        <v>5671</v>
      </c>
      <c r="B169" s="33" t="str">
        <f>'A) Base RI'!B168</f>
        <v>Dompierre</v>
      </c>
      <c r="C169" s="14">
        <f>'A) Base RI'!V168</f>
        <v>259</v>
      </c>
      <c r="D169" s="10">
        <f t="shared" si="8"/>
        <v>259</v>
      </c>
      <c r="E169" s="14">
        <f t="shared" si="11"/>
        <v>0</v>
      </c>
      <c r="F169" s="10">
        <f t="shared" si="11"/>
        <v>0</v>
      </c>
      <c r="G169" s="14">
        <f t="shared" si="11"/>
        <v>0</v>
      </c>
      <c r="H169" s="42">
        <f t="shared" si="11"/>
        <v>0</v>
      </c>
      <c r="I169" s="10">
        <f t="shared" si="11"/>
        <v>0</v>
      </c>
      <c r="J169" s="10">
        <f t="shared" si="9"/>
        <v>0</v>
      </c>
      <c r="K169" s="119">
        <f t="shared" si="10"/>
        <v>31984.15492957746</v>
      </c>
    </row>
    <row r="170" spans="1:11" x14ac:dyDescent="0.25">
      <c r="A170" s="50">
        <f>'A) Base RI'!A169</f>
        <v>5673</v>
      </c>
      <c r="B170" s="33" t="str">
        <f>'A) Base RI'!B169</f>
        <v>Hermenches</v>
      </c>
      <c r="C170" s="14">
        <f>'A) Base RI'!V169</f>
        <v>379</v>
      </c>
      <c r="D170" s="10">
        <f t="shared" si="8"/>
        <v>379</v>
      </c>
      <c r="E170" s="14">
        <f t="shared" si="11"/>
        <v>0</v>
      </c>
      <c r="F170" s="10">
        <f t="shared" si="11"/>
        <v>0</v>
      </c>
      <c r="G170" s="14">
        <f t="shared" si="11"/>
        <v>0</v>
      </c>
      <c r="H170" s="42">
        <f t="shared" si="11"/>
        <v>0</v>
      </c>
      <c r="I170" s="10">
        <f t="shared" si="11"/>
        <v>0</v>
      </c>
      <c r="J170" s="10">
        <f t="shared" si="9"/>
        <v>0</v>
      </c>
      <c r="K170" s="119">
        <f t="shared" si="10"/>
        <v>46803.068410462773</v>
      </c>
    </row>
    <row r="171" spans="1:11" x14ac:dyDescent="0.25">
      <c r="A171" s="50">
        <f>'A) Base RI'!A170</f>
        <v>5674</v>
      </c>
      <c r="B171" s="33" t="str">
        <f>'A) Base RI'!B170</f>
        <v>Lovatens</v>
      </c>
      <c r="C171" s="14">
        <f>'A) Base RI'!V170</f>
        <v>141</v>
      </c>
      <c r="D171" s="10">
        <f t="shared" ref="D171:D234" si="12">IF($C171&gt;D$4,IF($C171&lt;D$5,$C171-D$4,D$5-D$4),0)</f>
        <v>141</v>
      </c>
      <c r="E171" s="14">
        <f t="shared" si="11"/>
        <v>0</v>
      </c>
      <c r="F171" s="10">
        <f t="shared" si="11"/>
        <v>0</v>
      </c>
      <c r="G171" s="14">
        <f t="shared" si="11"/>
        <v>0</v>
      </c>
      <c r="H171" s="42">
        <f t="shared" si="11"/>
        <v>0</v>
      </c>
      <c r="I171" s="10">
        <f t="shared" si="11"/>
        <v>0</v>
      </c>
      <c r="J171" s="10">
        <f t="shared" si="9"/>
        <v>0</v>
      </c>
      <c r="K171" s="119">
        <f t="shared" si="10"/>
        <v>17412.22334004024</v>
      </c>
    </row>
    <row r="172" spans="1:11" x14ac:dyDescent="0.25">
      <c r="A172" s="50">
        <f>'A) Base RI'!A171</f>
        <v>5675</v>
      </c>
      <c r="B172" s="33" t="str">
        <f>'A) Base RI'!B171</f>
        <v>Lucens</v>
      </c>
      <c r="C172" s="14">
        <f>'A) Base RI'!V171</f>
        <v>4157</v>
      </c>
      <c r="D172" s="10">
        <f t="shared" si="12"/>
        <v>1000</v>
      </c>
      <c r="E172" s="14">
        <f t="shared" si="11"/>
        <v>2000</v>
      </c>
      <c r="F172" s="10">
        <f t="shared" si="11"/>
        <v>1157</v>
      </c>
      <c r="G172" s="14">
        <f t="shared" si="11"/>
        <v>0</v>
      </c>
      <c r="H172" s="42">
        <f t="shared" si="11"/>
        <v>0</v>
      </c>
      <c r="I172" s="10">
        <f t="shared" si="11"/>
        <v>0</v>
      </c>
      <c r="J172" s="10">
        <f t="shared" si="9"/>
        <v>0</v>
      </c>
      <c r="K172" s="119">
        <f t="shared" si="10"/>
        <v>1386556.3380281688</v>
      </c>
    </row>
    <row r="173" spans="1:11" x14ac:dyDescent="0.25">
      <c r="A173" s="50">
        <f>'A) Base RI'!A172</f>
        <v>5678</v>
      </c>
      <c r="B173" s="33" t="str">
        <f>'A) Base RI'!B172</f>
        <v>Moudon</v>
      </c>
      <c r="C173" s="14">
        <f>'A) Base RI'!V172</f>
        <v>6185</v>
      </c>
      <c r="D173" s="10">
        <f t="shared" si="12"/>
        <v>1000</v>
      </c>
      <c r="E173" s="14">
        <f t="shared" si="11"/>
        <v>2000</v>
      </c>
      <c r="F173" s="10">
        <f t="shared" si="11"/>
        <v>2000</v>
      </c>
      <c r="G173" s="14">
        <f t="shared" si="11"/>
        <v>1185</v>
      </c>
      <c r="H173" s="42">
        <f t="shared" si="11"/>
        <v>0</v>
      </c>
      <c r="I173" s="10">
        <f t="shared" si="11"/>
        <v>0</v>
      </c>
      <c r="J173" s="10">
        <f t="shared" si="9"/>
        <v>0</v>
      </c>
      <c r="K173" s="119">
        <f t="shared" si="10"/>
        <v>2505384.3058350096</v>
      </c>
    </row>
    <row r="174" spans="1:11" x14ac:dyDescent="0.25">
      <c r="A174" s="50">
        <f>'A) Base RI'!A173</f>
        <v>5680</v>
      </c>
      <c r="B174" s="33" t="str">
        <f>'A) Base RI'!B173</f>
        <v>Ogens</v>
      </c>
      <c r="C174" s="14">
        <f>'A) Base RI'!V173</f>
        <v>304</v>
      </c>
      <c r="D174" s="10">
        <f t="shared" si="12"/>
        <v>304</v>
      </c>
      <c r="E174" s="14">
        <f t="shared" si="11"/>
        <v>0</v>
      </c>
      <c r="F174" s="10">
        <f t="shared" si="11"/>
        <v>0</v>
      </c>
      <c r="G174" s="14">
        <f t="shared" si="11"/>
        <v>0</v>
      </c>
      <c r="H174" s="42">
        <f t="shared" si="11"/>
        <v>0</v>
      </c>
      <c r="I174" s="10">
        <f t="shared" si="11"/>
        <v>0</v>
      </c>
      <c r="J174" s="10">
        <f t="shared" si="9"/>
        <v>0</v>
      </c>
      <c r="K174" s="119">
        <f t="shared" si="10"/>
        <v>37541.247484909451</v>
      </c>
    </row>
    <row r="175" spans="1:11" x14ac:dyDescent="0.25">
      <c r="A175" s="50">
        <f>'A) Base RI'!A174</f>
        <v>5683</v>
      </c>
      <c r="B175" s="33" t="str">
        <f>'A) Base RI'!B174</f>
        <v>Prévonloup</v>
      </c>
      <c r="C175" s="14">
        <f>'A) Base RI'!V174</f>
        <v>160</v>
      </c>
      <c r="D175" s="10">
        <f t="shared" si="12"/>
        <v>160</v>
      </c>
      <c r="E175" s="14">
        <f t="shared" si="11"/>
        <v>0</v>
      </c>
      <c r="F175" s="10">
        <f t="shared" si="11"/>
        <v>0</v>
      </c>
      <c r="G175" s="14">
        <f t="shared" si="11"/>
        <v>0</v>
      </c>
      <c r="H175" s="42">
        <f t="shared" si="11"/>
        <v>0</v>
      </c>
      <c r="I175" s="10">
        <f t="shared" si="11"/>
        <v>0</v>
      </c>
      <c r="J175" s="10">
        <f t="shared" si="9"/>
        <v>0</v>
      </c>
      <c r="K175" s="119">
        <f t="shared" si="10"/>
        <v>19758.551307847079</v>
      </c>
    </row>
    <row r="176" spans="1:11" x14ac:dyDescent="0.25">
      <c r="A176" s="50">
        <f>'A) Base RI'!A175</f>
        <v>5684</v>
      </c>
      <c r="B176" s="33" t="str">
        <f>'A) Base RI'!B175</f>
        <v>Rossenges</v>
      </c>
      <c r="C176" s="14">
        <f>'A) Base RI'!V175</f>
        <v>63</v>
      </c>
      <c r="D176" s="10">
        <f t="shared" si="12"/>
        <v>63</v>
      </c>
      <c r="E176" s="14">
        <f t="shared" si="11"/>
        <v>0</v>
      </c>
      <c r="F176" s="10">
        <f t="shared" si="11"/>
        <v>0</v>
      </c>
      <c r="G176" s="14">
        <f t="shared" si="11"/>
        <v>0</v>
      </c>
      <c r="H176" s="42">
        <f t="shared" si="11"/>
        <v>0</v>
      </c>
      <c r="I176" s="10">
        <f t="shared" si="11"/>
        <v>0</v>
      </c>
      <c r="J176" s="10">
        <f t="shared" si="9"/>
        <v>0</v>
      </c>
      <c r="K176" s="119">
        <f t="shared" si="10"/>
        <v>7779.9295774647881</v>
      </c>
    </row>
    <row r="177" spans="1:11" x14ac:dyDescent="0.25">
      <c r="A177" s="50">
        <f>'A) Base RI'!A176</f>
        <v>5688</v>
      </c>
      <c r="B177" s="33" t="str">
        <f>'A) Base RI'!B176</f>
        <v>Syens</v>
      </c>
      <c r="C177" s="14">
        <f>'A) Base RI'!V176</f>
        <v>150</v>
      </c>
      <c r="D177" s="10">
        <f t="shared" si="12"/>
        <v>150</v>
      </c>
      <c r="E177" s="14">
        <f t="shared" si="11"/>
        <v>0</v>
      </c>
      <c r="F177" s="10">
        <f t="shared" si="11"/>
        <v>0</v>
      </c>
      <c r="G177" s="14">
        <f t="shared" si="11"/>
        <v>0</v>
      </c>
      <c r="H177" s="42">
        <f t="shared" si="11"/>
        <v>0</v>
      </c>
      <c r="I177" s="10">
        <f t="shared" si="11"/>
        <v>0</v>
      </c>
      <c r="J177" s="10">
        <f t="shared" si="9"/>
        <v>0</v>
      </c>
      <c r="K177" s="119">
        <f t="shared" si="10"/>
        <v>18523.641851106637</v>
      </c>
    </row>
    <row r="178" spans="1:11" x14ac:dyDescent="0.25">
      <c r="A178" s="50">
        <f>'A) Base RI'!A177</f>
        <v>5690</v>
      </c>
      <c r="B178" s="33" t="str">
        <f>'A) Base RI'!B177</f>
        <v>Villars-le-Comte</v>
      </c>
      <c r="C178" s="14">
        <f>'A) Base RI'!V177</f>
        <v>142</v>
      </c>
      <c r="D178" s="10">
        <f t="shared" si="12"/>
        <v>142</v>
      </c>
      <c r="E178" s="14">
        <f t="shared" si="11"/>
        <v>0</v>
      </c>
      <c r="F178" s="10">
        <f t="shared" si="11"/>
        <v>0</v>
      </c>
      <c r="G178" s="14">
        <f t="shared" si="11"/>
        <v>0</v>
      </c>
      <c r="H178" s="42">
        <f t="shared" si="11"/>
        <v>0</v>
      </c>
      <c r="I178" s="10">
        <f t="shared" si="11"/>
        <v>0</v>
      </c>
      <c r="J178" s="10">
        <f t="shared" si="9"/>
        <v>0</v>
      </c>
      <c r="K178" s="119">
        <f t="shared" si="10"/>
        <v>17535.714285714283</v>
      </c>
    </row>
    <row r="179" spans="1:11" x14ac:dyDescent="0.25">
      <c r="A179" s="50">
        <f>'A) Base RI'!A178</f>
        <v>5692</v>
      </c>
      <c r="B179" s="33" t="str">
        <f>'A) Base RI'!B178</f>
        <v>Vucherens</v>
      </c>
      <c r="C179" s="14">
        <f>'A) Base RI'!V178</f>
        <v>583</v>
      </c>
      <c r="D179" s="10">
        <f t="shared" si="12"/>
        <v>583</v>
      </c>
      <c r="E179" s="14">
        <f t="shared" si="11"/>
        <v>0</v>
      </c>
      <c r="F179" s="10">
        <f t="shared" si="11"/>
        <v>0</v>
      </c>
      <c r="G179" s="14">
        <f t="shared" si="11"/>
        <v>0</v>
      </c>
      <c r="H179" s="42">
        <f t="shared" si="11"/>
        <v>0</v>
      </c>
      <c r="I179" s="10">
        <f t="shared" si="11"/>
        <v>0</v>
      </c>
      <c r="J179" s="10">
        <f t="shared" si="9"/>
        <v>0</v>
      </c>
      <c r="K179" s="119">
        <f t="shared" si="10"/>
        <v>71995.221327967796</v>
      </c>
    </row>
    <row r="180" spans="1:11" x14ac:dyDescent="0.25">
      <c r="A180" s="50">
        <f>'A) Base RI'!A179</f>
        <v>5693</v>
      </c>
      <c r="B180" s="33" t="str">
        <f>'A) Base RI'!B179</f>
        <v>Montanaire</v>
      </c>
      <c r="C180" s="14">
        <f>'A) Base RI'!V179</f>
        <v>2606</v>
      </c>
      <c r="D180" s="10">
        <f t="shared" si="12"/>
        <v>1000</v>
      </c>
      <c r="E180" s="14">
        <f t="shared" si="11"/>
        <v>1606</v>
      </c>
      <c r="F180" s="10">
        <f t="shared" si="11"/>
        <v>0</v>
      </c>
      <c r="G180" s="14">
        <f t="shared" si="11"/>
        <v>0</v>
      </c>
      <c r="H180" s="42">
        <f t="shared" si="11"/>
        <v>0</v>
      </c>
      <c r="I180" s="10">
        <f t="shared" si="11"/>
        <v>0</v>
      </c>
      <c r="J180" s="10">
        <f t="shared" si="9"/>
        <v>0</v>
      </c>
      <c r="K180" s="119">
        <f t="shared" si="10"/>
        <v>678805.03018108639</v>
      </c>
    </row>
    <row r="181" spans="1:11" x14ac:dyDescent="0.25">
      <c r="A181" s="50">
        <f>'A) Base RI'!A180</f>
        <v>5701</v>
      </c>
      <c r="B181" s="33" t="str">
        <f>'A) Base RI'!B180</f>
        <v>Arnex-sur-Nyon</v>
      </c>
      <c r="C181" s="14">
        <f>'A) Base RI'!V180</f>
        <v>224</v>
      </c>
      <c r="D181" s="10">
        <f t="shared" si="12"/>
        <v>224</v>
      </c>
      <c r="E181" s="14">
        <f t="shared" si="11"/>
        <v>0</v>
      </c>
      <c r="F181" s="10">
        <f t="shared" si="11"/>
        <v>0</v>
      </c>
      <c r="G181" s="14">
        <f t="shared" si="11"/>
        <v>0</v>
      </c>
      <c r="H181" s="42">
        <f t="shared" si="11"/>
        <v>0</v>
      </c>
      <c r="I181" s="10">
        <f t="shared" si="11"/>
        <v>0</v>
      </c>
      <c r="J181" s="10">
        <f t="shared" si="9"/>
        <v>0</v>
      </c>
      <c r="K181" s="119">
        <f t="shared" si="10"/>
        <v>27661.971830985913</v>
      </c>
    </row>
    <row r="182" spans="1:11" x14ac:dyDescent="0.25">
      <c r="A182" s="50">
        <f>'A) Base RI'!A181</f>
        <v>5702</v>
      </c>
      <c r="B182" s="33" t="str">
        <f>'A) Base RI'!B181</f>
        <v>Arzier-Le Muids</v>
      </c>
      <c r="C182" s="14">
        <f>'A) Base RI'!V181</f>
        <v>2653</v>
      </c>
      <c r="D182" s="10">
        <f t="shared" si="12"/>
        <v>1000</v>
      </c>
      <c r="E182" s="14">
        <f t="shared" si="11"/>
        <v>1653</v>
      </c>
      <c r="F182" s="10">
        <f t="shared" si="11"/>
        <v>0</v>
      </c>
      <c r="G182" s="14">
        <f t="shared" si="11"/>
        <v>0</v>
      </c>
      <c r="H182" s="42">
        <f t="shared" si="11"/>
        <v>0</v>
      </c>
      <c r="I182" s="10">
        <f t="shared" si="11"/>
        <v>0</v>
      </c>
      <c r="J182" s="10">
        <f t="shared" si="9"/>
        <v>0</v>
      </c>
      <c r="K182" s="119">
        <f t="shared" si="10"/>
        <v>695056.43863179069</v>
      </c>
    </row>
    <row r="183" spans="1:11" x14ac:dyDescent="0.25">
      <c r="A183" s="50">
        <f>'A) Base RI'!A182</f>
        <v>5703</v>
      </c>
      <c r="B183" s="33" t="str">
        <f>'A) Base RI'!B182</f>
        <v>Bassins</v>
      </c>
      <c r="C183" s="14">
        <f>'A) Base RI'!V182</f>
        <v>1356</v>
      </c>
      <c r="D183" s="10">
        <f t="shared" si="12"/>
        <v>1000</v>
      </c>
      <c r="E183" s="14">
        <f t="shared" si="11"/>
        <v>356</v>
      </c>
      <c r="F183" s="10">
        <f t="shared" si="11"/>
        <v>0</v>
      </c>
      <c r="G183" s="14">
        <f t="shared" si="11"/>
        <v>0</v>
      </c>
      <c r="H183" s="42">
        <f t="shared" si="11"/>
        <v>0</v>
      </c>
      <c r="I183" s="10">
        <f t="shared" si="11"/>
        <v>0</v>
      </c>
      <c r="J183" s="10">
        <f t="shared" si="9"/>
        <v>0</v>
      </c>
      <c r="K183" s="119">
        <f t="shared" si="10"/>
        <v>246586.72032193159</v>
      </c>
    </row>
    <row r="184" spans="1:11" x14ac:dyDescent="0.25">
      <c r="A184" s="50">
        <f>'A) Base RI'!A183</f>
        <v>5704</v>
      </c>
      <c r="B184" s="33" t="str">
        <f>'A) Base RI'!B183</f>
        <v>Begnins</v>
      </c>
      <c r="C184" s="14">
        <f>'A) Base RI'!V183</f>
        <v>1910</v>
      </c>
      <c r="D184" s="10">
        <f t="shared" si="12"/>
        <v>1000</v>
      </c>
      <c r="E184" s="14">
        <f t="shared" si="11"/>
        <v>910</v>
      </c>
      <c r="F184" s="10">
        <f t="shared" si="11"/>
        <v>0</v>
      </c>
      <c r="G184" s="14">
        <f t="shared" si="11"/>
        <v>0</v>
      </c>
      <c r="H184" s="42">
        <f t="shared" si="11"/>
        <v>0</v>
      </c>
      <c r="I184" s="10">
        <f t="shared" si="11"/>
        <v>0</v>
      </c>
      <c r="J184" s="10">
        <f t="shared" si="9"/>
        <v>0</v>
      </c>
      <c r="K184" s="119">
        <f t="shared" si="10"/>
        <v>438145.87525150902</v>
      </c>
    </row>
    <row r="185" spans="1:11" x14ac:dyDescent="0.25">
      <c r="A185" s="50">
        <f>'A) Base RI'!A184</f>
        <v>5705</v>
      </c>
      <c r="B185" s="33" t="str">
        <f>'A) Base RI'!B184</f>
        <v>Bogis-Bossey</v>
      </c>
      <c r="C185" s="14">
        <f>'A) Base RI'!V184</f>
        <v>893</v>
      </c>
      <c r="D185" s="10">
        <f t="shared" si="12"/>
        <v>893</v>
      </c>
      <c r="E185" s="14">
        <f t="shared" si="11"/>
        <v>0</v>
      </c>
      <c r="F185" s="10">
        <f t="shared" si="11"/>
        <v>0</v>
      </c>
      <c r="G185" s="14">
        <f t="shared" si="11"/>
        <v>0</v>
      </c>
      <c r="H185" s="42">
        <f t="shared" si="11"/>
        <v>0</v>
      </c>
      <c r="I185" s="10">
        <f t="shared" si="11"/>
        <v>0</v>
      </c>
      <c r="J185" s="10">
        <f t="shared" si="9"/>
        <v>0</v>
      </c>
      <c r="K185" s="119">
        <f t="shared" si="10"/>
        <v>110277.41448692152</v>
      </c>
    </row>
    <row r="186" spans="1:11" x14ac:dyDescent="0.25">
      <c r="A186" s="50">
        <f>'A) Base RI'!A185</f>
        <v>5706</v>
      </c>
      <c r="B186" s="33" t="str">
        <f>'A) Base RI'!B185</f>
        <v>Borex</v>
      </c>
      <c r="C186" s="14">
        <f>'A) Base RI'!V185</f>
        <v>1126</v>
      </c>
      <c r="D186" s="10">
        <f t="shared" si="12"/>
        <v>1000</v>
      </c>
      <c r="E186" s="14">
        <f t="shared" si="11"/>
        <v>126</v>
      </c>
      <c r="F186" s="10">
        <f t="shared" si="11"/>
        <v>0</v>
      </c>
      <c r="G186" s="14">
        <f t="shared" si="11"/>
        <v>0</v>
      </c>
      <c r="H186" s="42">
        <f t="shared" si="11"/>
        <v>0</v>
      </c>
      <c r="I186" s="10">
        <f t="shared" si="11"/>
        <v>0</v>
      </c>
      <c r="J186" s="10">
        <f t="shared" si="9"/>
        <v>0</v>
      </c>
      <c r="K186" s="119">
        <f t="shared" si="10"/>
        <v>167058.55130784708</v>
      </c>
    </row>
    <row r="187" spans="1:11" x14ac:dyDescent="0.25">
      <c r="A187" s="50">
        <f>'A) Base RI'!A186</f>
        <v>5707</v>
      </c>
      <c r="B187" s="33" t="str">
        <f>'A) Base RI'!B186</f>
        <v>Chavannes-de-Bogis</v>
      </c>
      <c r="C187" s="14">
        <f>'A) Base RI'!V186</f>
        <v>1290</v>
      </c>
      <c r="D187" s="10">
        <f t="shared" si="12"/>
        <v>1000</v>
      </c>
      <c r="E187" s="14">
        <f t="shared" si="11"/>
        <v>290</v>
      </c>
      <c r="F187" s="10">
        <f t="shared" si="11"/>
        <v>0</v>
      </c>
      <c r="G187" s="14">
        <f t="shared" si="11"/>
        <v>0</v>
      </c>
      <c r="H187" s="42">
        <f t="shared" si="11"/>
        <v>0</v>
      </c>
      <c r="I187" s="10">
        <f t="shared" si="11"/>
        <v>0</v>
      </c>
      <c r="J187" s="10">
        <f t="shared" si="9"/>
        <v>0</v>
      </c>
      <c r="K187" s="119">
        <f t="shared" si="10"/>
        <v>223765.59356136818</v>
      </c>
    </row>
    <row r="188" spans="1:11" x14ac:dyDescent="0.25">
      <c r="A188" s="50">
        <f>'A) Base RI'!A187</f>
        <v>5708</v>
      </c>
      <c r="B188" s="33" t="str">
        <f>'A) Base RI'!B187</f>
        <v>Chavannes-des-Bois</v>
      </c>
      <c r="C188" s="14">
        <f>'A) Base RI'!V187</f>
        <v>942</v>
      </c>
      <c r="D188" s="10">
        <f t="shared" si="12"/>
        <v>942</v>
      </c>
      <c r="E188" s="14">
        <f t="shared" si="11"/>
        <v>0</v>
      </c>
      <c r="F188" s="10">
        <f t="shared" si="11"/>
        <v>0</v>
      </c>
      <c r="G188" s="14">
        <f t="shared" si="11"/>
        <v>0</v>
      </c>
      <c r="H188" s="42">
        <f t="shared" si="11"/>
        <v>0</v>
      </c>
      <c r="I188" s="10">
        <f t="shared" si="11"/>
        <v>0</v>
      </c>
      <c r="J188" s="10">
        <f t="shared" si="9"/>
        <v>0</v>
      </c>
      <c r="K188" s="119">
        <f t="shared" si="10"/>
        <v>116328.47082494969</v>
      </c>
    </row>
    <row r="189" spans="1:11" x14ac:dyDescent="0.25">
      <c r="A189" s="50">
        <f>'A) Base RI'!A188</f>
        <v>5709</v>
      </c>
      <c r="B189" s="33" t="str">
        <f>'A) Base RI'!B188</f>
        <v>Chéserex</v>
      </c>
      <c r="C189" s="14">
        <f>'A) Base RI'!V188</f>
        <v>1219</v>
      </c>
      <c r="D189" s="10">
        <f t="shared" si="12"/>
        <v>1000</v>
      </c>
      <c r="E189" s="14">
        <f t="shared" si="11"/>
        <v>219</v>
      </c>
      <c r="F189" s="10">
        <f t="shared" si="11"/>
        <v>0</v>
      </c>
      <c r="G189" s="14">
        <f t="shared" si="11"/>
        <v>0</v>
      </c>
      <c r="H189" s="42">
        <f t="shared" si="11"/>
        <v>0</v>
      </c>
      <c r="I189" s="10">
        <f t="shared" si="11"/>
        <v>0</v>
      </c>
      <c r="J189" s="10">
        <f t="shared" si="9"/>
        <v>0</v>
      </c>
      <c r="K189" s="119">
        <f t="shared" si="10"/>
        <v>199215.59356136818</v>
      </c>
    </row>
    <row r="190" spans="1:11" x14ac:dyDescent="0.25">
      <c r="A190" s="50">
        <f>'A) Base RI'!A189</f>
        <v>5710</v>
      </c>
      <c r="B190" s="33" t="str">
        <f>'A) Base RI'!B189</f>
        <v>Coinsins</v>
      </c>
      <c r="C190" s="14">
        <f>'A) Base RI'!V189</f>
        <v>484</v>
      </c>
      <c r="D190" s="10">
        <f t="shared" si="12"/>
        <v>484</v>
      </c>
      <c r="E190" s="14">
        <f t="shared" si="11"/>
        <v>0</v>
      </c>
      <c r="F190" s="10">
        <f t="shared" si="11"/>
        <v>0</v>
      </c>
      <c r="G190" s="14">
        <f t="shared" si="11"/>
        <v>0</v>
      </c>
      <c r="H190" s="42">
        <f t="shared" si="11"/>
        <v>0</v>
      </c>
      <c r="I190" s="10">
        <f t="shared" si="11"/>
        <v>0</v>
      </c>
      <c r="J190" s="10">
        <f t="shared" si="9"/>
        <v>0</v>
      </c>
      <c r="K190" s="119">
        <f t="shared" si="10"/>
        <v>59769.617706237419</v>
      </c>
    </row>
    <row r="191" spans="1:11" x14ac:dyDescent="0.25">
      <c r="A191" s="50">
        <f>'A) Base RI'!A190</f>
        <v>5711</v>
      </c>
      <c r="B191" s="33" t="str">
        <f>'A) Base RI'!B190</f>
        <v>Commugny</v>
      </c>
      <c r="C191" s="14">
        <f>'A) Base RI'!V190</f>
        <v>2858</v>
      </c>
      <c r="D191" s="10">
        <f t="shared" si="12"/>
        <v>1000</v>
      </c>
      <c r="E191" s="14">
        <f t="shared" si="11"/>
        <v>1858</v>
      </c>
      <c r="F191" s="10">
        <f t="shared" si="11"/>
        <v>0</v>
      </c>
      <c r="G191" s="14">
        <f t="shared" si="11"/>
        <v>0</v>
      </c>
      <c r="H191" s="42">
        <f t="shared" si="11"/>
        <v>0</v>
      </c>
      <c r="I191" s="10">
        <f t="shared" si="11"/>
        <v>0</v>
      </c>
      <c r="J191" s="10">
        <f t="shared" si="9"/>
        <v>0</v>
      </c>
      <c r="K191" s="119">
        <f t="shared" si="10"/>
        <v>765940.24144869205</v>
      </c>
    </row>
    <row r="192" spans="1:11" x14ac:dyDescent="0.25">
      <c r="A192" s="50">
        <f>'A) Base RI'!A191</f>
        <v>5712</v>
      </c>
      <c r="B192" s="33" t="str">
        <f>'A) Base RI'!B191</f>
        <v>Coppet</v>
      </c>
      <c r="C192" s="14">
        <f>'A) Base RI'!V191</f>
        <v>3123</v>
      </c>
      <c r="D192" s="10">
        <f t="shared" si="12"/>
        <v>1000</v>
      </c>
      <c r="E192" s="14">
        <f t="shared" si="11"/>
        <v>2000</v>
      </c>
      <c r="F192" s="10">
        <f t="shared" si="11"/>
        <v>123</v>
      </c>
      <c r="G192" s="14">
        <f t="shared" si="11"/>
        <v>0</v>
      </c>
      <c r="H192" s="42">
        <f t="shared" si="11"/>
        <v>0</v>
      </c>
      <c r="I192" s="10">
        <f t="shared" si="11"/>
        <v>0</v>
      </c>
      <c r="J192" s="10">
        <f t="shared" si="9"/>
        <v>0</v>
      </c>
      <c r="K192" s="119">
        <f t="shared" si="10"/>
        <v>875797.78672032186</v>
      </c>
    </row>
    <row r="193" spans="1:11" x14ac:dyDescent="0.25">
      <c r="A193" s="50">
        <f>'A) Base RI'!A192</f>
        <v>5713</v>
      </c>
      <c r="B193" s="33" t="str">
        <f>'A) Base RI'!B192</f>
        <v>Crans-près-Céligny</v>
      </c>
      <c r="C193" s="14">
        <f>'A) Base RI'!V192</f>
        <v>2177</v>
      </c>
      <c r="D193" s="10">
        <f t="shared" si="12"/>
        <v>1000</v>
      </c>
      <c r="E193" s="14">
        <f t="shared" si="11"/>
        <v>1177</v>
      </c>
      <c r="F193" s="10">
        <f t="shared" si="11"/>
        <v>0</v>
      </c>
      <c r="G193" s="14">
        <f t="shared" si="11"/>
        <v>0</v>
      </c>
      <c r="H193" s="42">
        <f t="shared" si="11"/>
        <v>0</v>
      </c>
      <c r="I193" s="10">
        <f t="shared" si="11"/>
        <v>0</v>
      </c>
      <c r="J193" s="10">
        <f t="shared" si="9"/>
        <v>0</v>
      </c>
      <c r="K193" s="119">
        <f t="shared" si="10"/>
        <v>530467.70623742451</v>
      </c>
    </row>
    <row r="194" spans="1:11" x14ac:dyDescent="0.25">
      <c r="A194" s="50">
        <f>'A) Base RI'!A193</f>
        <v>5714</v>
      </c>
      <c r="B194" s="33" t="str">
        <f>'A) Base RI'!B193</f>
        <v>Crassier</v>
      </c>
      <c r="C194" s="14">
        <f>'A) Base RI'!V193</f>
        <v>1161</v>
      </c>
      <c r="D194" s="10">
        <f t="shared" si="12"/>
        <v>1000</v>
      </c>
      <c r="E194" s="14">
        <f t="shared" si="11"/>
        <v>161</v>
      </c>
      <c r="F194" s="10">
        <f t="shared" si="11"/>
        <v>0</v>
      </c>
      <c r="G194" s="14">
        <f t="shared" si="11"/>
        <v>0</v>
      </c>
      <c r="H194" s="42">
        <f t="shared" si="11"/>
        <v>0</v>
      </c>
      <c r="I194" s="10">
        <f t="shared" si="11"/>
        <v>0</v>
      </c>
      <c r="J194" s="10">
        <f t="shared" si="9"/>
        <v>0</v>
      </c>
      <c r="K194" s="119">
        <f t="shared" si="10"/>
        <v>179160.66398390342</v>
      </c>
    </row>
    <row r="195" spans="1:11" x14ac:dyDescent="0.25">
      <c r="A195" s="50">
        <f>'A) Base RI'!A194</f>
        <v>5715</v>
      </c>
      <c r="B195" s="33" t="str">
        <f>'A) Base RI'!B194</f>
        <v>Duillier</v>
      </c>
      <c r="C195" s="14">
        <f>'A) Base RI'!V194</f>
        <v>1078</v>
      </c>
      <c r="D195" s="10">
        <f t="shared" si="12"/>
        <v>1000</v>
      </c>
      <c r="E195" s="14">
        <f t="shared" si="11"/>
        <v>78</v>
      </c>
      <c r="F195" s="10">
        <f t="shared" si="11"/>
        <v>0</v>
      </c>
      <c r="G195" s="14">
        <f t="shared" si="11"/>
        <v>0</v>
      </c>
      <c r="H195" s="42">
        <f t="shared" si="11"/>
        <v>0</v>
      </c>
      <c r="I195" s="10">
        <f t="shared" si="11"/>
        <v>0</v>
      </c>
      <c r="J195" s="10">
        <f t="shared" si="9"/>
        <v>0</v>
      </c>
      <c r="K195" s="119">
        <f t="shared" si="10"/>
        <v>150461.36820925551</v>
      </c>
    </row>
    <row r="196" spans="1:11" x14ac:dyDescent="0.25">
      <c r="A196" s="50">
        <f>'A) Base RI'!A195</f>
        <v>5716</v>
      </c>
      <c r="B196" s="33" t="str">
        <f>'A) Base RI'!B195</f>
        <v>Eysins</v>
      </c>
      <c r="C196" s="14">
        <f>'A) Base RI'!V195</f>
        <v>1603</v>
      </c>
      <c r="D196" s="10">
        <f t="shared" si="12"/>
        <v>1000</v>
      </c>
      <c r="E196" s="14">
        <f t="shared" si="11"/>
        <v>603</v>
      </c>
      <c r="F196" s="10">
        <f t="shared" si="11"/>
        <v>0</v>
      </c>
      <c r="G196" s="14">
        <f t="shared" si="11"/>
        <v>0</v>
      </c>
      <c r="H196" s="42">
        <f t="shared" si="11"/>
        <v>0</v>
      </c>
      <c r="I196" s="10">
        <f t="shared" si="11"/>
        <v>0</v>
      </c>
      <c r="J196" s="10">
        <f t="shared" si="9"/>
        <v>0</v>
      </c>
      <c r="K196" s="119">
        <f t="shared" si="10"/>
        <v>331993.05835010053</v>
      </c>
    </row>
    <row r="197" spans="1:11" x14ac:dyDescent="0.25">
      <c r="A197" s="50">
        <f>'A) Base RI'!A196</f>
        <v>5717</v>
      </c>
      <c r="B197" s="33" t="str">
        <f>'A) Base RI'!B196</f>
        <v>Founex</v>
      </c>
      <c r="C197" s="14">
        <f>'A) Base RI'!V196</f>
        <v>3788</v>
      </c>
      <c r="D197" s="10">
        <f t="shared" si="12"/>
        <v>1000</v>
      </c>
      <c r="E197" s="14">
        <f t="shared" si="11"/>
        <v>2000</v>
      </c>
      <c r="F197" s="10">
        <f t="shared" si="11"/>
        <v>788</v>
      </c>
      <c r="G197" s="14">
        <f t="shared" si="11"/>
        <v>0</v>
      </c>
      <c r="H197" s="42">
        <f t="shared" si="11"/>
        <v>0</v>
      </c>
      <c r="I197" s="10">
        <f t="shared" si="11"/>
        <v>0</v>
      </c>
      <c r="J197" s="10">
        <f t="shared" si="9"/>
        <v>0</v>
      </c>
      <c r="K197" s="119">
        <f t="shared" si="10"/>
        <v>1204283.7022132794</v>
      </c>
    </row>
    <row r="198" spans="1:11" x14ac:dyDescent="0.25">
      <c r="A198" s="50">
        <f>'A) Base RI'!A197</f>
        <v>5718</v>
      </c>
      <c r="B198" s="33" t="str">
        <f>'A) Base RI'!B197</f>
        <v>Genolier</v>
      </c>
      <c r="C198" s="14">
        <f>'A) Base RI'!V197</f>
        <v>1945</v>
      </c>
      <c r="D198" s="10">
        <f t="shared" si="12"/>
        <v>1000</v>
      </c>
      <c r="E198" s="14">
        <f t="shared" si="11"/>
        <v>945</v>
      </c>
      <c r="F198" s="10">
        <f t="shared" si="11"/>
        <v>0</v>
      </c>
      <c r="G198" s="14">
        <f t="shared" si="11"/>
        <v>0</v>
      </c>
      <c r="H198" s="42">
        <f t="shared" si="11"/>
        <v>0</v>
      </c>
      <c r="I198" s="10">
        <f t="shared" si="11"/>
        <v>0</v>
      </c>
      <c r="J198" s="10">
        <f t="shared" si="9"/>
        <v>0</v>
      </c>
      <c r="K198" s="119">
        <f t="shared" si="10"/>
        <v>450247.98792756535</v>
      </c>
    </row>
    <row r="199" spans="1:11" x14ac:dyDescent="0.25">
      <c r="A199" s="50">
        <f>'A) Base RI'!A198</f>
        <v>5719</v>
      </c>
      <c r="B199" s="33" t="str">
        <f>'A) Base RI'!B198</f>
        <v>Gingins</v>
      </c>
      <c r="C199" s="14">
        <f>'A) Base RI'!V198</f>
        <v>1212</v>
      </c>
      <c r="D199" s="10">
        <f t="shared" si="12"/>
        <v>1000</v>
      </c>
      <c r="E199" s="14">
        <f t="shared" si="11"/>
        <v>212</v>
      </c>
      <c r="F199" s="10">
        <f t="shared" si="11"/>
        <v>0</v>
      </c>
      <c r="G199" s="14">
        <f t="shared" si="11"/>
        <v>0</v>
      </c>
      <c r="H199" s="42">
        <f t="shared" si="11"/>
        <v>0</v>
      </c>
      <c r="I199" s="10">
        <f t="shared" si="11"/>
        <v>0</v>
      </c>
      <c r="J199" s="10">
        <f t="shared" si="9"/>
        <v>0</v>
      </c>
      <c r="K199" s="119">
        <f t="shared" si="10"/>
        <v>196795.17102615692</v>
      </c>
    </row>
    <row r="200" spans="1:11" x14ac:dyDescent="0.25">
      <c r="A200" s="50">
        <f>'A) Base RI'!A199</f>
        <v>5720</v>
      </c>
      <c r="B200" s="33" t="str">
        <f>'A) Base RI'!B199</f>
        <v>Givrins</v>
      </c>
      <c r="C200" s="14">
        <f>'A) Base RI'!V199</f>
        <v>995</v>
      </c>
      <c r="D200" s="10">
        <f t="shared" si="12"/>
        <v>995</v>
      </c>
      <c r="E200" s="14">
        <f t="shared" si="11"/>
        <v>0</v>
      </c>
      <c r="F200" s="10">
        <f t="shared" si="11"/>
        <v>0</v>
      </c>
      <c r="G200" s="14">
        <f t="shared" si="11"/>
        <v>0</v>
      </c>
      <c r="H200" s="42">
        <f t="shared" si="11"/>
        <v>0</v>
      </c>
      <c r="I200" s="10">
        <f t="shared" si="11"/>
        <v>0</v>
      </c>
      <c r="J200" s="10">
        <f t="shared" si="9"/>
        <v>0</v>
      </c>
      <c r="K200" s="119">
        <f t="shared" si="10"/>
        <v>122873.49094567403</v>
      </c>
    </row>
    <row r="201" spans="1:11" x14ac:dyDescent="0.25">
      <c r="A201" s="50">
        <f>'A) Base RI'!A200</f>
        <v>5721</v>
      </c>
      <c r="B201" s="33" t="str">
        <f>'A) Base RI'!B200</f>
        <v>Gland</v>
      </c>
      <c r="C201" s="14">
        <f>'A) Base RI'!V200</f>
        <v>13081</v>
      </c>
      <c r="D201" s="10">
        <f t="shared" si="12"/>
        <v>1000</v>
      </c>
      <c r="E201" s="14">
        <f t="shared" si="11"/>
        <v>2000</v>
      </c>
      <c r="F201" s="10">
        <f t="shared" si="11"/>
        <v>2000</v>
      </c>
      <c r="G201" s="14">
        <f t="shared" si="11"/>
        <v>4000</v>
      </c>
      <c r="H201" s="42">
        <f t="shared" si="11"/>
        <v>3000</v>
      </c>
      <c r="I201" s="10">
        <f t="shared" si="11"/>
        <v>1081</v>
      </c>
      <c r="J201" s="10">
        <f t="shared" ref="J201:J264" si="13">IF(C201&gt;$J$4,C201-$J$4,0)</f>
        <v>0</v>
      </c>
      <c r="K201" s="119">
        <f t="shared" ref="K201:K264" si="14">(D201*D$7)+(E201*E$7)+(F201*F$7)+(G201*G$7)+(H201*H$7)+(I201*I$7)+(J201*J$7)</f>
        <v>7761158.9537223335</v>
      </c>
    </row>
    <row r="202" spans="1:11" x14ac:dyDescent="0.25">
      <c r="A202" s="50">
        <f>'A) Base RI'!A201</f>
        <v>5722</v>
      </c>
      <c r="B202" s="33" t="str">
        <f>'A) Base RI'!B201</f>
        <v>Grens</v>
      </c>
      <c r="C202" s="14">
        <f>'A) Base RI'!V201</f>
        <v>382</v>
      </c>
      <c r="D202" s="10">
        <f t="shared" si="12"/>
        <v>382</v>
      </c>
      <c r="E202" s="14">
        <f t="shared" si="11"/>
        <v>0</v>
      </c>
      <c r="F202" s="10">
        <f t="shared" si="11"/>
        <v>0</v>
      </c>
      <c r="G202" s="14">
        <f t="shared" si="11"/>
        <v>0</v>
      </c>
      <c r="H202" s="42">
        <f t="shared" si="11"/>
        <v>0</v>
      </c>
      <c r="I202" s="10">
        <f t="shared" si="11"/>
        <v>0</v>
      </c>
      <c r="J202" s="10">
        <f t="shared" si="13"/>
        <v>0</v>
      </c>
      <c r="K202" s="119">
        <f t="shared" si="14"/>
        <v>47173.541247484907</v>
      </c>
    </row>
    <row r="203" spans="1:11" x14ac:dyDescent="0.25">
      <c r="A203" s="50">
        <f>'A) Base RI'!A202</f>
        <v>5723</v>
      </c>
      <c r="B203" s="33" t="str">
        <f>'A) Base RI'!B202</f>
        <v>Mies</v>
      </c>
      <c r="C203" s="14">
        <f>'A) Base RI'!V202</f>
        <v>2037</v>
      </c>
      <c r="D203" s="10">
        <f t="shared" si="12"/>
        <v>1000</v>
      </c>
      <c r="E203" s="14">
        <f t="shared" si="11"/>
        <v>1037</v>
      </c>
      <c r="F203" s="10">
        <f t="shared" si="11"/>
        <v>0</v>
      </c>
      <c r="G203" s="14">
        <f t="shared" si="11"/>
        <v>0</v>
      </c>
      <c r="H203" s="42">
        <f t="shared" si="11"/>
        <v>0</v>
      </c>
      <c r="I203" s="10">
        <f t="shared" si="11"/>
        <v>0</v>
      </c>
      <c r="J203" s="10">
        <f t="shared" si="13"/>
        <v>0</v>
      </c>
      <c r="K203" s="119">
        <f t="shared" si="14"/>
        <v>482059.25553319918</v>
      </c>
    </row>
    <row r="204" spans="1:11" x14ac:dyDescent="0.25">
      <c r="A204" s="50">
        <f>'A) Base RI'!A203</f>
        <v>5724</v>
      </c>
      <c r="B204" s="33" t="str">
        <f>'A) Base RI'!B203</f>
        <v>Nyon</v>
      </c>
      <c r="C204" s="14">
        <f>'A) Base RI'!V203</f>
        <v>20551</v>
      </c>
      <c r="D204" s="10">
        <f t="shared" si="12"/>
        <v>1000</v>
      </c>
      <c r="E204" s="14">
        <f t="shared" si="11"/>
        <v>2000</v>
      </c>
      <c r="F204" s="10">
        <f t="shared" si="11"/>
        <v>2000</v>
      </c>
      <c r="G204" s="14">
        <f t="shared" si="11"/>
        <v>4000</v>
      </c>
      <c r="H204" s="42">
        <f t="shared" si="11"/>
        <v>3000</v>
      </c>
      <c r="I204" s="10">
        <f t="shared" si="11"/>
        <v>3000</v>
      </c>
      <c r="J204" s="10">
        <f t="shared" si="13"/>
        <v>5551</v>
      </c>
      <c r="K204" s="119">
        <f t="shared" si="14"/>
        <v>15415177.162977867</v>
      </c>
    </row>
    <row r="205" spans="1:11" x14ac:dyDescent="0.25">
      <c r="A205" s="50">
        <f>'A) Base RI'!A204</f>
        <v>5725</v>
      </c>
      <c r="B205" s="33" t="str">
        <f>'A) Base RI'!B204</f>
        <v>Prangins</v>
      </c>
      <c r="C205" s="14">
        <f>'A) Base RI'!V204</f>
        <v>4069</v>
      </c>
      <c r="D205" s="10">
        <f t="shared" si="12"/>
        <v>1000</v>
      </c>
      <c r="E205" s="14">
        <f t="shared" si="11"/>
        <v>2000</v>
      </c>
      <c r="F205" s="10">
        <f t="shared" si="11"/>
        <v>1069</v>
      </c>
      <c r="G205" s="14">
        <f t="shared" si="11"/>
        <v>0</v>
      </c>
      <c r="H205" s="42">
        <f t="shared" si="11"/>
        <v>0</v>
      </c>
      <c r="I205" s="10">
        <f t="shared" si="11"/>
        <v>0</v>
      </c>
      <c r="J205" s="10">
        <f t="shared" si="13"/>
        <v>0</v>
      </c>
      <c r="K205" s="119">
        <f t="shared" si="14"/>
        <v>1343087.5251509054</v>
      </c>
    </row>
    <row r="206" spans="1:11" x14ac:dyDescent="0.25">
      <c r="A206" s="50">
        <f>'A) Base RI'!A205</f>
        <v>5726</v>
      </c>
      <c r="B206" s="33" t="str">
        <f>'A) Base RI'!B205</f>
        <v>La Rippe</v>
      </c>
      <c r="C206" s="14">
        <f>'A) Base RI'!V205</f>
        <v>1164</v>
      </c>
      <c r="D206" s="10">
        <f t="shared" si="12"/>
        <v>1000</v>
      </c>
      <c r="E206" s="14">
        <f t="shared" si="11"/>
        <v>164</v>
      </c>
      <c r="F206" s="10">
        <f t="shared" si="11"/>
        <v>0</v>
      </c>
      <c r="G206" s="14">
        <f t="shared" si="11"/>
        <v>0</v>
      </c>
      <c r="H206" s="42">
        <f t="shared" si="11"/>
        <v>0</v>
      </c>
      <c r="I206" s="10">
        <f t="shared" si="11"/>
        <v>0</v>
      </c>
      <c r="J206" s="10">
        <f t="shared" si="13"/>
        <v>0</v>
      </c>
      <c r="K206" s="119">
        <f t="shared" si="14"/>
        <v>180197.98792756538</v>
      </c>
    </row>
    <row r="207" spans="1:11" x14ac:dyDescent="0.25">
      <c r="A207" s="50">
        <f>'A) Base RI'!A206</f>
        <v>5727</v>
      </c>
      <c r="B207" s="33" t="str">
        <f>'A) Base RI'!B206</f>
        <v>Saint-Cergue</v>
      </c>
      <c r="C207" s="14">
        <f>'A) Base RI'!V206</f>
        <v>2559</v>
      </c>
      <c r="D207" s="10">
        <f t="shared" si="12"/>
        <v>1000</v>
      </c>
      <c r="E207" s="14">
        <f t="shared" si="11"/>
        <v>1559</v>
      </c>
      <c r="F207" s="10">
        <f t="shared" si="11"/>
        <v>0</v>
      </c>
      <c r="G207" s="14">
        <f t="shared" si="11"/>
        <v>0</v>
      </c>
      <c r="H207" s="42">
        <f t="shared" si="11"/>
        <v>0</v>
      </c>
      <c r="I207" s="10">
        <f t="shared" si="11"/>
        <v>0</v>
      </c>
      <c r="J207" s="10">
        <f t="shared" si="13"/>
        <v>0</v>
      </c>
      <c r="K207" s="119">
        <f t="shared" si="14"/>
        <v>662553.62173038232</v>
      </c>
    </row>
    <row r="208" spans="1:11" x14ac:dyDescent="0.25">
      <c r="A208" s="50">
        <f>'A) Base RI'!A207</f>
        <v>5728</v>
      </c>
      <c r="B208" s="33" t="str">
        <f>'A) Base RI'!B207</f>
        <v>Signy-Avenex</v>
      </c>
      <c r="C208" s="14">
        <f>'A) Base RI'!V207</f>
        <v>567</v>
      </c>
      <c r="D208" s="10">
        <f t="shared" si="12"/>
        <v>567</v>
      </c>
      <c r="E208" s="14">
        <f t="shared" si="11"/>
        <v>0</v>
      </c>
      <c r="F208" s="10">
        <f t="shared" si="11"/>
        <v>0</v>
      </c>
      <c r="G208" s="14">
        <f t="shared" ref="E208:I259" si="15">IF($C208&gt;G$4,IF($C208&lt;G$5,$C208-G$4,G$5-G$4),0)</f>
        <v>0</v>
      </c>
      <c r="H208" s="42">
        <f t="shared" si="15"/>
        <v>0</v>
      </c>
      <c r="I208" s="10">
        <f t="shared" si="15"/>
        <v>0</v>
      </c>
      <c r="J208" s="10">
        <f t="shared" si="13"/>
        <v>0</v>
      </c>
      <c r="K208" s="119">
        <f t="shared" si="14"/>
        <v>70019.366197183088</v>
      </c>
    </row>
    <row r="209" spans="1:11" x14ac:dyDescent="0.25">
      <c r="A209" s="50">
        <f>'A) Base RI'!A208</f>
        <v>5729</v>
      </c>
      <c r="B209" s="33" t="str">
        <f>'A) Base RI'!B208</f>
        <v>Tannay</v>
      </c>
      <c r="C209" s="14">
        <f>'A) Base RI'!V208</f>
        <v>1585</v>
      </c>
      <c r="D209" s="10">
        <f t="shared" si="12"/>
        <v>1000</v>
      </c>
      <c r="E209" s="14">
        <f t="shared" si="15"/>
        <v>585</v>
      </c>
      <c r="F209" s="10">
        <f t="shared" si="15"/>
        <v>0</v>
      </c>
      <c r="G209" s="14">
        <f t="shared" si="15"/>
        <v>0</v>
      </c>
      <c r="H209" s="42">
        <f t="shared" si="15"/>
        <v>0</v>
      </c>
      <c r="I209" s="10">
        <f t="shared" si="15"/>
        <v>0</v>
      </c>
      <c r="J209" s="10">
        <f t="shared" si="13"/>
        <v>0</v>
      </c>
      <c r="K209" s="119">
        <f t="shared" si="14"/>
        <v>325769.1146881287</v>
      </c>
    </row>
    <row r="210" spans="1:11" x14ac:dyDescent="0.25">
      <c r="A210" s="50">
        <f>'A) Base RI'!A209</f>
        <v>5730</v>
      </c>
      <c r="B210" s="33" t="str">
        <f>'A) Base RI'!B209</f>
        <v>Trélex</v>
      </c>
      <c r="C210" s="14">
        <f>'A) Base RI'!V209</f>
        <v>1405</v>
      </c>
      <c r="D210" s="10">
        <f t="shared" si="12"/>
        <v>1000</v>
      </c>
      <c r="E210" s="14">
        <f t="shared" si="15"/>
        <v>405</v>
      </c>
      <c r="F210" s="10">
        <f t="shared" si="15"/>
        <v>0</v>
      </c>
      <c r="G210" s="14">
        <f t="shared" si="15"/>
        <v>0</v>
      </c>
      <c r="H210" s="42">
        <f t="shared" si="15"/>
        <v>0</v>
      </c>
      <c r="I210" s="10">
        <f t="shared" si="15"/>
        <v>0</v>
      </c>
      <c r="J210" s="10">
        <f t="shared" si="13"/>
        <v>0</v>
      </c>
      <c r="K210" s="119">
        <f t="shared" si="14"/>
        <v>263529.67806841043</v>
      </c>
    </row>
    <row r="211" spans="1:11" x14ac:dyDescent="0.25">
      <c r="A211" s="50">
        <f>'A) Base RI'!A210</f>
        <v>5731</v>
      </c>
      <c r="B211" s="33" t="str">
        <f>'A) Base RI'!B210</f>
        <v>Le Vaud</v>
      </c>
      <c r="C211" s="14">
        <f>'A) Base RI'!V210</f>
        <v>1283</v>
      </c>
      <c r="D211" s="10">
        <f t="shared" si="12"/>
        <v>1000</v>
      </c>
      <c r="E211" s="14">
        <f t="shared" si="15"/>
        <v>283</v>
      </c>
      <c r="F211" s="10">
        <f t="shared" si="15"/>
        <v>0</v>
      </c>
      <c r="G211" s="14">
        <f t="shared" si="15"/>
        <v>0</v>
      </c>
      <c r="H211" s="42">
        <f t="shared" si="15"/>
        <v>0</v>
      </c>
      <c r="I211" s="10">
        <f t="shared" si="15"/>
        <v>0</v>
      </c>
      <c r="J211" s="10">
        <f t="shared" si="13"/>
        <v>0</v>
      </c>
      <c r="K211" s="119">
        <f t="shared" si="14"/>
        <v>221345.17102615692</v>
      </c>
    </row>
    <row r="212" spans="1:11" x14ac:dyDescent="0.25">
      <c r="A212" s="50">
        <f>'A) Base RI'!A211</f>
        <v>5732</v>
      </c>
      <c r="B212" s="33" t="str">
        <f>'A) Base RI'!B211</f>
        <v>Vich</v>
      </c>
      <c r="C212" s="14">
        <f>'A) Base RI'!V211</f>
        <v>1026</v>
      </c>
      <c r="D212" s="10">
        <f t="shared" si="12"/>
        <v>1000</v>
      </c>
      <c r="E212" s="14">
        <f t="shared" si="15"/>
        <v>26</v>
      </c>
      <c r="F212" s="10">
        <f t="shared" si="15"/>
        <v>0</v>
      </c>
      <c r="G212" s="14">
        <f t="shared" si="15"/>
        <v>0</v>
      </c>
      <c r="H212" s="42">
        <f t="shared" si="15"/>
        <v>0</v>
      </c>
      <c r="I212" s="10">
        <f t="shared" si="15"/>
        <v>0</v>
      </c>
      <c r="J212" s="10">
        <f t="shared" si="13"/>
        <v>0</v>
      </c>
      <c r="K212" s="119">
        <f t="shared" si="14"/>
        <v>132481.08651911467</v>
      </c>
    </row>
    <row r="213" spans="1:11" x14ac:dyDescent="0.25">
      <c r="A213" s="50">
        <f>'A) Base RI'!A212</f>
        <v>5741</v>
      </c>
      <c r="B213" s="33" t="str">
        <f>'A) Base RI'!B212</f>
        <v>L'Abergement</v>
      </c>
      <c r="C213" s="14">
        <f>'A) Base RI'!V212</f>
        <v>237</v>
      </c>
      <c r="D213" s="10">
        <f t="shared" si="12"/>
        <v>237</v>
      </c>
      <c r="E213" s="14">
        <f t="shared" si="15"/>
        <v>0</v>
      </c>
      <c r="F213" s="10">
        <f t="shared" si="15"/>
        <v>0</v>
      </c>
      <c r="G213" s="14">
        <f t="shared" si="15"/>
        <v>0</v>
      </c>
      <c r="H213" s="42">
        <f t="shared" si="15"/>
        <v>0</v>
      </c>
      <c r="I213" s="10">
        <f t="shared" si="15"/>
        <v>0</v>
      </c>
      <c r="J213" s="10">
        <f t="shared" si="13"/>
        <v>0</v>
      </c>
      <c r="K213" s="119">
        <f t="shared" si="14"/>
        <v>29267.35412474849</v>
      </c>
    </row>
    <row r="214" spans="1:11" x14ac:dyDescent="0.25">
      <c r="A214" s="50">
        <f>'A) Base RI'!A213</f>
        <v>5742</v>
      </c>
      <c r="B214" s="33" t="str">
        <f>'A) Base RI'!B213</f>
        <v>Agiez</v>
      </c>
      <c r="C214" s="14">
        <f>'A) Base RI'!V213</f>
        <v>314</v>
      </c>
      <c r="D214" s="10">
        <f t="shared" si="12"/>
        <v>314</v>
      </c>
      <c r="E214" s="14">
        <f t="shared" si="15"/>
        <v>0</v>
      </c>
      <c r="F214" s="10">
        <f t="shared" si="15"/>
        <v>0</v>
      </c>
      <c r="G214" s="14">
        <f t="shared" si="15"/>
        <v>0</v>
      </c>
      <c r="H214" s="42">
        <f t="shared" si="15"/>
        <v>0</v>
      </c>
      <c r="I214" s="10">
        <f t="shared" si="15"/>
        <v>0</v>
      </c>
      <c r="J214" s="10">
        <f t="shared" si="13"/>
        <v>0</v>
      </c>
      <c r="K214" s="119">
        <f t="shared" si="14"/>
        <v>38776.156941649897</v>
      </c>
    </row>
    <row r="215" spans="1:11" x14ac:dyDescent="0.25">
      <c r="A215" s="50">
        <f>'A) Base RI'!A214</f>
        <v>5743</v>
      </c>
      <c r="B215" s="33" t="str">
        <f>'A) Base RI'!B214</f>
        <v>Arnex-sur-Orbe</v>
      </c>
      <c r="C215" s="14">
        <f>'A) Base RI'!V214</f>
        <v>642</v>
      </c>
      <c r="D215" s="10">
        <f t="shared" si="12"/>
        <v>642</v>
      </c>
      <c r="E215" s="14">
        <f t="shared" si="15"/>
        <v>0</v>
      </c>
      <c r="F215" s="10">
        <f t="shared" si="15"/>
        <v>0</v>
      </c>
      <c r="G215" s="14">
        <f t="shared" si="15"/>
        <v>0</v>
      </c>
      <c r="H215" s="42">
        <f t="shared" si="15"/>
        <v>0</v>
      </c>
      <c r="I215" s="10">
        <f t="shared" si="15"/>
        <v>0</v>
      </c>
      <c r="J215" s="10">
        <f t="shared" si="13"/>
        <v>0</v>
      </c>
      <c r="K215" s="119">
        <f t="shared" si="14"/>
        <v>79281.187122736417</v>
      </c>
    </row>
    <row r="216" spans="1:11" x14ac:dyDescent="0.25">
      <c r="A216" s="50">
        <f>'A) Base RI'!A215</f>
        <v>5744</v>
      </c>
      <c r="B216" s="33" t="str">
        <f>'A) Base RI'!B215</f>
        <v>Ballaigues</v>
      </c>
      <c r="C216" s="14">
        <f>'A) Base RI'!V215</f>
        <v>1095</v>
      </c>
      <c r="D216" s="10">
        <f t="shared" si="12"/>
        <v>1000</v>
      </c>
      <c r="E216" s="14">
        <f t="shared" si="15"/>
        <v>95</v>
      </c>
      <c r="F216" s="10">
        <f t="shared" si="15"/>
        <v>0</v>
      </c>
      <c r="G216" s="14">
        <f t="shared" si="15"/>
        <v>0</v>
      </c>
      <c r="H216" s="42">
        <f t="shared" si="15"/>
        <v>0</v>
      </c>
      <c r="I216" s="10">
        <f t="shared" si="15"/>
        <v>0</v>
      </c>
      <c r="J216" s="10">
        <f t="shared" si="13"/>
        <v>0</v>
      </c>
      <c r="K216" s="119">
        <f t="shared" si="14"/>
        <v>156339.53722334001</v>
      </c>
    </row>
    <row r="217" spans="1:11" x14ac:dyDescent="0.25">
      <c r="A217" s="50">
        <f>'A) Base RI'!A216</f>
        <v>5745</v>
      </c>
      <c r="B217" s="33" t="str">
        <f>'A) Base RI'!B216</f>
        <v>Baulmes</v>
      </c>
      <c r="C217" s="14">
        <f>'A) Base RI'!V216</f>
        <v>1053</v>
      </c>
      <c r="D217" s="10">
        <f t="shared" si="12"/>
        <v>1000</v>
      </c>
      <c r="E217" s="14">
        <f t="shared" si="15"/>
        <v>53</v>
      </c>
      <c r="F217" s="10">
        <f t="shared" si="15"/>
        <v>0</v>
      </c>
      <c r="G217" s="14">
        <f t="shared" si="15"/>
        <v>0</v>
      </c>
      <c r="H217" s="42">
        <f t="shared" si="15"/>
        <v>0</v>
      </c>
      <c r="I217" s="10">
        <f t="shared" si="15"/>
        <v>0</v>
      </c>
      <c r="J217" s="10">
        <f t="shared" si="13"/>
        <v>0</v>
      </c>
      <c r="K217" s="119">
        <f t="shared" si="14"/>
        <v>141817.00201207242</v>
      </c>
    </row>
    <row r="218" spans="1:11" x14ac:dyDescent="0.25">
      <c r="A218" s="50">
        <f>'A) Base RI'!A217</f>
        <v>5746</v>
      </c>
      <c r="B218" s="33" t="str">
        <f>'A) Base RI'!B217</f>
        <v>Bavois</v>
      </c>
      <c r="C218" s="14">
        <f>'A) Base RI'!V217</f>
        <v>928</v>
      </c>
      <c r="D218" s="10">
        <f t="shared" si="12"/>
        <v>928</v>
      </c>
      <c r="E218" s="14">
        <f t="shared" si="15"/>
        <v>0</v>
      </c>
      <c r="F218" s="10">
        <f t="shared" si="15"/>
        <v>0</v>
      </c>
      <c r="G218" s="14">
        <f t="shared" si="15"/>
        <v>0</v>
      </c>
      <c r="H218" s="42">
        <f t="shared" si="15"/>
        <v>0</v>
      </c>
      <c r="I218" s="10">
        <f t="shared" si="15"/>
        <v>0</v>
      </c>
      <c r="J218" s="10">
        <f t="shared" si="13"/>
        <v>0</v>
      </c>
      <c r="K218" s="119">
        <f t="shared" si="14"/>
        <v>114599.59758551307</v>
      </c>
    </row>
    <row r="219" spans="1:11" x14ac:dyDescent="0.25">
      <c r="A219" s="50">
        <f>'A) Base RI'!A218</f>
        <v>5747</v>
      </c>
      <c r="B219" s="33" t="str">
        <f>'A) Base RI'!B218</f>
        <v>Bofflens</v>
      </c>
      <c r="C219" s="14">
        <f>'A) Base RI'!V218</f>
        <v>191</v>
      </c>
      <c r="D219" s="10">
        <f t="shared" si="12"/>
        <v>191</v>
      </c>
      <c r="E219" s="14">
        <f t="shared" si="15"/>
        <v>0</v>
      </c>
      <c r="F219" s="10">
        <f t="shared" si="15"/>
        <v>0</v>
      </c>
      <c r="G219" s="14">
        <f t="shared" si="15"/>
        <v>0</v>
      </c>
      <c r="H219" s="42">
        <f t="shared" si="15"/>
        <v>0</v>
      </c>
      <c r="I219" s="10">
        <f t="shared" si="15"/>
        <v>0</v>
      </c>
      <c r="J219" s="10">
        <f t="shared" si="13"/>
        <v>0</v>
      </c>
      <c r="K219" s="119">
        <f t="shared" si="14"/>
        <v>23586.770623742454</v>
      </c>
    </row>
    <row r="220" spans="1:11" x14ac:dyDescent="0.25">
      <c r="A220" s="50">
        <f>'A) Base RI'!A219</f>
        <v>5748</v>
      </c>
      <c r="B220" s="33" t="str">
        <f>'A) Base RI'!B219</f>
        <v>Bretonnières</v>
      </c>
      <c r="C220" s="14">
        <f>'A) Base RI'!V219</f>
        <v>262</v>
      </c>
      <c r="D220" s="10">
        <f t="shared" si="12"/>
        <v>262</v>
      </c>
      <c r="E220" s="14">
        <f t="shared" si="15"/>
        <v>0</v>
      </c>
      <c r="F220" s="10">
        <f t="shared" si="15"/>
        <v>0</v>
      </c>
      <c r="G220" s="14">
        <f t="shared" si="15"/>
        <v>0</v>
      </c>
      <c r="H220" s="42">
        <f t="shared" si="15"/>
        <v>0</v>
      </c>
      <c r="I220" s="10">
        <f t="shared" si="15"/>
        <v>0</v>
      </c>
      <c r="J220" s="10">
        <f t="shared" si="13"/>
        <v>0</v>
      </c>
      <c r="K220" s="119">
        <f t="shared" si="14"/>
        <v>32354.627766599595</v>
      </c>
    </row>
    <row r="221" spans="1:11" x14ac:dyDescent="0.25">
      <c r="A221" s="50">
        <f>'A) Base RI'!A220</f>
        <v>5749</v>
      </c>
      <c r="B221" s="33" t="str">
        <f>'A) Base RI'!B220</f>
        <v>Chavornay</v>
      </c>
      <c r="C221" s="14">
        <f>'A) Base RI'!V220</f>
        <v>4908</v>
      </c>
      <c r="D221" s="10">
        <f t="shared" si="12"/>
        <v>1000</v>
      </c>
      <c r="E221" s="14">
        <f t="shared" si="15"/>
        <v>2000</v>
      </c>
      <c r="F221" s="10">
        <f t="shared" si="15"/>
        <v>1908</v>
      </c>
      <c r="G221" s="14">
        <f t="shared" si="15"/>
        <v>0</v>
      </c>
      <c r="H221" s="42">
        <f t="shared" si="15"/>
        <v>0</v>
      </c>
      <c r="I221" s="10">
        <f t="shared" si="15"/>
        <v>0</v>
      </c>
      <c r="J221" s="10">
        <f t="shared" si="13"/>
        <v>0</v>
      </c>
      <c r="K221" s="119">
        <f t="shared" si="14"/>
        <v>1757523.1388329978</v>
      </c>
    </row>
    <row r="222" spans="1:11" x14ac:dyDescent="0.25">
      <c r="A222" s="50">
        <f>'A) Base RI'!A221</f>
        <v>5750</v>
      </c>
      <c r="B222" s="33" t="str">
        <f>'A) Base RI'!B221</f>
        <v>Les Clées</v>
      </c>
      <c r="C222" s="14">
        <f>'A) Base RI'!V221</f>
        <v>181</v>
      </c>
      <c r="D222" s="10">
        <f t="shared" si="12"/>
        <v>181</v>
      </c>
      <c r="E222" s="14">
        <f t="shared" si="15"/>
        <v>0</v>
      </c>
      <c r="F222" s="10">
        <f t="shared" si="15"/>
        <v>0</v>
      </c>
      <c r="G222" s="14">
        <f t="shared" si="15"/>
        <v>0</v>
      </c>
      <c r="H222" s="42">
        <f t="shared" si="15"/>
        <v>0</v>
      </c>
      <c r="I222" s="10">
        <f t="shared" si="15"/>
        <v>0</v>
      </c>
      <c r="J222" s="10">
        <f t="shared" si="13"/>
        <v>0</v>
      </c>
      <c r="K222" s="119">
        <f t="shared" si="14"/>
        <v>22351.861167002011</v>
      </c>
    </row>
    <row r="223" spans="1:11" x14ac:dyDescent="0.25">
      <c r="A223" s="50">
        <f>'A) Base RI'!A222</f>
        <v>5752</v>
      </c>
      <c r="B223" s="33" t="str">
        <f>'A) Base RI'!B222</f>
        <v>Croy</v>
      </c>
      <c r="C223" s="14">
        <f>'A) Base RI'!V222</f>
        <v>379</v>
      </c>
      <c r="D223" s="10">
        <f t="shared" si="12"/>
        <v>379</v>
      </c>
      <c r="E223" s="14">
        <f t="shared" si="15"/>
        <v>0</v>
      </c>
      <c r="F223" s="10">
        <f t="shared" si="15"/>
        <v>0</v>
      </c>
      <c r="G223" s="14">
        <f t="shared" si="15"/>
        <v>0</v>
      </c>
      <c r="H223" s="42">
        <f t="shared" si="15"/>
        <v>0</v>
      </c>
      <c r="I223" s="10">
        <f t="shared" si="15"/>
        <v>0</v>
      </c>
      <c r="J223" s="10">
        <f t="shared" si="13"/>
        <v>0</v>
      </c>
      <c r="K223" s="119">
        <f t="shared" si="14"/>
        <v>46803.068410462773</v>
      </c>
    </row>
    <row r="224" spans="1:11" x14ac:dyDescent="0.25">
      <c r="A224" s="50">
        <f>'A) Base RI'!A223</f>
        <v>5754</v>
      </c>
      <c r="B224" s="33" t="str">
        <f>'A) Base RI'!B223</f>
        <v>Juriens</v>
      </c>
      <c r="C224" s="14">
        <f>'A) Base RI'!V223</f>
        <v>309</v>
      </c>
      <c r="D224" s="10">
        <f t="shared" si="12"/>
        <v>309</v>
      </c>
      <c r="E224" s="14">
        <f t="shared" si="15"/>
        <v>0</v>
      </c>
      <c r="F224" s="10">
        <f t="shared" si="15"/>
        <v>0</v>
      </c>
      <c r="G224" s="14">
        <f t="shared" si="15"/>
        <v>0</v>
      </c>
      <c r="H224" s="42">
        <f t="shared" si="15"/>
        <v>0</v>
      </c>
      <c r="I224" s="10">
        <f t="shared" si="15"/>
        <v>0</v>
      </c>
      <c r="J224" s="10">
        <f t="shared" si="13"/>
        <v>0</v>
      </c>
      <c r="K224" s="119">
        <f t="shared" si="14"/>
        <v>38158.702213279677</v>
      </c>
    </row>
    <row r="225" spans="1:11" x14ac:dyDescent="0.25">
      <c r="A225" s="50">
        <f>'A) Base RI'!A224</f>
        <v>5755</v>
      </c>
      <c r="B225" s="33" t="str">
        <f>'A) Base RI'!B224</f>
        <v>Lignerolle</v>
      </c>
      <c r="C225" s="14">
        <f>'A) Base RI'!V224</f>
        <v>417</v>
      </c>
      <c r="D225" s="10">
        <f t="shared" si="12"/>
        <v>417</v>
      </c>
      <c r="E225" s="14">
        <f t="shared" si="15"/>
        <v>0</v>
      </c>
      <c r="F225" s="10">
        <f t="shared" si="15"/>
        <v>0</v>
      </c>
      <c r="G225" s="14">
        <f t="shared" si="15"/>
        <v>0</v>
      </c>
      <c r="H225" s="42">
        <f t="shared" si="15"/>
        <v>0</v>
      </c>
      <c r="I225" s="10">
        <f t="shared" si="15"/>
        <v>0</v>
      </c>
      <c r="J225" s="10">
        <f t="shared" si="13"/>
        <v>0</v>
      </c>
      <c r="K225" s="119">
        <f t="shared" si="14"/>
        <v>51495.724346076451</v>
      </c>
    </row>
    <row r="226" spans="1:11" x14ac:dyDescent="0.25">
      <c r="A226" s="50">
        <f>'A) Base RI'!A225</f>
        <v>5756</v>
      </c>
      <c r="B226" s="33" t="str">
        <f>'A) Base RI'!B225</f>
        <v>Montcherand</v>
      </c>
      <c r="C226" s="14">
        <f>'A) Base RI'!V225</f>
        <v>482</v>
      </c>
      <c r="D226" s="10">
        <f t="shared" si="12"/>
        <v>482</v>
      </c>
      <c r="E226" s="14">
        <f t="shared" si="15"/>
        <v>0</v>
      </c>
      <c r="F226" s="10">
        <f t="shared" si="15"/>
        <v>0</v>
      </c>
      <c r="G226" s="14">
        <f t="shared" si="15"/>
        <v>0</v>
      </c>
      <c r="H226" s="42">
        <f t="shared" si="15"/>
        <v>0</v>
      </c>
      <c r="I226" s="10">
        <f t="shared" si="15"/>
        <v>0</v>
      </c>
      <c r="J226" s="10">
        <f t="shared" si="13"/>
        <v>0</v>
      </c>
      <c r="K226" s="119">
        <f t="shared" si="14"/>
        <v>59522.635814889334</v>
      </c>
    </row>
    <row r="227" spans="1:11" x14ac:dyDescent="0.25">
      <c r="A227" s="50">
        <f>'A) Base RI'!A226</f>
        <v>5757</v>
      </c>
      <c r="B227" s="33" t="str">
        <f>'A) Base RI'!B226</f>
        <v>Orbe</v>
      </c>
      <c r="C227" s="14">
        <f>'A) Base RI'!V226</f>
        <v>6985</v>
      </c>
      <c r="D227" s="10">
        <f t="shared" si="12"/>
        <v>1000</v>
      </c>
      <c r="E227" s="14">
        <f t="shared" si="15"/>
        <v>2000</v>
      </c>
      <c r="F227" s="10">
        <f t="shared" si="15"/>
        <v>2000</v>
      </c>
      <c r="G227" s="14">
        <f t="shared" si="15"/>
        <v>1985</v>
      </c>
      <c r="H227" s="42">
        <f t="shared" si="15"/>
        <v>0</v>
      </c>
      <c r="I227" s="10">
        <f t="shared" si="15"/>
        <v>0</v>
      </c>
      <c r="J227" s="10">
        <f t="shared" si="13"/>
        <v>0</v>
      </c>
      <c r="K227" s="119">
        <f t="shared" si="14"/>
        <v>2979589.53722334</v>
      </c>
    </row>
    <row r="228" spans="1:11" x14ac:dyDescent="0.25">
      <c r="A228" s="50">
        <f>'A) Base RI'!A227</f>
        <v>5758</v>
      </c>
      <c r="B228" s="33" t="str">
        <f>'A) Base RI'!B227</f>
        <v>La Praz</v>
      </c>
      <c r="C228" s="14">
        <f>'A) Base RI'!V227</f>
        <v>160</v>
      </c>
      <c r="D228" s="10">
        <f t="shared" si="12"/>
        <v>160</v>
      </c>
      <c r="E228" s="14">
        <f t="shared" si="15"/>
        <v>0</v>
      </c>
      <c r="F228" s="10">
        <f t="shared" si="15"/>
        <v>0</v>
      </c>
      <c r="G228" s="14">
        <f t="shared" si="15"/>
        <v>0</v>
      </c>
      <c r="H228" s="42">
        <f t="shared" si="15"/>
        <v>0</v>
      </c>
      <c r="I228" s="10">
        <f t="shared" si="15"/>
        <v>0</v>
      </c>
      <c r="J228" s="10">
        <f t="shared" si="13"/>
        <v>0</v>
      </c>
      <c r="K228" s="119">
        <f t="shared" si="14"/>
        <v>19758.551307847079</v>
      </c>
    </row>
    <row r="229" spans="1:11" x14ac:dyDescent="0.25">
      <c r="A229" s="50">
        <f>'A) Base RI'!A228</f>
        <v>5759</v>
      </c>
      <c r="B229" s="33" t="str">
        <f>'A) Base RI'!B228</f>
        <v>Premier</v>
      </c>
      <c r="C229" s="14">
        <f>'A) Base RI'!V228</f>
        <v>210</v>
      </c>
      <c r="D229" s="10">
        <f t="shared" si="12"/>
        <v>210</v>
      </c>
      <c r="E229" s="14">
        <f t="shared" si="15"/>
        <v>0</v>
      </c>
      <c r="F229" s="10">
        <f t="shared" si="15"/>
        <v>0</v>
      </c>
      <c r="G229" s="14">
        <f t="shared" si="15"/>
        <v>0</v>
      </c>
      <c r="H229" s="42">
        <f t="shared" si="15"/>
        <v>0</v>
      </c>
      <c r="I229" s="10">
        <f t="shared" si="15"/>
        <v>0</v>
      </c>
      <c r="J229" s="10">
        <f t="shared" si="13"/>
        <v>0</v>
      </c>
      <c r="K229" s="119">
        <f t="shared" si="14"/>
        <v>25933.098591549293</v>
      </c>
    </row>
    <row r="230" spans="1:11" x14ac:dyDescent="0.25">
      <c r="A230" s="50">
        <f>'A) Base RI'!A229</f>
        <v>5760</v>
      </c>
      <c r="B230" s="33" t="str">
        <f>'A) Base RI'!B229</f>
        <v>Rances</v>
      </c>
      <c r="C230" s="14">
        <f>'A) Base RI'!V229</f>
        <v>485</v>
      </c>
      <c r="D230" s="10">
        <f t="shared" si="12"/>
        <v>485</v>
      </c>
      <c r="E230" s="14">
        <f t="shared" si="15"/>
        <v>0</v>
      </c>
      <c r="F230" s="10">
        <f t="shared" si="15"/>
        <v>0</v>
      </c>
      <c r="G230" s="14">
        <f t="shared" si="15"/>
        <v>0</v>
      </c>
      <c r="H230" s="42">
        <f t="shared" si="15"/>
        <v>0</v>
      </c>
      <c r="I230" s="10">
        <f t="shared" si="15"/>
        <v>0</v>
      </c>
      <c r="J230" s="10">
        <f t="shared" si="13"/>
        <v>0</v>
      </c>
      <c r="K230" s="119">
        <f t="shared" si="14"/>
        <v>59893.108651911461</v>
      </c>
    </row>
    <row r="231" spans="1:11" x14ac:dyDescent="0.25">
      <c r="A231" s="50">
        <f>'A) Base RI'!A230</f>
        <v>5761</v>
      </c>
      <c r="B231" s="33" t="str">
        <f>'A) Base RI'!B230</f>
        <v>Romainmôtier-Envy</v>
      </c>
      <c r="C231" s="14">
        <f>'A) Base RI'!V230</f>
        <v>551</v>
      </c>
      <c r="D231" s="10">
        <f t="shared" si="12"/>
        <v>551</v>
      </c>
      <c r="E231" s="14">
        <f t="shared" si="15"/>
        <v>0</v>
      </c>
      <c r="F231" s="10">
        <f t="shared" si="15"/>
        <v>0</v>
      </c>
      <c r="G231" s="14">
        <f t="shared" si="15"/>
        <v>0</v>
      </c>
      <c r="H231" s="42">
        <f t="shared" si="15"/>
        <v>0</v>
      </c>
      <c r="I231" s="10">
        <f t="shared" si="15"/>
        <v>0</v>
      </c>
      <c r="J231" s="10">
        <f t="shared" si="13"/>
        <v>0</v>
      </c>
      <c r="K231" s="119">
        <f t="shared" si="14"/>
        <v>68043.51106639838</v>
      </c>
    </row>
    <row r="232" spans="1:11" x14ac:dyDescent="0.25">
      <c r="A232" s="50">
        <f>'A) Base RI'!A231</f>
        <v>5762</v>
      </c>
      <c r="B232" s="33" t="str">
        <f>'A) Base RI'!B231</f>
        <v>Sergey</v>
      </c>
      <c r="C232" s="14">
        <f>'A) Base RI'!V231</f>
        <v>137</v>
      </c>
      <c r="D232" s="10">
        <f t="shared" si="12"/>
        <v>137</v>
      </c>
      <c r="E232" s="14">
        <f t="shared" si="15"/>
        <v>0</v>
      </c>
      <c r="F232" s="10">
        <f t="shared" si="15"/>
        <v>0</v>
      </c>
      <c r="G232" s="14">
        <f t="shared" si="15"/>
        <v>0</v>
      </c>
      <c r="H232" s="42">
        <f t="shared" si="15"/>
        <v>0</v>
      </c>
      <c r="I232" s="10">
        <f t="shared" si="15"/>
        <v>0</v>
      </c>
      <c r="J232" s="10">
        <f t="shared" si="13"/>
        <v>0</v>
      </c>
      <c r="K232" s="119">
        <f t="shared" si="14"/>
        <v>16918.259557344063</v>
      </c>
    </row>
    <row r="233" spans="1:11" x14ac:dyDescent="0.25">
      <c r="A233" s="50">
        <f>'A) Base RI'!A232</f>
        <v>5763</v>
      </c>
      <c r="B233" s="33" t="str">
        <f>'A) Base RI'!B232</f>
        <v>Valeyres-sous-Rances</v>
      </c>
      <c r="C233" s="14">
        <f>'A) Base RI'!V232</f>
        <v>631</v>
      </c>
      <c r="D233" s="10">
        <f t="shared" si="12"/>
        <v>631</v>
      </c>
      <c r="E233" s="14">
        <f t="shared" si="15"/>
        <v>0</v>
      </c>
      <c r="F233" s="10">
        <f t="shared" si="15"/>
        <v>0</v>
      </c>
      <c r="G233" s="14">
        <f t="shared" si="15"/>
        <v>0</v>
      </c>
      <c r="H233" s="42">
        <f t="shared" si="15"/>
        <v>0</v>
      </c>
      <c r="I233" s="10">
        <f t="shared" si="15"/>
        <v>0</v>
      </c>
      <c r="J233" s="10">
        <f t="shared" si="13"/>
        <v>0</v>
      </c>
      <c r="K233" s="119">
        <f t="shared" si="14"/>
        <v>77922.786720321921</v>
      </c>
    </row>
    <row r="234" spans="1:11" x14ac:dyDescent="0.25">
      <c r="A234" s="50">
        <f>'A) Base RI'!A233</f>
        <v>5764</v>
      </c>
      <c r="B234" s="33" t="str">
        <f>'A) Base RI'!B233</f>
        <v>Vallorbe</v>
      </c>
      <c r="C234" s="14">
        <f>'A) Base RI'!V233</f>
        <v>3851</v>
      </c>
      <c r="D234" s="10">
        <f t="shared" si="12"/>
        <v>1000</v>
      </c>
      <c r="E234" s="14">
        <f t="shared" si="15"/>
        <v>2000</v>
      </c>
      <c r="F234" s="10">
        <f t="shared" si="15"/>
        <v>851</v>
      </c>
      <c r="G234" s="14">
        <f t="shared" si="15"/>
        <v>0</v>
      </c>
      <c r="H234" s="42">
        <f t="shared" si="15"/>
        <v>0</v>
      </c>
      <c r="I234" s="10">
        <f t="shared" si="15"/>
        <v>0</v>
      </c>
      <c r="J234" s="10">
        <f t="shared" si="13"/>
        <v>0</v>
      </c>
      <c r="K234" s="119">
        <f t="shared" si="14"/>
        <v>1235403.4205231387</v>
      </c>
    </row>
    <row r="235" spans="1:11" x14ac:dyDescent="0.25">
      <c r="A235" s="50">
        <f>'A) Base RI'!A234</f>
        <v>5765</v>
      </c>
      <c r="B235" s="33" t="str">
        <f>'A) Base RI'!B234</f>
        <v>Vaulion</v>
      </c>
      <c r="C235" s="14">
        <f>'A) Base RI'!V234</f>
        <v>482</v>
      </c>
      <c r="D235" s="10">
        <f t="shared" ref="D235:D298" si="16">IF($C235&gt;D$4,IF($C235&lt;D$5,$C235-D$4,D$5-D$4),0)</f>
        <v>482</v>
      </c>
      <c r="E235" s="14">
        <f t="shared" si="15"/>
        <v>0</v>
      </c>
      <c r="F235" s="10">
        <f t="shared" si="15"/>
        <v>0</v>
      </c>
      <c r="G235" s="14">
        <f t="shared" si="15"/>
        <v>0</v>
      </c>
      <c r="H235" s="42">
        <f t="shared" si="15"/>
        <v>0</v>
      </c>
      <c r="I235" s="10">
        <f t="shared" si="15"/>
        <v>0</v>
      </c>
      <c r="J235" s="10">
        <f t="shared" si="13"/>
        <v>0</v>
      </c>
      <c r="K235" s="119">
        <f t="shared" si="14"/>
        <v>59522.635814889334</v>
      </c>
    </row>
    <row r="236" spans="1:11" x14ac:dyDescent="0.25">
      <c r="A236" s="50">
        <f>'A) Base RI'!A235</f>
        <v>5766</v>
      </c>
      <c r="B236" s="33" t="str">
        <f>'A) Base RI'!B235</f>
        <v>Vuiteboeuf</v>
      </c>
      <c r="C236" s="14">
        <f>'A) Base RI'!V235</f>
        <v>574</v>
      </c>
      <c r="D236" s="10">
        <f t="shared" si="16"/>
        <v>574</v>
      </c>
      <c r="E236" s="14">
        <f t="shared" si="15"/>
        <v>0</v>
      </c>
      <c r="F236" s="10">
        <f t="shared" si="15"/>
        <v>0</v>
      </c>
      <c r="G236" s="14">
        <f t="shared" si="15"/>
        <v>0</v>
      </c>
      <c r="H236" s="42">
        <f t="shared" si="15"/>
        <v>0</v>
      </c>
      <c r="I236" s="10">
        <f t="shared" si="15"/>
        <v>0</v>
      </c>
      <c r="J236" s="10">
        <f t="shared" si="13"/>
        <v>0</v>
      </c>
      <c r="K236" s="119">
        <f t="shared" si="14"/>
        <v>70883.8028169014</v>
      </c>
    </row>
    <row r="237" spans="1:11" x14ac:dyDescent="0.25">
      <c r="A237" s="50">
        <f>'A) Base RI'!A236</f>
        <v>5785</v>
      </c>
      <c r="B237" s="33" t="str">
        <f>'A) Base RI'!B236</f>
        <v>Corcelles-le-Jorat</v>
      </c>
      <c r="C237" s="14">
        <f>'A) Base RI'!V236</f>
        <v>460</v>
      </c>
      <c r="D237" s="10">
        <f t="shared" si="16"/>
        <v>460</v>
      </c>
      <c r="E237" s="14">
        <f t="shared" si="15"/>
        <v>0</v>
      </c>
      <c r="F237" s="10">
        <f t="shared" si="15"/>
        <v>0</v>
      </c>
      <c r="G237" s="14">
        <f t="shared" si="15"/>
        <v>0</v>
      </c>
      <c r="H237" s="42">
        <f t="shared" si="15"/>
        <v>0</v>
      </c>
      <c r="I237" s="10">
        <f t="shared" si="15"/>
        <v>0</v>
      </c>
      <c r="J237" s="10">
        <f t="shared" si="13"/>
        <v>0</v>
      </c>
      <c r="K237" s="119">
        <f t="shared" si="14"/>
        <v>56805.835010060357</v>
      </c>
    </row>
    <row r="238" spans="1:11" x14ac:dyDescent="0.25">
      <c r="A238" s="50">
        <f>'A) Base RI'!A237</f>
        <v>5788</v>
      </c>
      <c r="B238" s="33" t="str">
        <f>'A) Base RI'!B237</f>
        <v>Essertes</v>
      </c>
      <c r="C238" s="14">
        <f>'A) Base RI'!V237</f>
        <v>346</v>
      </c>
      <c r="D238" s="10">
        <f t="shared" si="16"/>
        <v>346</v>
      </c>
      <c r="E238" s="14">
        <f t="shared" si="15"/>
        <v>0</v>
      </c>
      <c r="F238" s="10">
        <f t="shared" si="15"/>
        <v>0</v>
      </c>
      <c r="G238" s="14">
        <f t="shared" si="15"/>
        <v>0</v>
      </c>
      <c r="H238" s="42">
        <f t="shared" si="15"/>
        <v>0</v>
      </c>
      <c r="I238" s="10">
        <f t="shared" si="15"/>
        <v>0</v>
      </c>
      <c r="J238" s="10">
        <f t="shared" si="13"/>
        <v>0</v>
      </c>
      <c r="K238" s="119">
        <f t="shared" si="14"/>
        <v>42727.867203219314</v>
      </c>
    </row>
    <row r="239" spans="1:11" x14ac:dyDescent="0.25">
      <c r="A239" s="50">
        <f>'A) Base RI'!A238</f>
        <v>5790</v>
      </c>
      <c r="B239" s="33" t="str">
        <f>'A) Base RI'!B238</f>
        <v>Maracon</v>
      </c>
      <c r="C239" s="14">
        <f>'A) Base RI'!V238</f>
        <v>477</v>
      </c>
      <c r="D239" s="10">
        <f t="shared" si="16"/>
        <v>477</v>
      </c>
      <c r="E239" s="14">
        <f t="shared" si="15"/>
        <v>0</v>
      </c>
      <c r="F239" s="10">
        <f t="shared" si="15"/>
        <v>0</v>
      </c>
      <c r="G239" s="14">
        <f t="shared" si="15"/>
        <v>0</v>
      </c>
      <c r="H239" s="42">
        <f t="shared" si="15"/>
        <v>0</v>
      </c>
      <c r="I239" s="10">
        <f t="shared" si="15"/>
        <v>0</v>
      </c>
      <c r="J239" s="10">
        <f t="shared" si="13"/>
        <v>0</v>
      </c>
      <c r="K239" s="119">
        <f t="shared" si="14"/>
        <v>58905.181086519107</v>
      </c>
    </row>
    <row r="240" spans="1:11" x14ac:dyDescent="0.25">
      <c r="A240" s="50">
        <f>'A) Base RI'!A239</f>
        <v>5792</v>
      </c>
      <c r="B240" s="33" t="str">
        <f>'A) Base RI'!B239</f>
        <v>Montpreveyres</v>
      </c>
      <c r="C240" s="14">
        <f>'A) Base RI'!V239</f>
        <v>648</v>
      </c>
      <c r="D240" s="10">
        <f t="shared" si="16"/>
        <v>648</v>
      </c>
      <c r="E240" s="14">
        <f t="shared" si="15"/>
        <v>0</v>
      </c>
      <c r="F240" s="10">
        <f t="shared" si="15"/>
        <v>0</v>
      </c>
      <c r="G240" s="14">
        <f t="shared" si="15"/>
        <v>0</v>
      </c>
      <c r="H240" s="42">
        <f t="shared" si="15"/>
        <v>0</v>
      </c>
      <c r="I240" s="10">
        <f t="shared" si="15"/>
        <v>0</v>
      </c>
      <c r="J240" s="10">
        <f t="shared" si="13"/>
        <v>0</v>
      </c>
      <c r="K240" s="119">
        <f t="shared" si="14"/>
        <v>80022.132796780672</v>
      </c>
    </row>
    <row r="241" spans="1:11" x14ac:dyDescent="0.25">
      <c r="A241" s="50">
        <f>'A) Base RI'!A240</f>
        <v>5798</v>
      </c>
      <c r="B241" s="33" t="str">
        <f>'A) Base RI'!B240</f>
        <v>Ropraz</v>
      </c>
      <c r="C241" s="14">
        <f>'A) Base RI'!V240</f>
        <v>450</v>
      </c>
      <c r="D241" s="10">
        <f t="shared" si="16"/>
        <v>450</v>
      </c>
      <c r="E241" s="14">
        <f t="shared" si="15"/>
        <v>0</v>
      </c>
      <c r="F241" s="10">
        <f t="shared" si="15"/>
        <v>0</v>
      </c>
      <c r="G241" s="14">
        <f t="shared" si="15"/>
        <v>0</v>
      </c>
      <c r="H241" s="42">
        <f t="shared" si="15"/>
        <v>0</v>
      </c>
      <c r="I241" s="10">
        <f t="shared" si="15"/>
        <v>0</v>
      </c>
      <c r="J241" s="10">
        <f t="shared" si="13"/>
        <v>0</v>
      </c>
      <c r="K241" s="119">
        <f t="shared" si="14"/>
        <v>55570.925553319918</v>
      </c>
    </row>
    <row r="242" spans="1:11" x14ac:dyDescent="0.25">
      <c r="A242" s="50">
        <f>'A) Base RI'!A241</f>
        <v>5799</v>
      </c>
      <c r="B242" s="33" t="str">
        <f>'A) Base RI'!B241</f>
        <v>Servion</v>
      </c>
      <c r="C242" s="14">
        <f>'A) Base RI'!V241</f>
        <v>1904</v>
      </c>
      <c r="D242" s="10">
        <f t="shared" si="16"/>
        <v>1000</v>
      </c>
      <c r="E242" s="14">
        <f t="shared" si="15"/>
        <v>904</v>
      </c>
      <c r="F242" s="10">
        <f t="shared" si="15"/>
        <v>0</v>
      </c>
      <c r="G242" s="14">
        <f t="shared" si="15"/>
        <v>0</v>
      </c>
      <c r="H242" s="42">
        <f t="shared" si="15"/>
        <v>0</v>
      </c>
      <c r="I242" s="10">
        <f t="shared" si="15"/>
        <v>0</v>
      </c>
      <c r="J242" s="10">
        <f t="shared" si="13"/>
        <v>0</v>
      </c>
      <c r="K242" s="119">
        <f t="shared" si="14"/>
        <v>436071.22736418509</v>
      </c>
    </row>
    <row r="243" spans="1:11" x14ac:dyDescent="0.25">
      <c r="A243" s="50">
        <f>'A) Base RI'!A242</f>
        <v>5803</v>
      </c>
      <c r="B243" s="33" t="str">
        <f>'A) Base RI'!B242</f>
        <v>Vulliens</v>
      </c>
      <c r="C243" s="14">
        <f>'A) Base RI'!V242</f>
        <v>515</v>
      </c>
      <c r="D243" s="10">
        <f t="shared" si="16"/>
        <v>515</v>
      </c>
      <c r="E243" s="14">
        <f t="shared" si="15"/>
        <v>0</v>
      </c>
      <c r="F243" s="10">
        <f t="shared" si="15"/>
        <v>0</v>
      </c>
      <c r="G243" s="14">
        <f t="shared" si="15"/>
        <v>0</v>
      </c>
      <c r="H243" s="42">
        <f t="shared" si="15"/>
        <v>0</v>
      </c>
      <c r="I243" s="10">
        <f t="shared" si="15"/>
        <v>0</v>
      </c>
      <c r="J243" s="10">
        <f t="shared" si="13"/>
        <v>0</v>
      </c>
      <c r="K243" s="119">
        <f t="shared" si="14"/>
        <v>63597.837022132793</v>
      </c>
    </row>
    <row r="244" spans="1:11" x14ac:dyDescent="0.25">
      <c r="A244" s="50">
        <f>'A) Base RI'!A243</f>
        <v>5804</v>
      </c>
      <c r="B244" s="33" t="str">
        <f>'A) Base RI'!B243</f>
        <v>Jorat-Menthue</v>
      </c>
      <c r="C244" s="14">
        <f>'A) Base RI'!V243</f>
        <v>1532</v>
      </c>
      <c r="D244" s="10">
        <f t="shared" si="16"/>
        <v>1000</v>
      </c>
      <c r="E244" s="14">
        <f t="shared" si="15"/>
        <v>532</v>
      </c>
      <c r="F244" s="10">
        <f t="shared" si="15"/>
        <v>0</v>
      </c>
      <c r="G244" s="14">
        <f t="shared" si="15"/>
        <v>0</v>
      </c>
      <c r="H244" s="42">
        <f t="shared" si="15"/>
        <v>0</v>
      </c>
      <c r="I244" s="10">
        <f t="shared" si="15"/>
        <v>0</v>
      </c>
      <c r="J244" s="10">
        <f t="shared" si="13"/>
        <v>0</v>
      </c>
      <c r="K244" s="119">
        <f t="shared" si="14"/>
        <v>307443.05835010053</v>
      </c>
    </row>
    <row r="245" spans="1:11" x14ac:dyDescent="0.25">
      <c r="A245" s="50">
        <f>'A) Base RI'!A244</f>
        <v>5805</v>
      </c>
      <c r="B245" s="33" t="str">
        <f>'A) Base RI'!B244</f>
        <v>Oron</v>
      </c>
      <c r="C245" s="14">
        <f>'A) Base RI'!V244</f>
        <v>5463</v>
      </c>
      <c r="D245" s="10">
        <f t="shared" si="16"/>
        <v>1000</v>
      </c>
      <c r="E245" s="14">
        <f t="shared" si="15"/>
        <v>2000</v>
      </c>
      <c r="F245" s="10">
        <f t="shared" si="15"/>
        <v>2000</v>
      </c>
      <c r="G245" s="14">
        <f t="shared" si="15"/>
        <v>463</v>
      </c>
      <c r="H245" s="42">
        <f t="shared" si="15"/>
        <v>0</v>
      </c>
      <c r="I245" s="10">
        <f t="shared" si="15"/>
        <v>0</v>
      </c>
      <c r="J245" s="10">
        <f t="shared" si="13"/>
        <v>0</v>
      </c>
      <c r="K245" s="119">
        <f t="shared" si="14"/>
        <v>2077414.0845070421</v>
      </c>
    </row>
    <row r="246" spans="1:11" x14ac:dyDescent="0.25">
      <c r="A246" s="50">
        <f>'A) Base RI'!A245</f>
        <v>5806</v>
      </c>
      <c r="B246" s="33" t="str">
        <f>'A) Base RI'!B245</f>
        <v>Jorat-Mézières</v>
      </c>
      <c r="C246" s="14">
        <f>'A) Base RI'!V245</f>
        <v>2850</v>
      </c>
      <c r="D246" s="10">
        <f t="shared" si="16"/>
        <v>1000</v>
      </c>
      <c r="E246" s="14">
        <f t="shared" si="15"/>
        <v>1850</v>
      </c>
      <c r="F246" s="10">
        <f t="shared" si="15"/>
        <v>0</v>
      </c>
      <c r="G246" s="14">
        <f t="shared" si="15"/>
        <v>0</v>
      </c>
      <c r="H246" s="42">
        <f t="shared" si="15"/>
        <v>0</v>
      </c>
      <c r="I246" s="10">
        <f t="shared" si="15"/>
        <v>0</v>
      </c>
      <c r="J246" s="10">
        <f t="shared" si="13"/>
        <v>0</v>
      </c>
      <c r="K246" s="119">
        <f t="shared" si="14"/>
        <v>763174.0442655934</v>
      </c>
    </row>
    <row r="247" spans="1:11" x14ac:dyDescent="0.25">
      <c r="A247" s="50">
        <f>'A) Base RI'!A246</f>
        <v>5812</v>
      </c>
      <c r="B247" s="33" t="str">
        <f>'A) Base RI'!B246</f>
        <v>Champtauroz</v>
      </c>
      <c r="C247" s="14">
        <f>'A) Base RI'!V246</f>
        <v>128</v>
      </c>
      <c r="D247" s="10">
        <f t="shared" si="16"/>
        <v>128</v>
      </c>
      <c r="E247" s="14">
        <f t="shared" si="15"/>
        <v>0</v>
      </c>
      <c r="F247" s="10">
        <f t="shared" si="15"/>
        <v>0</v>
      </c>
      <c r="G247" s="14">
        <f t="shared" si="15"/>
        <v>0</v>
      </c>
      <c r="H247" s="42">
        <f t="shared" si="15"/>
        <v>0</v>
      </c>
      <c r="I247" s="10">
        <f t="shared" si="15"/>
        <v>0</v>
      </c>
      <c r="J247" s="10">
        <f t="shared" si="13"/>
        <v>0</v>
      </c>
      <c r="K247" s="119">
        <f t="shared" si="14"/>
        <v>15806.841046277665</v>
      </c>
    </row>
    <row r="248" spans="1:11" x14ac:dyDescent="0.25">
      <c r="A248" s="50">
        <f>'A) Base RI'!A247</f>
        <v>5813</v>
      </c>
      <c r="B248" s="33" t="str">
        <f>'A) Base RI'!B247</f>
        <v>Chevroux</v>
      </c>
      <c r="C248" s="14">
        <f>'A) Base RI'!V247</f>
        <v>470</v>
      </c>
      <c r="D248" s="10">
        <f t="shared" si="16"/>
        <v>470</v>
      </c>
      <c r="E248" s="14">
        <f t="shared" si="15"/>
        <v>0</v>
      </c>
      <c r="F248" s="10">
        <f t="shared" si="15"/>
        <v>0</v>
      </c>
      <c r="G248" s="14">
        <f t="shared" si="15"/>
        <v>0</v>
      </c>
      <c r="H248" s="42">
        <f t="shared" si="15"/>
        <v>0</v>
      </c>
      <c r="I248" s="10">
        <f t="shared" si="15"/>
        <v>0</v>
      </c>
      <c r="J248" s="10">
        <f t="shared" si="13"/>
        <v>0</v>
      </c>
      <c r="K248" s="119">
        <f t="shared" si="14"/>
        <v>58040.744466800803</v>
      </c>
    </row>
    <row r="249" spans="1:11" x14ac:dyDescent="0.25">
      <c r="A249" s="50">
        <f>'A) Base RI'!A248</f>
        <v>5816</v>
      </c>
      <c r="B249" s="33" t="str">
        <f>'A) Base RI'!B248</f>
        <v>Corcelles-près-Payerne</v>
      </c>
      <c r="C249" s="14">
        <f>'A) Base RI'!V248</f>
        <v>2448</v>
      </c>
      <c r="D249" s="10">
        <f t="shared" si="16"/>
        <v>1000</v>
      </c>
      <c r="E249" s="14">
        <f t="shared" si="15"/>
        <v>1448</v>
      </c>
      <c r="F249" s="10">
        <f t="shared" si="15"/>
        <v>0</v>
      </c>
      <c r="G249" s="14">
        <f t="shared" si="15"/>
        <v>0</v>
      </c>
      <c r="H249" s="42">
        <f t="shared" si="15"/>
        <v>0</v>
      </c>
      <c r="I249" s="10">
        <f t="shared" si="15"/>
        <v>0</v>
      </c>
      <c r="J249" s="10">
        <f t="shared" si="13"/>
        <v>0</v>
      </c>
      <c r="K249" s="119">
        <f t="shared" si="14"/>
        <v>624172.63581488933</v>
      </c>
    </row>
    <row r="250" spans="1:11" x14ac:dyDescent="0.25">
      <c r="A250" s="50">
        <f>'A) Base RI'!A249</f>
        <v>5817</v>
      </c>
      <c r="B250" s="33" t="str">
        <f>'A) Base RI'!B249</f>
        <v>Grandcour</v>
      </c>
      <c r="C250" s="14">
        <f>'A) Base RI'!V249</f>
        <v>890</v>
      </c>
      <c r="D250" s="10">
        <f t="shared" si="16"/>
        <v>890</v>
      </c>
      <c r="E250" s="14">
        <f t="shared" si="15"/>
        <v>0</v>
      </c>
      <c r="F250" s="10">
        <f t="shared" si="15"/>
        <v>0</v>
      </c>
      <c r="G250" s="14">
        <f t="shared" si="15"/>
        <v>0</v>
      </c>
      <c r="H250" s="42">
        <f t="shared" si="15"/>
        <v>0</v>
      </c>
      <c r="I250" s="10">
        <f t="shared" si="15"/>
        <v>0</v>
      </c>
      <c r="J250" s="10">
        <f t="shared" si="13"/>
        <v>0</v>
      </c>
      <c r="K250" s="119">
        <f t="shared" si="14"/>
        <v>109906.94164989938</v>
      </c>
    </row>
    <row r="251" spans="1:11" x14ac:dyDescent="0.25">
      <c r="A251" s="50">
        <f>'A) Base RI'!A250</f>
        <v>5819</v>
      </c>
      <c r="B251" s="33" t="str">
        <f>'A) Base RI'!B250</f>
        <v>Henniez</v>
      </c>
      <c r="C251" s="14">
        <f>'A) Base RI'!V250</f>
        <v>359</v>
      </c>
      <c r="D251" s="10">
        <f t="shared" si="16"/>
        <v>359</v>
      </c>
      <c r="E251" s="14">
        <f t="shared" si="15"/>
        <v>0</v>
      </c>
      <c r="F251" s="10">
        <f t="shared" si="15"/>
        <v>0</v>
      </c>
      <c r="G251" s="14">
        <f t="shared" si="15"/>
        <v>0</v>
      </c>
      <c r="H251" s="42">
        <f t="shared" si="15"/>
        <v>0</v>
      </c>
      <c r="I251" s="10">
        <f t="shared" si="15"/>
        <v>0</v>
      </c>
      <c r="J251" s="10">
        <f t="shared" si="13"/>
        <v>0</v>
      </c>
      <c r="K251" s="119">
        <f t="shared" si="14"/>
        <v>44333.249496981887</v>
      </c>
    </row>
    <row r="252" spans="1:11" x14ac:dyDescent="0.25">
      <c r="A252" s="50">
        <f>'A) Base RI'!A251</f>
        <v>5821</v>
      </c>
      <c r="B252" s="33" t="str">
        <f>'A) Base RI'!B251</f>
        <v>Missy</v>
      </c>
      <c r="C252" s="14">
        <f>'A) Base RI'!V251</f>
        <v>352</v>
      </c>
      <c r="D252" s="10">
        <f t="shared" si="16"/>
        <v>352</v>
      </c>
      <c r="E252" s="14">
        <f t="shared" si="15"/>
        <v>0</v>
      </c>
      <c r="F252" s="10">
        <f t="shared" si="15"/>
        <v>0</v>
      </c>
      <c r="G252" s="14">
        <f t="shared" si="15"/>
        <v>0</v>
      </c>
      <c r="H252" s="42">
        <f t="shared" si="15"/>
        <v>0</v>
      </c>
      <c r="I252" s="10">
        <f t="shared" si="15"/>
        <v>0</v>
      </c>
      <c r="J252" s="10">
        <f t="shared" si="13"/>
        <v>0</v>
      </c>
      <c r="K252" s="119">
        <f t="shared" si="14"/>
        <v>43468.812877263576</v>
      </c>
    </row>
    <row r="253" spans="1:11" x14ac:dyDescent="0.25">
      <c r="A253" s="50">
        <f>'A) Base RI'!A252</f>
        <v>5822</v>
      </c>
      <c r="B253" s="33" t="str">
        <f>'A) Base RI'!B252</f>
        <v>Payerne</v>
      </c>
      <c r="C253" s="14">
        <f>'A) Base RI'!V252</f>
        <v>9716</v>
      </c>
      <c r="D253" s="10">
        <f t="shared" si="16"/>
        <v>1000</v>
      </c>
      <c r="E253" s="14">
        <f t="shared" si="15"/>
        <v>2000</v>
      </c>
      <c r="F253" s="10">
        <f t="shared" si="15"/>
        <v>2000</v>
      </c>
      <c r="G253" s="14">
        <f t="shared" si="15"/>
        <v>4000</v>
      </c>
      <c r="H253" s="42">
        <f t="shared" si="15"/>
        <v>716</v>
      </c>
      <c r="I253" s="10">
        <f t="shared" si="15"/>
        <v>0</v>
      </c>
      <c r="J253" s="10">
        <f t="shared" si="13"/>
        <v>0</v>
      </c>
      <c r="K253" s="119">
        <f t="shared" si="14"/>
        <v>4775246.6800804827</v>
      </c>
    </row>
    <row r="254" spans="1:11" x14ac:dyDescent="0.25">
      <c r="A254" s="50">
        <f>'A) Base RI'!A253</f>
        <v>5827</v>
      </c>
      <c r="B254" s="33" t="str">
        <f>'A) Base RI'!B253</f>
        <v>Trey</v>
      </c>
      <c r="C254" s="14">
        <f>'A) Base RI'!V253</f>
        <v>268</v>
      </c>
      <c r="D254" s="10">
        <f t="shared" si="16"/>
        <v>268</v>
      </c>
      <c r="E254" s="14">
        <f t="shared" si="15"/>
        <v>0</v>
      </c>
      <c r="F254" s="10">
        <f t="shared" si="15"/>
        <v>0</v>
      </c>
      <c r="G254" s="14">
        <f t="shared" si="15"/>
        <v>0</v>
      </c>
      <c r="H254" s="42">
        <f t="shared" si="15"/>
        <v>0</v>
      </c>
      <c r="I254" s="10">
        <f t="shared" si="15"/>
        <v>0</v>
      </c>
      <c r="J254" s="10">
        <f t="shared" si="13"/>
        <v>0</v>
      </c>
      <c r="K254" s="119">
        <f t="shared" si="14"/>
        <v>33095.573440643857</v>
      </c>
    </row>
    <row r="255" spans="1:11" x14ac:dyDescent="0.25">
      <c r="A255" s="50">
        <f>'A) Base RI'!A254</f>
        <v>5828</v>
      </c>
      <c r="B255" s="33" t="str">
        <f>'A) Base RI'!B254</f>
        <v>Treytorrens (Payerne)</v>
      </c>
      <c r="C255" s="14">
        <f>'A) Base RI'!V254</f>
        <v>122</v>
      </c>
      <c r="D255" s="10">
        <f t="shared" si="16"/>
        <v>122</v>
      </c>
      <c r="E255" s="14">
        <f t="shared" si="15"/>
        <v>0</v>
      </c>
      <c r="F255" s="10">
        <f t="shared" si="15"/>
        <v>0</v>
      </c>
      <c r="G255" s="14">
        <f t="shared" si="15"/>
        <v>0</v>
      </c>
      <c r="H255" s="42">
        <f t="shared" si="15"/>
        <v>0</v>
      </c>
      <c r="I255" s="10">
        <f t="shared" si="15"/>
        <v>0</v>
      </c>
      <c r="J255" s="10">
        <f t="shared" si="13"/>
        <v>0</v>
      </c>
      <c r="K255" s="119">
        <f t="shared" si="14"/>
        <v>15065.895372233399</v>
      </c>
    </row>
    <row r="256" spans="1:11" x14ac:dyDescent="0.25">
      <c r="A256" s="50">
        <f>'A) Base RI'!A255</f>
        <v>5830</v>
      </c>
      <c r="B256" s="33" t="str">
        <f>'A) Base RI'!B255</f>
        <v>Villarzel</v>
      </c>
      <c r="C256" s="14">
        <f>'A) Base RI'!V255</f>
        <v>417</v>
      </c>
      <c r="D256" s="10">
        <f t="shared" si="16"/>
        <v>417</v>
      </c>
      <c r="E256" s="14">
        <f t="shared" si="15"/>
        <v>0</v>
      </c>
      <c r="F256" s="10">
        <f t="shared" si="15"/>
        <v>0</v>
      </c>
      <c r="G256" s="14">
        <f t="shared" si="15"/>
        <v>0</v>
      </c>
      <c r="H256" s="42">
        <f t="shared" si="15"/>
        <v>0</v>
      </c>
      <c r="I256" s="10">
        <f t="shared" si="15"/>
        <v>0</v>
      </c>
      <c r="J256" s="10">
        <f t="shared" si="13"/>
        <v>0</v>
      </c>
      <c r="K256" s="119">
        <f t="shared" si="14"/>
        <v>51495.724346076451</v>
      </c>
    </row>
    <row r="257" spans="1:11" x14ac:dyDescent="0.25">
      <c r="A257" s="50">
        <f>'A) Base RI'!A256</f>
        <v>5831</v>
      </c>
      <c r="B257" s="33" t="str">
        <f>'A) Base RI'!B256</f>
        <v>Valbroye</v>
      </c>
      <c r="C257" s="14">
        <f>'A) Base RI'!V256</f>
        <v>3035</v>
      </c>
      <c r="D257" s="10">
        <f t="shared" si="16"/>
        <v>1000</v>
      </c>
      <c r="E257" s="14">
        <f t="shared" si="15"/>
        <v>2000</v>
      </c>
      <c r="F257" s="10">
        <f t="shared" si="15"/>
        <v>35</v>
      </c>
      <c r="G257" s="14">
        <f t="shared" si="15"/>
        <v>0</v>
      </c>
      <c r="H257" s="42">
        <f t="shared" si="15"/>
        <v>0</v>
      </c>
      <c r="I257" s="10">
        <f t="shared" si="15"/>
        <v>0</v>
      </c>
      <c r="J257" s="10">
        <f t="shared" si="13"/>
        <v>0</v>
      </c>
      <c r="K257" s="119">
        <f t="shared" si="14"/>
        <v>832328.97384305822</v>
      </c>
    </row>
    <row r="258" spans="1:11" x14ac:dyDescent="0.25">
      <c r="A258" s="50">
        <f>'A) Base RI'!A257</f>
        <v>5841</v>
      </c>
      <c r="B258" s="33" t="str">
        <f>'A) Base RI'!B257</f>
        <v>Château-d'Oex</v>
      </c>
      <c r="C258" s="14">
        <f>'A) Base RI'!V257</f>
        <v>3433</v>
      </c>
      <c r="D258" s="10">
        <f t="shared" si="16"/>
        <v>1000</v>
      </c>
      <c r="E258" s="14">
        <f t="shared" si="15"/>
        <v>2000</v>
      </c>
      <c r="F258" s="10">
        <f t="shared" si="15"/>
        <v>433</v>
      </c>
      <c r="G258" s="14">
        <f t="shared" si="15"/>
        <v>0</v>
      </c>
      <c r="H258" s="42">
        <f t="shared" si="15"/>
        <v>0</v>
      </c>
      <c r="I258" s="10">
        <f t="shared" si="15"/>
        <v>0</v>
      </c>
      <c r="J258" s="10">
        <f t="shared" si="13"/>
        <v>0</v>
      </c>
      <c r="K258" s="119">
        <f t="shared" si="14"/>
        <v>1028926.5593561367</v>
      </c>
    </row>
    <row r="259" spans="1:11" x14ac:dyDescent="0.25">
      <c r="A259" s="50">
        <f>'A) Base RI'!A258</f>
        <v>5842</v>
      </c>
      <c r="B259" s="33" t="str">
        <f>'A) Base RI'!B258</f>
        <v>Rossinière</v>
      </c>
      <c r="C259" s="14">
        <f>'A) Base RI'!V258</f>
        <v>545</v>
      </c>
      <c r="D259" s="10">
        <f t="shared" si="16"/>
        <v>545</v>
      </c>
      <c r="E259" s="14">
        <f t="shared" si="15"/>
        <v>0</v>
      </c>
      <c r="F259" s="10">
        <f t="shared" si="15"/>
        <v>0</v>
      </c>
      <c r="G259" s="14">
        <f t="shared" ref="E259:I310" si="17">IF($C259&gt;G$4,IF($C259&lt;G$5,$C259-G$4,G$5-G$4),0)</f>
        <v>0</v>
      </c>
      <c r="H259" s="42">
        <f t="shared" si="17"/>
        <v>0</v>
      </c>
      <c r="I259" s="10">
        <f t="shared" si="17"/>
        <v>0</v>
      </c>
      <c r="J259" s="10">
        <f t="shared" si="13"/>
        <v>0</v>
      </c>
      <c r="K259" s="119">
        <f t="shared" si="14"/>
        <v>67302.565392354125</v>
      </c>
    </row>
    <row r="260" spans="1:11" x14ac:dyDescent="0.25">
      <c r="A260" s="50">
        <f>'A) Base RI'!A259</f>
        <v>5843</v>
      </c>
      <c r="B260" s="33" t="str">
        <f>'A) Base RI'!B259</f>
        <v>Rougemont</v>
      </c>
      <c r="C260" s="14">
        <f>'A) Base RI'!V259</f>
        <v>882</v>
      </c>
      <c r="D260" s="10">
        <f t="shared" si="16"/>
        <v>882</v>
      </c>
      <c r="E260" s="14">
        <f t="shared" si="17"/>
        <v>0</v>
      </c>
      <c r="F260" s="10">
        <f t="shared" si="17"/>
        <v>0</v>
      </c>
      <c r="G260" s="14">
        <f t="shared" si="17"/>
        <v>0</v>
      </c>
      <c r="H260" s="42">
        <f t="shared" si="17"/>
        <v>0</v>
      </c>
      <c r="I260" s="10">
        <f t="shared" si="17"/>
        <v>0</v>
      </c>
      <c r="J260" s="10">
        <f t="shared" si="13"/>
        <v>0</v>
      </c>
      <c r="K260" s="119">
        <f t="shared" si="14"/>
        <v>108919.01408450703</v>
      </c>
    </row>
    <row r="261" spans="1:11" x14ac:dyDescent="0.25">
      <c r="A261" s="50">
        <f>'A) Base RI'!A260</f>
        <v>5851</v>
      </c>
      <c r="B261" s="33" t="str">
        <f>'A) Base RI'!B260</f>
        <v>Allaman</v>
      </c>
      <c r="C261" s="14">
        <f>'A) Base RI'!V260</f>
        <v>442</v>
      </c>
      <c r="D261" s="10">
        <f t="shared" si="16"/>
        <v>442</v>
      </c>
      <c r="E261" s="14">
        <f t="shared" si="17"/>
        <v>0</v>
      </c>
      <c r="F261" s="10">
        <f t="shared" si="17"/>
        <v>0</v>
      </c>
      <c r="G261" s="14">
        <f t="shared" si="17"/>
        <v>0</v>
      </c>
      <c r="H261" s="42">
        <f t="shared" si="17"/>
        <v>0</v>
      </c>
      <c r="I261" s="10">
        <f t="shared" si="17"/>
        <v>0</v>
      </c>
      <c r="J261" s="10">
        <f t="shared" si="13"/>
        <v>0</v>
      </c>
      <c r="K261" s="119">
        <f t="shared" si="14"/>
        <v>54582.997987927563</v>
      </c>
    </row>
    <row r="262" spans="1:11" x14ac:dyDescent="0.25">
      <c r="A262" s="50">
        <f>'A) Base RI'!A261</f>
        <v>5852</v>
      </c>
      <c r="B262" s="33" t="str">
        <f>'A) Base RI'!B261</f>
        <v>Bursinel</v>
      </c>
      <c r="C262" s="14">
        <f>'A) Base RI'!V261</f>
        <v>488</v>
      </c>
      <c r="D262" s="10">
        <f t="shared" si="16"/>
        <v>488</v>
      </c>
      <c r="E262" s="14">
        <f t="shared" si="17"/>
        <v>0</v>
      </c>
      <c r="F262" s="10">
        <f t="shared" si="17"/>
        <v>0</v>
      </c>
      <c r="G262" s="14">
        <f t="shared" si="17"/>
        <v>0</v>
      </c>
      <c r="H262" s="42">
        <f t="shared" si="17"/>
        <v>0</v>
      </c>
      <c r="I262" s="10">
        <f t="shared" si="17"/>
        <v>0</v>
      </c>
      <c r="J262" s="10">
        <f t="shared" si="13"/>
        <v>0</v>
      </c>
      <c r="K262" s="119">
        <f t="shared" si="14"/>
        <v>60263.581488933596</v>
      </c>
    </row>
    <row r="263" spans="1:11" x14ac:dyDescent="0.25">
      <c r="A263" s="50">
        <f>'A) Base RI'!A262</f>
        <v>5853</v>
      </c>
      <c r="B263" s="33" t="str">
        <f>'A) Base RI'!B262</f>
        <v>Bursins</v>
      </c>
      <c r="C263" s="14">
        <f>'A) Base RI'!V262</f>
        <v>745</v>
      </c>
      <c r="D263" s="10">
        <f t="shared" si="16"/>
        <v>745</v>
      </c>
      <c r="E263" s="14">
        <f t="shared" si="17"/>
        <v>0</v>
      </c>
      <c r="F263" s="10">
        <f t="shared" si="17"/>
        <v>0</v>
      </c>
      <c r="G263" s="14">
        <f t="shared" si="17"/>
        <v>0</v>
      </c>
      <c r="H263" s="42">
        <f t="shared" si="17"/>
        <v>0</v>
      </c>
      <c r="I263" s="10">
        <f t="shared" si="17"/>
        <v>0</v>
      </c>
      <c r="J263" s="10">
        <f t="shared" si="13"/>
        <v>0</v>
      </c>
      <c r="K263" s="119">
        <f t="shared" si="14"/>
        <v>92000.754527162964</v>
      </c>
    </row>
    <row r="264" spans="1:11" x14ac:dyDescent="0.25">
      <c r="A264" s="50">
        <f>'A) Base RI'!A263</f>
        <v>5854</v>
      </c>
      <c r="B264" s="33" t="str">
        <f>'A) Base RI'!B263</f>
        <v>Burtigny</v>
      </c>
      <c r="C264" s="14">
        <f>'A) Base RI'!V263</f>
        <v>361</v>
      </c>
      <c r="D264" s="10">
        <f t="shared" si="16"/>
        <v>361</v>
      </c>
      <c r="E264" s="14">
        <f t="shared" si="17"/>
        <v>0</v>
      </c>
      <c r="F264" s="10">
        <f t="shared" si="17"/>
        <v>0</v>
      </c>
      <c r="G264" s="14">
        <f t="shared" si="17"/>
        <v>0</v>
      </c>
      <c r="H264" s="42">
        <f t="shared" si="17"/>
        <v>0</v>
      </c>
      <c r="I264" s="10">
        <f t="shared" si="17"/>
        <v>0</v>
      </c>
      <c r="J264" s="10">
        <f t="shared" si="13"/>
        <v>0</v>
      </c>
      <c r="K264" s="119">
        <f t="shared" si="14"/>
        <v>44580.231388329979</v>
      </c>
    </row>
    <row r="265" spans="1:11" x14ac:dyDescent="0.25">
      <c r="A265" s="50">
        <f>'A) Base RI'!A264</f>
        <v>5855</v>
      </c>
      <c r="B265" s="33" t="str">
        <f>'A) Base RI'!B264</f>
        <v>Dully</v>
      </c>
      <c r="C265" s="14">
        <f>'A) Base RI'!V264</f>
        <v>640</v>
      </c>
      <c r="D265" s="10">
        <f t="shared" si="16"/>
        <v>640</v>
      </c>
      <c r="E265" s="14">
        <f t="shared" si="17"/>
        <v>0</v>
      </c>
      <c r="F265" s="10">
        <f t="shared" si="17"/>
        <v>0</v>
      </c>
      <c r="G265" s="14">
        <f t="shared" si="17"/>
        <v>0</v>
      </c>
      <c r="H265" s="42">
        <f t="shared" si="17"/>
        <v>0</v>
      </c>
      <c r="I265" s="10">
        <f t="shared" si="17"/>
        <v>0</v>
      </c>
      <c r="J265" s="10">
        <f t="shared" ref="J265:J316" si="18">IF(C265&gt;$J$4,C265-$J$4,0)</f>
        <v>0</v>
      </c>
      <c r="K265" s="119">
        <f t="shared" ref="K265:K316" si="19">(D265*D$7)+(E265*E$7)+(F265*F$7)+(G265*G$7)+(H265*H$7)+(I265*I$7)+(J265*J$7)</f>
        <v>79034.205231388318</v>
      </c>
    </row>
    <row r="266" spans="1:11" x14ac:dyDescent="0.25">
      <c r="A266" s="50">
        <f>'A) Base RI'!A265</f>
        <v>5856</v>
      </c>
      <c r="B266" s="33" t="str">
        <f>'A) Base RI'!B265</f>
        <v>Essertines-sur-Rolle</v>
      </c>
      <c r="C266" s="14">
        <f>'A) Base RI'!V265</f>
        <v>696</v>
      </c>
      <c r="D266" s="10">
        <f t="shared" si="16"/>
        <v>696</v>
      </c>
      <c r="E266" s="14">
        <f t="shared" si="17"/>
        <v>0</v>
      </c>
      <c r="F266" s="10">
        <f t="shared" si="17"/>
        <v>0</v>
      </c>
      <c r="G266" s="14">
        <f t="shared" si="17"/>
        <v>0</v>
      </c>
      <c r="H266" s="42">
        <f t="shared" si="17"/>
        <v>0</v>
      </c>
      <c r="I266" s="10">
        <f t="shared" si="17"/>
        <v>0</v>
      </c>
      <c r="J266" s="10">
        <f t="shared" si="18"/>
        <v>0</v>
      </c>
      <c r="K266" s="119">
        <f t="shared" si="19"/>
        <v>85949.698189134797</v>
      </c>
    </row>
    <row r="267" spans="1:11" x14ac:dyDescent="0.25">
      <c r="A267" s="50">
        <f>'A) Base RI'!A266</f>
        <v>5857</v>
      </c>
      <c r="B267" s="33" t="str">
        <f>'A) Base RI'!B266</f>
        <v>Gilly</v>
      </c>
      <c r="C267" s="14">
        <f>'A) Base RI'!V266</f>
        <v>1294</v>
      </c>
      <c r="D267" s="10">
        <f t="shared" si="16"/>
        <v>1000</v>
      </c>
      <c r="E267" s="14">
        <f t="shared" si="17"/>
        <v>294</v>
      </c>
      <c r="F267" s="10">
        <f t="shared" si="17"/>
        <v>0</v>
      </c>
      <c r="G267" s="14">
        <f t="shared" si="17"/>
        <v>0</v>
      </c>
      <c r="H267" s="42">
        <f t="shared" si="17"/>
        <v>0</v>
      </c>
      <c r="I267" s="10">
        <f t="shared" si="17"/>
        <v>0</v>
      </c>
      <c r="J267" s="10">
        <f t="shared" si="18"/>
        <v>0</v>
      </c>
      <c r="K267" s="119">
        <f t="shared" si="19"/>
        <v>225148.6921529175</v>
      </c>
    </row>
    <row r="268" spans="1:11" x14ac:dyDescent="0.25">
      <c r="A268" s="50">
        <f>'A) Base RI'!A267</f>
        <v>5858</v>
      </c>
      <c r="B268" s="33" t="str">
        <f>'A) Base RI'!B267</f>
        <v>Luins</v>
      </c>
      <c r="C268" s="14">
        <f>'A) Base RI'!V267</f>
        <v>608</v>
      </c>
      <c r="D268" s="10">
        <f t="shared" si="16"/>
        <v>608</v>
      </c>
      <c r="E268" s="14">
        <f t="shared" si="17"/>
        <v>0</v>
      </c>
      <c r="F268" s="10">
        <f t="shared" si="17"/>
        <v>0</v>
      </c>
      <c r="G268" s="14">
        <f t="shared" si="17"/>
        <v>0</v>
      </c>
      <c r="H268" s="42">
        <f t="shared" si="17"/>
        <v>0</v>
      </c>
      <c r="I268" s="10">
        <f t="shared" si="17"/>
        <v>0</v>
      </c>
      <c r="J268" s="10">
        <f t="shared" si="18"/>
        <v>0</v>
      </c>
      <c r="K268" s="119">
        <f t="shared" si="19"/>
        <v>75082.494969818901</v>
      </c>
    </row>
    <row r="269" spans="1:11" x14ac:dyDescent="0.25">
      <c r="A269" s="50">
        <f>'A) Base RI'!A268</f>
        <v>5859</v>
      </c>
      <c r="B269" s="33" t="str">
        <f>'A) Base RI'!B268</f>
        <v>Mont-sur-Rolle</v>
      </c>
      <c r="C269" s="14">
        <f>'A) Base RI'!V268</f>
        <v>2701</v>
      </c>
      <c r="D269" s="10">
        <f t="shared" si="16"/>
        <v>1000</v>
      </c>
      <c r="E269" s="14">
        <f t="shared" si="17"/>
        <v>1701</v>
      </c>
      <c r="F269" s="10">
        <f t="shared" si="17"/>
        <v>0</v>
      </c>
      <c r="G269" s="14">
        <f t="shared" si="17"/>
        <v>0</v>
      </c>
      <c r="H269" s="42">
        <f t="shared" si="17"/>
        <v>0</v>
      </c>
      <c r="I269" s="10">
        <f t="shared" si="17"/>
        <v>0</v>
      </c>
      <c r="J269" s="10">
        <f t="shared" si="18"/>
        <v>0</v>
      </c>
      <c r="K269" s="119">
        <f t="shared" si="19"/>
        <v>711653.62173038232</v>
      </c>
    </row>
    <row r="270" spans="1:11" x14ac:dyDescent="0.25">
      <c r="A270" s="50">
        <f>'A) Base RI'!A269</f>
        <v>5860</v>
      </c>
      <c r="B270" s="33" t="str">
        <f>'A) Base RI'!B269</f>
        <v>Perroy</v>
      </c>
      <c r="C270" s="14">
        <f>'A) Base RI'!V269</f>
        <v>1514</v>
      </c>
      <c r="D270" s="10">
        <f t="shared" si="16"/>
        <v>1000</v>
      </c>
      <c r="E270" s="14">
        <f t="shared" si="17"/>
        <v>514</v>
      </c>
      <c r="F270" s="10">
        <f t="shared" si="17"/>
        <v>0</v>
      </c>
      <c r="G270" s="14">
        <f t="shared" si="17"/>
        <v>0</v>
      </c>
      <c r="H270" s="42">
        <f t="shared" si="17"/>
        <v>0</v>
      </c>
      <c r="I270" s="10">
        <f t="shared" si="17"/>
        <v>0</v>
      </c>
      <c r="J270" s="10">
        <f t="shared" si="18"/>
        <v>0</v>
      </c>
      <c r="K270" s="119">
        <f t="shared" si="19"/>
        <v>301219.11468812876</v>
      </c>
    </row>
    <row r="271" spans="1:11" x14ac:dyDescent="0.25">
      <c r="A271" s="50">
        <f>'A) Base RI'!A270</f>
        <v>5861</v>
      </c>
      <c r="B271" s="33" t="str">
        <f>'A) Base RI'!B270</f>
        <v>Rolle</v>
      </c>
      <c r="C271" s="14">
        <f>'A) Base RI'!V270</f>
        <v>6225</v>
      </c>
      <c r="D271" s="10">
        <f t="shared" si="16"/>
        <v>1000</v>
      </c>
      <c r="E271" s="14">
        <f t="shared" si="17"/>
        <v>2000</v>
      </c>
      <c r="F271" s="10">
        <f t="shared" si="17"/>
        <v>2000</v>
      </c>
      <c r="G271" s="14">
        <f t="shared" si="17"/>
        <v>1225</v>
      </c>
      <c r="H271" s="42">
        <f t="shared" si="17"/>
        <v>0</v>
      </c>
      <c r="I271" s="10">
        <f t="shared" si="17"/>
        <v>0</v>
      </c>
      <c r="J271" s="10">
        <f t="shared" si="18"/>
        <v>0</v>
      </c>
      <c r="K271" s="119">
        <f t="shared" si="19"/>
        <v>2529094.5674044262</v>
      </c>
    </row>
    <row r="272" spans="1:11" x14ac:dyDescent="0.25">
      <c r="A272" s="50">
        <f>'A) Base RI'!A271</f>
        <v>5862</v>
      </c>
      <c r="B272" s="33" t="str">
        <f>'A) Base RI'!B271</f>
        <v>Tartegnin</v>
      </c>
      <c r="C272" s="14">
        <f>'A) Base RI'!V271</f>
        <v>235</v>
      </c>
      <c r="D272" s="10">
        <f t="shared" si="16"/>
        <v>235</v>
      </c>
      <c r="E272" s="14">
        <f t="shared" si="17"/>
        <v>0</v>
      </c>
      <c r="F272" s="10">
        <f t="shared" si="17"/>
        <v>0</v>
      </c>
      <c r="G272" s="14">
        <f t="shared" si="17"/>
        <v>0</v>
      </c>
      <c r="H272" s="42">
        <f t="shared" si="17"/>
        <v>0</v>
      </c>
      <c r="I272" s="10">
        <f t="shared" si="17"/>
        <v>0</v>
      </c>
      <c r="J272" s="10">
        <f t="shared" si="18"/>
        <v>0</v>
      </c>
      <c r="K272" s="119">
        <f t="shared" si="19"/>
        <v>29020.372233400401</v>
      </c>
    </row>
    <row r="273" spans="1:11" x14ac:dyDescent="0.25">
      <c r="A273" s="50">
        <f>'A) Base RI'!A272</f>
        <v>5863</v>
      </c>
      <c r="B273" s="33" t="str">
        <f>'A) Base RI'!B272</f>
        <v>Vinzel</v>
      </c>
      <c r="C273" s="14">
        <f>'A) Base RI'!V272</f>
        <v>371</v>
      </c>
      <c r="D273" s="10">
        <f t="shared" si="16"/>
        <v>371</v>
      </c>
      <c r="E273" s="14">
        <f t="shared" si="17"/>
        <v>0</v>
      </c>
      <c r="F273" s="10">
        <f t="shared" si="17"/>
        <v>0</v>
      </c>
      <c r="G273" s="14">
        <f t="shared" si="17"/>
        <v>0</v>
      </c>
      <c r="H273" s="42">
        <f t="shared" si="17"/>
        <v>0</v>
      </c>
      <c r="I273" s="10">
        <f t="shared" si="17"/>
        <v>0</v>
      </c>
      <c r="J273" s="10">
        <f t="shared" si="18"/>
        <v>0</v>
      </c>
      <c r="K273" s="119">
        <f t="shared" si="19"/>
        <v>45815.140845070418</v>
      </c>
    </row>
    <row r="274" spans="1:11" x14ac:dyDescent="0.25">
      <c r="A274" s="50">
        <f>'A) Base RI'!A273</f>
        <v>5871</v>
      </c>
      <c r="B274" s="33" t="str">
        <f>'A) Base RI'!B273</f>
        <v>L'Abbaye</v>
      </c>
      <c r="C274" s="14">
        <f>'A) Base RI'!V273</f>
        <v>1492</v>
      </c>
      <c r="D274" s="10">
        <f t="shared" si="16"/>
        <v>1000</v>
      </c>
      <c r="E274" s="14">
        <f t="shared" si="17"/>
        <v>492</v>
      </c>
      <c r="F274" s="10">
        <f t="shared" si="17"/>
        <v>0</v>
      </c>
      <c r="G274" s="14">
        <f t="shared" si="17"/>
        <v>0</v>
      </c>
      <c r="H274" s="42">
        <f t="shared" si="17"/>
        <v>0</v>
      </c>
      <c r="I274" s="10">
        <f t="shared" si="17"/>
        <v>0</v>
      </c>
      <c r="J274" s="10">
        <f t="shared" si="18"/>
        <v>0</v>
      </c>
      <c r="K274" s="119">
        <f t="shared" si="19"/>
        <v>293612.07243460766</v>
      </c>
    </row>
    <row r="275" spans="1:11" x14ac:dyDescent="0.25">
      <c r="A275" s="50">
        <f>'A) Base RI'!A274</f>
        <v>5872</v>
      </c>
      <c r="B275" s="33" t="str">
        <f>'A) Base RI'!B274</f>
        <v>Le Chenit</v>
      </c>
      <c r="C275" s="14">
        <f>'A) Base RI'!V274</f>
        <v>4612</v>
      </c>
      <c r="D275" s="10">
        <f t="shared" si="16"/>
        <v>1000</v>
      </c>
      <c r="E275" s="14">
        <f t="shared" si="17"/>
        <v>2000</v>
      </c>
      <c r="F275" s="10">
        <f t="shared" si="17"/>
        <v>1612</v>
      </c>
      <c r="G275" s="14">
        <f t="shared" si="17"/>
        <v>0</v>
      </c>
      <c r="H275" s="42">
        <f t="shared" si="17"/>
        <v>0</v>
      </c>
      <c r="I275" s="10">
        <f t="shared" si="17"/>
        <v>0</v>
      </c>
      <c r="J275" s="10">
        <f t="shared" si="18"/>
        <v>0</v>
      </c>
      <c r="K275" s="119">
        <f t="shared" si="19"/>
        <v>1611309.8591549294</v>
      </c>
    </row>
    <row r="276" spans="1:11" x14ac:dyDescent="0.25">
      <c r="A276" s="50">
        <f>'A) Base RI'!A275</f>
        <v>5873</v>
      </c>
      <c r="B276" s="33" t="str">
        <f>'A) Base RI'!B275</f>
        <v>Le Lieu</v>
      </c>
      <c r="C276" s="14">
        <f>'A) Base RI'!V275</f>
        <v>869</v>
      </c>
      <c r="D276" s="10">
        <f t="shared" si="16"/>
        <v>869</v>
      </c>
      <c r="E276" s="14">
        <f t="shared" si="17"/>
        <v>0</v>
      </c>
      <c r="F276" s="10">
        <f t="shared" si="17"/>
        <v>0</v>
      </c>
      <c r="G276" s="14">
        <f t="shared" si="17"/>
        <v>0</v>
      </c>
      <c r="H276" s="42">
        <f t="shared" si="17"/>
        <v>0</v>
      </c>
      <c r="I276" s="10">
        <f t="shared" si="17"/>
        <v>0</v>
      </c>
      <c r="J276" s="10">
        <f t="shared" si="18"/>
        <v>0</v>
      </c>
      <c r="K276" s="119">
        <f t="shared" si="19"/>
        <v>107313.63179074446</v>
      </c>
    </row>
    <row r="277" spans="1:11" x14ac:dyDescent="0.25">
      <c r="A277" s="50">
        <f>'A) Base RI'!A276</f>
        <v>5881</v>
      </c>
      <c r="B277" s="33" t="str">
        <f>'A) Base RI'!B276</f>
        <v>Blonay</v>
      </c>
      <c r="C277" s="14">
        <f>'A) Base RI'!V276</f>
        <v>6183</v>
      </c>
      <c r="D277" s="10">
        <f t="shared" si="16"/>
        <v>1000</v>
      </c>
      <c r="E277" s="14">
        <f t="shared" si="17"/>
        <v>2000</v>
      </c>
      <c r="F277" s="10">
        <f t="shared" si="17"/>
        <v>2000</v>
      </c>
      <c r="G277" s="14">
        <f t="shared" si="17"/>
        <v>1183</v>
      </c>
      <c r="H277" s="42">
        <f t="shared" si="17"/>
        <v>0</v>
      </c>
      <c r="I277" s="10">
        <f t="shared" si="17"/>
        <v>0</v>
      </c>
      <c r="J277" s="10">
        <f t="shared" si="18"/>
        <v>0</v>
      </c>
      <c r="K277" s="119">
        <f t="shared" si="19"/>
        <v>2504198.7927565388</v>
      </c>
    </row>
    <row r="278" spans="1:11" x14ac:dyDescent="0.25">
      <c r="A278" s="50">
        <f>'A) Base RI'!A277</f>
        <v>5882</v>
      </c>
      <c r="B278" s="33" t="str">
        <f>'A) Base RI'!B277</f>
        <v>Chardonne</v>
      </c>
      <c r="C278" s="14">
        <f>'A) Base RI'!V277</f>
        <v>2921</v>
      </c>
      <c r="D278" s="10">
        <f t="shared" si="16"/>
        <v>1000</v>
      </c>
      <c r="E278" s="14">
        <f t="shared" si="17"/>
        <v>1921</v>
      </c>
      <c r="F278" s="10">
        <f t="shared" si="17"/>
        <v>0</v>
      </c>
      <c r="G278" s="14">
        <f t="shared" si="17"/>
        <v>0</v>
      </c>
      <c r="H278" s="42">
        <f t="shared" si="17"/>
        <v>0</v>
      </c>
      <c r="I278" s="10">
        <f t="shared" si="17"/>
        <v>0</v>
      </c>
      <c r="J278" s="10">
        <f t="shared" si="18"/>
        <v>0</v>
      </c>
      <c r="K278" s="119">
        <f t="shared" si="19"/>
        <v>787724.0442655934</v>
      </c>
    </row>
    <row r="279" spans="1:11" x14ac:dyDescent="0.25">
      <c r="A279" s="50">
        <f>'A) Base RI'!A278</f>
        <v>5883</v>
      </c>
      <c r="B279" s="33" t="str">
        <f>'A) Base RI'!B278</f>
        <v>Corseaux</v>
      </c>
      <c r="C279" s="14">
        <f>'A) Base RI'!V278</f>
        <v>2289</v>
      </c>
      <c r="D279" s="10">
        <f t="shared" si="16"/>
        <v>1000</v>
      </c>
      <c r="E279" s="14">
        <f t="shared" si="17"/>
        <v>1289</v>
      </c>
      <c r="F279" s="10">
        <f t="shared" si="17"/>
        <v>0</v>
      </c>
      <c r="G279" s="14">
        <f t="shared" si="17"/>
        <v>0</v>
      </c>
      <c r="H279" s="42">
        <f t="shared" si="17"/>
        <v>0</v>
      </c>
      <c r="I279" s="10">
        <f t="shared" si="17"/>
        <v>0</v>
      </c>
      <c r="J279" s="10">
        <f t="shared" si="18"/>
        <v>0</v>
      </c>
      <c r="K279" s="119">
        <f t="shared" si="19"/>
        <v>569194.46680080472</v>
      </c>
    </row>
    <row r="280" spans="1:11" x14ac:dyDescent="0.25">
      <c r="A280" s="50">
        <f>'A) Base RI'!A279</f>
        <v>5884</v>
      </c>
      <c r="B280" s="33" t="str">
        <f>'A) Base RI'!B279</f>
        <v>Corsier-sur-Vevey</v>
      </c>
      <c r="C280" s="14">
        <f>'A) Base RI'!V279</f>
        <v>3396</v>
      </c>
      <c r="D280" s="10">
        <f t="shared" si="16"/>
        <v>1000</v>
      </c>
      <c r="E280" s="14">
        <f t="shared" si="17"/>
        <v>2000</v>
      </c>
      <c r="F280" s="10">
        <f t="shared" si="17"/>
        <v>396</v>
      </c>
      <c r="G280" s="14">
        <f t="shared" si="17"/>
        <v>0</v>
      </c>
      <c r="H280" s="42">
        <f t="shared" si="17"/>
        <v>0</v>
      </c>
      <c r="I280" s="10">
        <f t="shared" si="17"/>
        <v>0</v>
      </c>
      <c r="J280" s="10">
        <f t="shared" si="18"/>
        <v>0</v>
      </c>
      <c r="K280" s="119">
        <f t="shared" si="19"/>
        <v>1010649.8993963781</v>
      </c>
    </row>
    <row r="281" spans="1:11" x14ac:dyDescent="0.25">
      <c r="A281" s="50">
        <f>'A) Base RI'!A280</f>
        <v>5885</v>
      </c>
      <c r="B281" s="33" t="str">
        <f>'A) Base RI'!B280</f>
        <v>Jongny</v>
      </c>
      <c r="C281" s="14">
        <f>'A) Base RI'!V280</f>
        <v>1549</v>
      </c>
      <c r="D281" s="10">
        <f t="shared" si="16"/>
        <v>1000</v>
      </c>
      <c r="E281" s="14">
        <f t="shared" si="17"/>
        <v>549</v>
      </c>
      <c r="F281" s="10">
        <f t="shared" si="17"/>
        <v>0</v>
      </c>
      <c r="G281" s="14">
        <f t="shared" si="17"/>
        <v>0</v>
      </c>
      <c r="H281" s="42">
        <f t="shared" si="17"/>
        <v>0</v>
      </c>
      <c r="I281" s="10">
        <f t="shared" si="17"/>
        <v>0</v>
      </c>
      <c r="J281" s="10">
        <f t="shared" si="18"/>
        <v>0</v>
      </c>
      <c r="K281" s="119">
        <f t="shared" si="19"/>
        <v>313321.22736418509</v>
      </c>
    </row>
    <row r="282" spans="1:11" x14ac:dyDescent="0.25">
      <c r="A282" s="50">
        <f>'A) Base RI'!A281</f>
        <v>5886</v>
      </c>
      <c r="B282" s="33" t="str">
        <f>'A) Base RI'!B281</f>
        <v>Montreux</v>
      </c>
      <c r="C282" s="14">
        <f>'A) Base RI'!V281</f>
        <v>26653</v>
      </c>
      <c r="D282" s="10">
        <f t="shared" si="16"/>
        <v>1000</v>
      </c>
      <c r="E282" s="14">
        <f t="shared" si="17"/>
        <v>2000</v>
      </c>
      <c r="F282" s="10">
        <f t="shared" si="17"/>
        <v>2000</v>
      </c>
      <c r="G282" s="14">
        <f t="shared" si="17"/>
        <v>4000</v>
      </c>
      <c r="H282" s="42">
        <f t="shared" si="17"/>
        <v>3000</v>
      </c>
      <c r="I282" s="10">
        <f t="shared" si="17"/>
        <v>3000</v>
      </c>
      <c r="J282" s="10">
        <f t="shared" si="18"/>
        <v>11653</v>
      </c>
      <c r="K282" s="119">
        <f t="shared" si="19"/>
        <v>21744927.867203217</v>
      </c>
    </row>
    <row r="283" spans="1:11" x14ac:dyDescent="0.25">
      <c r="A283" s="50">
        <f>'A) Base RI'!A282</f>
        <v>5888</v>
      </c>
      <c r="B283" s="33" t="str">
        <f>'A) Base RI'!B282</f>
        <v>Saint-Légier-La Chiésaz</v>
      </c>
      <c r="C283" s="14">
        <f>'A) Base RI'!V282</f>
        <v>5167</v>
      </c>
      <c r="D283" s="10">
        <f t="shared" si="16"/>
        <v>1000</v>
      </c>
      <c r="E283" s="14">
        <f t="shared" si="17"/>
        <v>2000</v>
      </c>
      <c r="F283" s="10">
        <f t="shared" si="17"/>
        <v>2000</v>
      </c>
      <c r="G283" s="14">
        <f t="shared" si="17"/>
        <v>167</v>
      </c>
      <c r="H283" s="42">
        <f t="shared" si="17"/>
        <v>0</v>
      </c>
      <c r="I283" s="10">
        <f t="shared" si="17"/>
        <v>0</v>
      </c>
      <c r="J283" s="10">
        <f t="shared" si="18"/>
        <v>0</v>
      </c>
      <c r="K283" s="119">
        <f t="shared" si="19"/>
        <v>1901958.14889336</v>
      </c>
    </row>
    <row r="284" spans="1:11" x14ac:dyDescent="0.25">
      <c r="A284" s="50">
        <f>'A) Base RI'!A283</f>
        <v>5889</v>
      </c>
      <c r="B284" s="33" t="str">
        <f>'A) Base RI'!B283</f>
        <v>La Tour-de-Peilz</v>
      </c>
      <c r="C284" s="14">
        <f>'A) Base RI'!V283</f>
        <v>11779</v>
      </c>
      <c r="D284" s="10">
        <f t="shared" si="16"/>
        <v>1000</v>
      </c>
      <c r="E284" s="14">
        <f t="shared" si="17"/>
        <v>2000</v>
      </c>
      <c r="F284" s="10">
        <f t="shared" si="17"/>
        <v>2000</v>
      </c>
      <c r="G284" s="14">
        <f t="shared" si="17"/>
        <v>4000</v>
      </c>
      <c r="H284" s="42">
        <f t="shared" si="17"/>
        <v>2779</v>
      </c>
      <c r="I284" s="10">
        <f t="shared" si="17"/>
        <v>0</v>
      </c>
      <c r="J284" s="10">
        <f t="shared" si="18"/>
        <v>0</v>
      </c>
      <c r="K284" s="119">
        <f t="shared" si="19"/>
        <v>6507627.0623742454</v>
      </c>
    </row>
    <row r="285" spans="1:11" x14ac:dyDescent="0.25">
      <c r="A285" s="50">
        <f>'A) Base RI'!A284</f>
        <v>5890</v>
      </c>
      <c r="B285" s="33" t="str">
        <f>'A) Base RI'!B284</f>
        <v>Vevey</v>
      </c>
      <c r="C285" s="14">
        <f>'A) Base RI'!V284</f>
        <v>19829</v>
      </c>
      <c r="D285" s="10">
        <f t="shared" si="16"/>
        <v>1000</v>
      </c>
      <c r="E285" s="14">
        <f t="shared" si="17"/>
        <v>2000</v>
      </c>
      <c r="F285" s="10">
        <f t="shared" si="17"/>
        <v>2000</v>
      </c>
      <c r="G285" s="14">
        <f t="shared" si="17"/>
        <v>4000</v>
      </c>
      <c r="H285" s="42">
        <f t="shared" si="17"/>
        <v>3000</v>
      </c>
      <c r="I285" s="10">
        <f t="shared" si="17"/>
        <v>3000</v>
      </c>
      <c r="J285" s="10">
        <f t="shared" si="18"/>
        <v>4829</v>
      </c>
      <c r="K285" s="119">
        <f t="shared" si="19"/>
        <v>14666229.275653923</v>
      </c>
    </row>
    <row r="286" spans="1:11" x14ac:dyDescent="0.25">
      <c r="A286" s="50">
        <f>'A) Base RI'!A285</f>
        <v>5891</v>
      </c>
      <c r="B286" s="33" t="str">
        <f>'A) Base RI'!B285</f>
        <v>Veytaux</v>
      </c>
      <c r="C286" s="14">
        <f>'A) Base RI'!V285</f>
        <v>870</v>
      </c>
      <c r="D286" s="10">
        <f t="shared" si="16"/>
        <v>870</v>
      </c>
      <c r="E286" s="14">
        <f t="shared" si="17"/>
        <v>0</v>
      </c>
      <c r="F286" s="10">
        <f t="shared" si="17"/>
        <v>0</v>
      </c>
      <c r="G286" s="14">
        <f t="shared" si="17"/>
        <v>0</v>
      </c>
      <c r="H286" s="42">
        <f t="shared" si="17"/>
        <v>0</v>
      </c>
      <c r="I286" s="10">
        <f t="shared" si="17"/>
        <v>0</v>
      </c>
      <c r="J286" s="10">
        <f t="shared" si="18"/>
        <v>0</v>
      </c>
      <c r="K286" s="119">
        <f t="shared" si="19"/>
        <v>107437.1227364185</v>
      </c>
    </row>
    <row r="287" spans="1:11" x14ac:dyDescent="0.25">
      <c r="A287" s="50">
        <f>'A) Base RI'!A286</f>
        <v>5902</v>
      </c>
      <c r="B287" s="33" t="str">
        <f>'A) Base RI'!B286</f>
        <v>Belmont-sur-Yverdon</v>
      </c>
      <c r="C287" s="14">
        <f>'A) Base RI'!V286</f>
        <v>378</v>
      </c>
      <c r="D287" s="10">
        <f t="shared" si="16"/>
        <v>378</v>
      </c>
      <c r="E287" s="14">
        <f t="shared" si="17"/>
        <v>0</v>
      </c>
      <c r="F287" s="10">
        <f t="shared" si="17"/>
        <v>0</v>
      </c>
      <c r="G287" s="14">
        <f t="shared" si="17"/>
        <v>0</v>
      </c>
      <c r="H287" s="42">
        <f t="shared" si="17"/>
        <v>0</v>
      </c>
      <c r="I287" s="10">
        <f t="shared" si="17"/>
        <v>0</v>
      </c>
      <c r="J287" s="10">
        <f t="shared" si="18"/>
        <v>0</v>
      </c>
      <c r="K287" s="119">
        <f t="shared" si="19"/>
        <v>46679.57746478873</v>
      </c>
    </row>
    <row r="288" spans="1:11" x14ac:dyDescent="0.25">
      <c r="A288" s="50">
        <f>'A) Base RI'!A287</f>
        <v>5903</v>
      </c>
      <c r="B288" s="33" t="str">
        <f>'A) Base RI'!B287</f>
        <v>Bioley-Magnoux</v>
      </c>
      <c r="C288" s="14">
        <f>'A) Base RI'!V287</f>
        <v>225</v>
      </c>
      <c r="D288" s="10">
        <f t="shared" si="16"/>
        <v>225</v>
      </c>
      <c r="E288" s="14">
        <f t="shared" si="17"/>
        <v>0</v>
      </c>
      <c r="F288" s="10">
        <f t="shared" si="17"/>
        <v>0</v>
      </c>
      <c r="G288" s="14">
        <f t="shared" si="17"/>
        <v>0</v>
      </c>
      <c r="H288" s="42">
        <f t="shared" si="17"/>
        <v>0</v>
      </c>
      <c r="I288" s="10">
        <f t="shared" si="17"/>
        <v>0</v>
      </c>
      <c r="J288" s="10">
        <f t="shared" si="18"/>
        <v>0</v>
      </c>
      <c r="K288" s="119">
        <f t="shared" si="19"/>
        <v>27785.462776659959</v>
      </c>
    </row>
    <row r="289" spans="1:11" x14ac:dyDescent="0.25">
      <c r="A289" s="50">
        <f>'A) Base RI'!A288</f>
        <v>5904</v>
      </c>
      <c r="B289" s="33" t="str">
        <f>'A) Base RI'!B288</f>
        <v>Chamblon</v>
      </c>
      <c r="C289" s="14">
        <f>'A) Base RI'!V288</f>
        <v>534</v>
      </c>
      <c r="D289" s="10">
        <f t="shared" si="16"/>
        <v>534</v>
      </c>
      <c r="E289" s="14">
        <f t="shared" si="17"/>
        <v>0</v>
      </c>
      <c r="F289" s="10">
        <f t="shared" si="17"/>
        <v>0</v>
      </c>
      <c r="G289" s="14">
        <f t="shared" si="17"/>
        <v>0</v>
      </c>
      <c r="H289" s="42">
        <f t="shared" si="17"/>
        <v>0</v>
      </c>
      <c r="I289" s="10">
        <f t="shared" si="17"/>
        <v>0</v>
      </c>
      <c r="J289" s="10">
        <f t="shared" si="18"/>
        <v>0</v>
      </c>
      <c r="K289" s="119">
        <f t="shared" si="19"/>
        <v>65944.164989939629</v>
      </c>
    </row>
    <row r="290" spans="1:11" x14ac:dyDescent="0.25">
      <c r="A290" s="50">
        <f>'A) Base RI'!A289</f>
        <v>5905</v>
      </c>
      <c r="B290" s="33" t="str">
        <f>'A) Base RI'!B289</f>
        <v>Champvent</v>
      </c>
      <c r="C290" s="14">
        <f>'A) Base RI'!V289</f>
        <v>669</v>
      </c>
      <c r="D290" s="10">
        <f t="shared" si="16"/>
        <v>669</v>
      </c>
      <c r="E290" s="14">
        <f t="shared" si="17"/>
        <v>0</v>
      </c>
      <c r="F290" s="10">
        <f t="shared" si="17"/>
        <v>0</v>
      </c>
      <c r="G290" s="14">
        <f t="shared" si="17"/>
        <v>0</v>
      </c>
      <c r="H290" s="42">
        <f t="shared" si="17"/>
        <v>0</v>
      </c>
      <c r="I290" s="10">
        <f t="shared" si="17"/>
        <v>0</v>
      </c>
      <c r="J290" s="10">
        <f t="shared" si="18"/>
        <v>0</v>
      </c>
      <c r="K290" s="119">
        <f t="shared" si="19"/>
        <v>82615.442655935607</v>
      </c>
    </row>
    <row r="291" spans="1:11" x14ac:dyDescent="0.25">
      <c r="A291" s="50">
        <f>'A) Base RI'!A290</f>
        <v>5907</v>
      </c>
      <c r="B291" s="33" t="str">
        <f>'A) Base RI'!B290</f>
        <v>Chavannes-le-Chêne</v>
      </c>
      <c r="C291" s="14">
        <f>'A) Base RI'!V290</f>
        <v>298</v>
      </c>
      <c r="D291" s="10">
        <f t="shared" si="16"/>
        <v>298</v>
      </c>
      <c r="E291" s="14">
        <f t="shared" si="17"/>
        <v>0</v>
      </c>
      <c r="F291" s="10">
        <f t="shared" si="17"/>
        <v>0</v>
      </c>
      <c r="G291" s="14">
        <f t="shared" si="17"/>
        <v>0</v>
      </c>
      <c r="H291" s="42">
        <f t="shared" si="17"/>
        <v>0</v>
      </c>
      <c r="I291" s="10">
        <f t="shared" si="17"/>
        <v>0</v>
      </c>
      <c r="J291" s="10">
        <f t="shared" si="18"/>
        <v>0</v>
      </c>
      <c r="K291" s="119">
        <f t="shared" si="19"/>
        <v>36800.301810865189</v>
      </c>
    </row>
    <row r="292" spans="1:11" x14ac:dyDescent="0.25">
      <c r="A292" s="50">
        <f>'A) Base RI'!A291</f>
        <v>5908</v>
      </c>
      <c r="B292" s="33" t="str">
        <f>'A) Base RI'!B291</f>
        <v>Chêne-Pâquier</v>
      </c>
      <c r="C292" s="14">
        <f>'A) Base RI'!V291</f>
        <v>139</v>
      </c>
      <c r="D292" s="10">
        <f t="shared" si="16"/>
        <v>139</v>
      </c>
      <c r="E292" s="14">
        <f t="shared" si="17"/>
        <v>0</v>
      </c>
      <c r="F292" s="10">
        <f t="shared" si="17"/>
        <v>0</v>
      </c>
      <c r="G292" s="14">
        <f t="shared" si="17"/>
        <v>0</v>
      </c>
      <c r="H292" s="42">
        <f t="shared" si="17"/>
        <v>0</v>
      </c>
      <c r="I292" s="10">
        <f t="shared" si="17"/>
        <v>0</v>
      </c>
      <c r="J292" s="10">
        <f t="shared" si="18"/>
        <v>0</v>
      </c>
      <c r="K292" s="119">
        <f t="shared" si="19"/>
        <v>17165.241448692152</v>
      </c>
    </row>
    <row r="293" spans="1:11" x14ac:dyDescent="0.25">
      <c r="A293" s="50">
        <f>'A) Base RI'!A292</f>
        <v>5909</v>
      </c>
      <c r="B293" s="33" t="str">
        <f>'A) Base RI'!B292</f>
        <v>Cheseaux-Noréaz</v>
      </c>
      <c r="C293" s="14">
        <f>'A) Base RI'!V292</f>
        <v>705</v>
      </c>
      <c r="D293" s="10">
        <f t="shared" si="16"/>
        <v>705</v>
      </c>
      <c r="E293" s="14">
        <f t="shared" si="17"/>
        <v>0</v>
      </c>
      <c r="F293" s="10">
        <f t="shared" si="17"/>
        <v>0</v>
      </c>
      <c r="G293" s="14">
        <f t="shared" si="17"/>
        <v>0</v>
      </c>
      <c r="H293" s="42">
        <f t="shared" si="17"/>
        <v>0</v>
      </c>
      <c r="I293" s="10">
        <f t="shared" si="17"/>
        <v>0</v>
      </c>
      <c r="J293" s="10">
        <f t="shared" si="18"/>
        <v>0</v>
      </c>
      <c r="K293" s="119">
        <f t="shared" si="19"/>
        <v>87061.116700201193</v>
      </c>
    </row>
    <row r="294" spans="1:11" x14ac:dyDescent="0.25">
      <c r="A294" s="50">
        <f>'A) Base RI'!A293</f>
        <v>5910</v>
      </c>
      <c r="B294" s="33" t="str">
        <f>'A) Base RI'!B293</f>
        <v>Cronay</v>
      </c>
      <c r="C294" s="14">
        <f>'A) Base RI'!V293</f>
        <v>380</v>
      </c>
      <c r="D294" s="10">
        <f t="shared" si="16"/>
        <v>380</v>
      </c>
      <c r="E294" s="14">
        <f t="shared" si="17"/>
        <v>0</v>
      </c>
      <c r="F294" s="10">
        <f t="shared" si="17"/>
        <v>0</v>
      </c>
      <c r="G294" s="14">
        <f t="shared" si="17"/>
        <v>0</v>
      </c>
      <c r="H294" s="42">
        <f t="shared" si="17"/>
        <v>0</v>
      </c>
      <c r="I294" s="10">
        <f t="shared" si="17"/>
        <v>0</v>
      </c>
      <c r="J294" s="10">
        <f t="shared" si="18"/>
        <v>0</v>
      </c>
      <c r="K294" s="119">
        <f t="shared" si="19"/>
        <v>46926.559356136815</v>
      </c>
    </row>
    <row r="295" spans="1:11" x14ac:dyDescent="0.25">
      <c r="A295" s="50">
        <f>'A) Base RI'!A294</f>
        <v>5911</v>
      </c>
      <c r="B295" s="33" t="str">
        <f>'A) Base RI'!B294</f>
        <v>Cuarny</v>
      </c>
      <c r="C295" s="14">
        <f>'A) Base RI'!V294</f>
        <v>241</v>
      </c>
      <c r="D295" s="10">
        <f t="shared" si="16"/>
        <v>241</v>
      </c>
      <c r="E295" s="14">
        <f t="shared" si="17"/>
        <v>0</v>
      </c>
      <c r="F295" s="10">
        <f t="shared" si="17"/>
        <v>0</v>
      </c>
      <c r="G295" s="14">
        <f t="shared" si="17"/>
        <v>0</v>
      </c>
      <c r="H295" s="42">
        <f t="shared" si="17"/>
        <v>0</v>
      </c>
      <c r="I295" s="10">
        <f t="shared" si="17"/>
        <v>0</v>
      </c>
      <c r="J295" s="10">
        <f t="shared" si="18"/>
        <v>0</v>
      </c>
      <c r="K295" s="119">
        <f t="shared" si="19"/>
        <v>29761.317907444667</v>
      </c>
    </row>
    <row r="296" spans="1:11" x14ac:dyDescent="0.25">
      <c r="A296" s="50">
        <f>'A) Base RI'!A295</f>
        <v>5912</v>
      </c>
      <c r="B296" s="33" t="str">
        <f>'A) Base RI'!B295</f>
        <v>Démoret</v>
      </c>
      <c r="C296" s="14">
        <f>'A) Base RI'!V295</f>
        <v>146</v>
      </c>
      <c r="D296" s="10">
        <f t="shared" si="16"/>
        <v>146</v>
      </c>
      <c r="E296" s="14">
        <f t="shared" si="17"/>
        <v>0</v>
      </c>
      <c r="F296" s="10">
        <f t="shared" si="17"/>
        <v>0</v>
      </c>
      <c r="G296" s="14">
        <f t="shared" si="17"/>
        <v>0</v>
      </c>
      <c r="H296" s="42">
        <f t="shared" si="17"/>
        <v>0</v>
      </c>
      <c r="I296" s="10">
        <f t="shared" si="17"/>
        <v>0</v>
      </c>
      <c r="J296" s="10">
        <f t="shared" si="18"/>
        <v>0</v>
      </c>
      <c r="K296" s="119">
        <f t="shared" si="19"/>
        <v>18029.67806841046</v>
      </c>
    </row>
    <row r="297" spans="1:11" x14ac:dyDescent="0.25">
      <c r="A297" s="50">
        <f>'A) Base RI'!A296</f>
        <v>5913</v>
      </c>
      <c r="B297" s="33" t="str">
        <f>'A) Base RI'!B296</f>
        <v>Donneloye</v>
      </c>
      <c r="C297" s="14">
        <f>'A) Base RI'!V296</f>
        <v>813</v>
      </c>
      <c r="D297" s="10">
        <f t="shared" si="16"/>
        <v>813</v>
      </c>
      <c r="E297" s="14">
        <f t="shared" si="17"/>
        <v>0</v>
      </c>
      <c r="F297" s="10">
        <f t="shared" si="17"/>
        <v>0</v>
      </c>
      <c r="G297" s="14">
        <f t="shared" si="17"/>
        <v>0</v>
      </c>
      <c r="H297" s="42">
        <f t="shared" si="17"/>
        <v>0</v>
      </c>
      <c r="I297" s="10">
        <f t="shared" si="17"/>
        <v>0</v>
      </c>
      <c r="J297" s="10">
        <f t="shared" si="18"/>
        <v>0</v>
      </c>
      <c r="K297" s="119">
        <f t="shared" si="19"/>
        <v>100398.13883299798</v>
      </c>
    </row>
    <row r="298" spans="1:11" x14ac:dyDescent="0.25">
      <c r="A298" s="50">
        <f>'A) Base RI'!A297</f>
        <v>5914</v>
      </c>
      <c r="B298" s="33" t="str">
        <f>'A) Base RI'!B297</f>
        <v>Ependes</v>
      </c>
      <c r="C298" s="14">
        <f>'A) Base RI'!V297</f>
        <v>361</v>
      </c>
      <c r="D298" s="10">
        <f t="shared" si="16"/>
        <v>361</v>
      </c>
      <c r="E298" s="14">
        <f t="shared" si="17"/>
        <v>0</v>
      </c>
      <c r="F298" s="10">
        <f t="shared" si="17"/>
        <v>0</v>
      </c>
      <c r="G298" s="14">
        <f t="shared" si="17"/>
        <v>0</v>
      </c>
      <c r="H298" s="42">
        <f t="shared" si="17"/>
        <v>0</v>
      </c>
      <c r="I298" s="10">
        <f t="shared" si="17"/>
        <v>0</v>
      </c>
      <c r="J298" s="10">
        <f t="shared" si="18"/>
        <v>0</v>
      </c>
      <c r="K298" s="119">
        <f t="shared" si="19"/>
        <v>44580.231388329979</v>
      </c>
    </row>
    <row r="299" spans="1:11" x14ac:dyDescent="0.25">
      <c r="A299" s="50">
        <f>'A) Base RI'!A298</f>
        <v>5919</v>
      </c>
      <c r="B299" s="33" t="str">
        <f>'A) Base RI'!B298</f>
        <v>Mathod</v>
      </c>
      <c r="C299" s="14">
        <f>'A) Base RI'!V298</f>
        <v>617</v>
      </c>
      <c r="D299" s="10">
        <f t="shared" ref="D299:D316" si="20">IF($C299&gt;D$4,IF($C299&lt;D$5,$C299-D$4,D$5-D$4),0)</f>
        <v>617</v>
      </c>
      <c r="E299" s="14">
        <f t="shared" si="17"/>
        <v>0</v>
      </c>
      <c r="F299" s="10">
        <f t="shared" si="17"/>
        <v>0</v>
      </c>
      <c r="G299" s="14">
        <f t="shared" si="17"/>
        <v>0</v>
      </c>
      <c r="H299" s="42">
        <f t="shared" si="17"/>
        <v>0</v>
      </c>
      <c r="I299" s="10">
        <f t="shared" si="17"/>
        <v>0</v>
      </c>
      <c r="J299" s="10">
        <f t="shared" si="18"/>
        <v>0</v>
      </c>
      <c r="K299" s="119">
        <f t="shared" si="19"/>
        <v>76193.913480885312</v>
      </c>
    </row>
    <row r="300" spans="1:11" x14ac:dyDescent="0.25">
      <c r="A300" s="50">
        <f>'A) Base RI'!A299</f>
        <v>5921</v>
      </c>
      <c r="B300" s="33" t="str">
        <f>'A) Base RI'!B299</f>
        <v>Molondin</v>
      </c>
      <c r="C300" s="14">
        <f>'A) Base RI'!V299</f>
        <v>232</v>
      </c>
      <c r="D300" s="10">
        <f t="shared" si="20"/>
        <v>232</v>
      </c>
      <c r="E300" s="14">
        <f t="shared" si="17"/>
        <v>0</v>
      </c>
      <c r="F300" s="10">
        <f t="shared" si="17"/>
        <v>0</v>
      </c>
      <c r="G300" s="14">
        <f t="shared" si="17"/>
        <v>0</v>
      </c>
      <c r="H300" s="42">
        <f t="shared" si="17"/>
        <v>0</v>
      </c>
      <c r="I300" s="10">
        <f t="shared" si="17"/>
        <v>0</v>
      </c>
      <c r="J300" s="10">
        <f t="shared" si="18"/>
        <v>0</v>
      </c>
      <c r="K300" s="119">
        <f t="shared" si="19"/>
        <v>28649.899396378267</v>
      </c>
    </row>
    <row r="301" spans="1:11" x14ac:dyDescent="0.25">
      <c r="A301" s="50">
        <f>'A) Base RI'!A300</f>
        <v>5922</v>
      </c>
      <c r="B301" s="33" t="str">
        <f>'A) Base RI'!B300</f>
        <v>Montagny-près-Yverdon</v>
      </c>
      <c r="C301" s="14">
        <f>'A) Base RI'!V300</f>
        <v>717</v>
      </c>
      <c r="D301" s="10">
        <f t="shared" si="20"/>
        <v>717</v>
      </c>
      <c r="E301" s="14">
        <f t="shared" si="17"/>
        <v>0</v>
      </c>
      <c r="F301" s="10">
        <f t="shared" si="17"/>
        <v>0</v>
      </c>
      <c r="G301" s="14">
        <f t="shared" si="17"/>
        <v>0</v>
      </c>
      <c r="H301" s="42">
        <f t="shared" si="17"/>
        <v>0</v>
      </c>
      <c r="I301" s="10">
        <f t="shared" si="17"/>
        <v>0</v>
      </c>
      <c r="J301" s="10">
        <f t="shared" si="18"/>
        <v>0</v>
      </c>
      <c r="K301" s="119">
        <f t="shared" si="19"/>
        <v>88543.008048289732</v>
      </c>
    </row>
    <row r="302" spans="1:11" x14ac:dyDescent="0.25">
      <c r="A302" s="50">
        <f>'A) Base RI'!A301</f>
        <v>5923</v>
      </c>
      <c r="B302" s="33" t="str">
        <f>'A) Base RI'!B301</f>
        <v>Oppens</v>
      </c>
      <c r="C302" s="14">
        <f>'A) Base RI'!V301</f>
        <v>187</v>
      </c>
      <c r="D302" s="10">
        <f t="shared" si="20"/>
        <v>187</v>
      </c>
      <c r="E302" s="14">
        <f t="shared" si="17"/>
        <v>0</v>
      </c>
      <c r="F302" s="10">
        <f t="shared" si="17"/>
        <v>0</v>
      </c>
      <c r="G302" s="14">
        <f t="shared" si="17"/>
        <v>0</v>
      </c>
      <c r="H302" s="42">
        <f t="shared" si="17"/>
        <v>0</v>
      </c>
      <c r="I302" s="10">
        <f t="shared" si="17"/>
        <v>0</v>
      </c>
      <c r="J302" s="10">
        <f t="shared" si="18"/>
        <v>0</v>
      </c>
      <c r="K302" s="119">
        <f t="shared" si="19"/>
        <v>23092.806841046277</v>
      </c>
    </row>
    <row r="303" spans="1:11" x14ac:dyDescent="0.25">
      <c r="A303" s="50">
        <f>'A) Base RI'!A302</f>
        <v>5924</v>
      </c>
      <c r="B303" s="33" t="str">
        <f>'A) Base RI'!B302</f>
        <v>Orges</v>
      </c>
      <c r="C303" s="14">
        <f>'A) Base RI'!V302</f>
        <v>336</v>
      </c>
      <c r="D303" s="10">
        <f t="shared" si="20"/>
        <v>336</v>
      </c>
      <c r="E303" s="14">
        <f t="shared" si="17"/>
        <v>0</v>
      </c>
      <c r="F303" s="10">
        <f t="shared" si="17"/>
        <v>0</v>
      </c>
      <c r="G303" s="14">
        <f t="shared" si="17"/>
        <v>0</v>
      </c>
      <c r="H303" s="42">
        <f t="shared" si="17"/>
        <v>0</v>
      </c>
      <c r="I303" s="10">
        <f t="shared" si="17"/>
        <v>0</v>
      </c>
      <c r="J303" s="10">
        <f t="shared" si="18"/>
        <v>0</v>
      </c>
      <c r="K303" s="119">
        <f t="shared" si="19"/>
        <v>41492.957746478867</v>
      </c>
    </row>
    <row r="304" spans="1:11" x14ac:dyDescent="0.25">
      <c r="A304" s="50">
        <f>'A) Base RI'!A303</f>
        <v>5925</v>
      </c>
      <c r="B304" s="33" t="str">
        <f>'A) Base RI'!B303</f>
        <v>Orzens</v>
      </c>
      <c r="C304" s="14">
        <f>'A) Base RI'!V303</f>
        <v>195</v>
      </c>
      <c r="D304" s="10">
        <f t="shared" si="20"/>
        <v>195</v>
      </c>
      <c r="E304" s="14">
        <f t="shared" si="17"/>
        <v>0</v>
      </c>
      <c r="F304" s="10">
        <f t="shared" si="17"/>
        <v>0</v>
      </c>
      <c r="G304" s="14">
        <f t="shared" si="17"/>
        <v>0</v>
      </c>
      <c r="H304" s="42">
        <f t="shared" si="17"/>
        <v>0</v>
      </c>
      <c r="I304" s="10">
        <f t="shared" si="17"/>
        <v>0</v>
      </c>
      <c r="J304" s="10">
        <f t="shared" si="18"/>
        <v>0</v>
      </c>
      <c r="K304" s="119">
        <f t="shared" si="19"/>
        <v>24080.734406438631</v>
      </c>
    </row>
    <row r="305" spans="1:11" x14ac:dyDescent="0.25">
      <c r="A305" s="50">
        <f>'A) Base RI'!A304</f>
        <v>5926</v>
      </c>
      <c r="B305" s="33" t="str">
        <f>'A) Base RI'!B304</f>
        <v>Pomy</v>
      </c>
      <c r="C305" s="14">
        <f>'A) Base RI'!V304</f>
        <v>785</v>
      </c>
      <c r="D305" s="10">
        <f t="shared" si="20"/>
        <v>785</v>
      </c>
      <c r="E305" s="14">
        <f t="shared" si="17"/>
        <v>0</v>
      </c>
      <c r="F305" s="10">
        <f t="shared" si="17"/>
        <v>0</v>
      </c>
      <c r="G305" s="14">
        <f t="shared" si="17"/>
        <v>0</v>
      </c>
      <c r="H305" s="42">
        <f t="shared" si="17"/>
        <v>0</v>
      </c>
      <c r="I305" s="10">
        <f t="shared" si="17"/>
        <v>0</v>
      </c>
      <c r="J305" s="10">
        <f t="shared" si="18"/>
        <v>0</v>
      </c>
      <c r="K305" s="119">
        <f t="shared" si="19"/>
        <v>96940.392354124735</v>
      </c>
    </row>
    <row r="306" spans="1:11" x14ac:dyDescent="0.25">
      <c r="A306" s="50">
        <f>'A) Base RI'!A305</f>
        <v>5928</v>
      </c>
      <c r="B306" s="33" t="str">
        <f>'A) Base RI'!B305</f>
        <v>Rovray</v>
      </c>
      <c r="C306" s="14">
        <f>'A) Base RI'!V305</f>
        <v>187</v>
      </c>
      <c r="D306" s="10">
        <f t="shared" si="20"/>
        <v>187</v>
      </c>
      <c r="E306" s="14">
        <f t="shared" si="17"/>
        <v>0</v>
      </c>
      <c r="F306" s="10">
        <f t="shared" si="17"/>
        <v>0</v>
      </c>
      <c r="G306" s="14">
        <f t="shared" si="17"/>
        <v>0</v>
      </c>
      <c r="H306" s="42">
        <f t="shared" si="17"/>
        <v>0</v>
      </c>
      <c r="I306" s="10">
        <f t="shared" si="17"/>
        <v>0</v>
      </c>
      <c r="J306" s="10">
        <f t="shared" si="18"/>
        <v>0</v>
      </c>
      <c r="K306" s="119">
        <f t="shared" si="19"/>
        <v>23092.806841046277</v>
      </c>
    </row>
    <row r="307" spans="1:11" x14ac:dyDescent="0.25">
      <c r="A307" s="50">
        <f>'A) Base RI'!A306</f>
        <v>5929</v>
      </c>
      <c r="B307" s="33" t="str">
        <f>'A) Base RI'!B306</f>
        <v>Suchy</v>
      </c>
      <c r="C307" s="14">
        <f>'A) Base RI'!V306</f>
        <v>605</v>
      </c>
      <c r="D307" s="10">
        <f t="shared" si="20"/>
        <v>605</v>
      </c>
      <c r="E307" s="14">
        <f t="shared" si="17"/>
        <v>0</v>
      </c>
      <c r="F307" s="10">
        <f t="shared" si="17"/>
        <v>0</v>
      </c>
      <c r="G307" s="14">
        <f t="shared" si="17"/>
        <v>0</v>
      </c>
      <c r="H307" s="42">
        <f t="shared" si="17"/>
        <v>0</v>
      </c>
      <c r="I307" s="10">
        <f t="shared" si="17"/>
        <v>0</v>
      </c>
      <c r="J307" s="10">
        <f t="shared" si="18"/>
        <v>0</v>
      </c>
      <c r="K307" s="119">
        <f t="shared" si="19"/>
        <v>74712.022132796774</v>
      </c>
    </row>
    <row r="308" spans="1:11" x14ac:dyDescent="0.25">
      <c r="A308" s="50">
        <f>'A) Base RI'!A307</f>
        <v>5930</v>
      </c>
      <c r="B308" s="33" t="str">
        <f>'A) Base RI'!B307</f>
        <v>Suscévaz</v>
      </c>
      <c r="C308" s="14">
        <f>'A) Base RI'!V307</f>
        <v>200</v>
      </c>
      <c r="D308" s="10">
        <f t="shared" si="20"/>
        <v>200</v>
      </c>
      <c r="E308" s="14">
        <f t="shared" si="17"/>
        <v>0</v>
      </c>
      <c r="F308" s="10">
        <f t="shared" si="17"/>
        <v>0</v>
      </c>
      <c r="G308" s="14">
        <f t="shared" si="17"/>
        <v>0</v>
      </c>
      <c r="H308" s="42">
        <f t="shared" si="17"/>
        <v>0</v>
      </c>
      <c r="I308" s="10">
        <f t="shared" si="17"/>
        <v>0</v>
      </c>
      <c r="J308" s="10">
        <f t="shared" si="18"/>
        <v>0</v>
      </c>
      <c r="K308" s="119">
        <f t="shared" si="19"/>
        <v>24698.18913480885</v>
      </c>
    </row>
    <row r="309" spans="1:11" x14ac:dyDescent="0.25">
      <c r="A309" s="50">
        <f>'A) Base RI'!A308</f>
        <v>5931</v>
      </c>
      <c r="B309" s="33" t="str">
        <f>'A) Base RI'!B308</f>
        <v>Treycovagnes</v>
      </c>
      <c r="C309" s="14">
        <f>'A) Base RI'!V308</f>
        <v>456</v>
      </c>
      <c r="D309" s="10">
        <f t="shared" si="20"/>
        <v>456</v>
      </c>
      <c r="E309" s="14">
        <f t="shared" si="17"/>
        <v>0</v>
      </c>
      <c r="F309" s="10">
        <f t="shared" si="17"/>
        <v>0</v>
      </c>
      <c r="G309" s="14">
        <f t="shared" si="17"/>
        <v>0</v>
      </c>
      <c r="H309" s="42">
        <f t="shared" si="17"/>
        <v>0</v>
      </c>
      <c r="I309" s="10">
        <f t="shared" si="17"/>
        <v>0</v>
      </c>
      <c r="J309" s="10">
        <f t="shared" si="18"/>
        <v>0</v>
      </c>
      <c r="K309" s="119">
        <f t="shared" si="19"/>
        <v>56311.87122736418</v>
      </c>
    </row>
    <row r="310" spans="1:11" x14ac:dyDescent="0.25">
      <c r="A310" s="50">
        <f>'A) Base RI'!A309</f>
        <v>5932</v>
      </c>
      <c r="B310" s="33" t="str">
        <f>'A) Base RI'!B309</f>
        <v>Ursins</v>
      </c>
      <c r="C310" s="14">
        <f>'A) Base RI'!V309</f>
        <v>218</v>
      </c>
      <c r="D310" s="10">
        <f t="shared" si="20"/>
        <v>218</v>
      </c>
      <c r="E310" s="14">
        <f t="shared" si="17"/>
        <v>0</v>
      </c>
      <c r="F310" s="10">
        <f t="shared" si="17"/>
        <v>0</v>
      </c>
      <c r="G310" s="14">
        <f t="shared" ref="E310:I316" si="21">IF($C310&gt;G$4,IF($C310&lt;G$5,$C310-G$4,G$5-G$4),0)</f>
        <v>0</v>
      </c>
      <c r="H310" s="42">
        <f t="shared" si="21"/>
        <v>0</v>
      </c>
      <c r="I310" s="10">
        <f t="shared" si="21"/>
        <v>0</v>
      </c>
      <c r="J310" s="10">
        <f t="shared" si="18"/>
        <v>0</v>
      </c>
      <c r="K310" s="119">
        <f t="shared" si="19"/>
        <v>26921.026156941647</v>
      </c>
    </row>
    <row r="311" spans="1:11" x14ac:dyDescent="0.25">
      <c r="A311" s="50">
        <f>'A) Base RI'!A310</f>
        <v>5933</v>
      </c>
      <c r="B311" s="33" t="str">
        <f>'A) Base RI'!B310</f>
        <v>Valeyres-sous-Montagny</v>
      </c>
      <c r="C311" s="14">
        <f>'A) Base RI'!V310</f>
        <v>705</v>
      </c>
      <c r="D311" s="10">
        <f t="shared" si="20"/>
        <v>705</v>
      </c>
      <c r="E311" s="14">
        <f t="shared" si="21"/>
        <v>0</v>
      </c>
      <c r="F311" s="10">
        <f t="shared" si="21"/>
        <v>0</v>
      </c>
      <c r="G311" s="14">
        <f t="shared" si="21"/>
        <v>0</v>
      </c>
      <c r="H311" s="42">
        <f t="shared" si="21"/>
        <v>0</v>
      </c>
      <c r="I311" s="10">
        <f t="shared" si="21"/>
        <v>0</v>
      </c>
      <c r="J311" s="10">
        <f t="shared" si="18"/>
        <v>0</v>
      </c>
      <c r="K311" s="119">
        <f t="shared" si="19"/>
        <v>87061.116700201193</v>
      </c>
    </row>
    <row r="312" spans="1:11" x14ac:dyDescent="0.25">
      <c r="A312" s="50">
        <f>'A) Base RI'!A311</f>
        <v>5934</v>
      </c>
      <c r="B312" s="33" t="str">
        <f>'A) Base RI'!B311</f>
        <v>Valeyres-sous-Ursins</v>
      </c>
      <c r="C312" s="14">
        <f>'A) Base RI'!V311</f>
        <v>238</v>
      </c>
      <c r="D312" s="10">
        <f t="shared" si="20"/>
        <v>238</v>
      </c>
      <c r="E312" s="14">
        <f t="shared" si="21"/>
        <v>0</v>
      </c>
      <c r="F312" s="10">
        <f t="shared" si="21"/>
        <v>0</v>
      </c>
      <c r="G312" s="14">
        <f t="shared" si="21"/>
        <v>0</v>
      </c>
      <c r="H312" s="42">
        <f t="shared" si="21"/>
        <v>0</v>
      </c>
      <c r="I312" s="10">
        <f t="shared" si="21"/>
        <v>0</v>
      </c>
      <c r="J312" s="10">
        <f t="shared" si="18"/>
        <v>0</v>
      </c>
      <c r="K312" s="119">
        <f t="shared" si="19"/>
        <v>29390.845070422532</v>
      </c>
    </row>
    <row r="313" spans="1:11" x14ac:dyDescent="0.25">
      <c r="A313" s="50">
        <f>'A) Base RI'!A312</f>
        <v>5935</v>
      </c>
      <c r="B313" s="33" t="str">
        <f>'A) Base RI'!B312</f>
        <v>Villars-Epeney</v>
      </c>
      <c r="C313" s="14">
        <f>'A) Base RI'!V312</f>
        <v>106</v>
      </c>
      <c r="D313" s="10">
        <f t="shared" si="20"/>
        <v>106</v>
      </c>
      <c r="E313" s="14">
        <f t="shared" si="21"/>
        <v>0</v>
      </c>
      <c r="F313" s="10">
        <f t="shared" si="21"/>
        <v>0</v>
      </c>
      <c r="G313" s="14">
        <f t="shared" si="21"/>
        <v>0</v>
      </c>
      <c r="H313" s="42">
        <f t="shared" si="21"/>
        <v>0</v>
      </c>
      <c r="I313" s="10">
        <f t="shared" si="21"/>
        <v>0</v>
      </c>
      <c r="J313" s="10">
        <f t="shared" si="18"/>
        <v>0</v>
      </c>
      <c r="K313" s="119">
        <f t="shared" si="19"/>
        <v>13090.040241448691</v>
      </c>
    </row>
    <row r="314" spans="1:11" x14ac:dyDescent="0.25">
      <c r="A314" s="50">
        <f>'A) Base RI'!A313</f>
        <v>5937</v>
      </c>
      <c r="B314" s="33" t="str">
        <f>'A) Base RI'!B313</f>
        <v>Vugelles-La Mothe</v>
      </c>
      <c r="C314" s="14">
        <f>'A) Base RI'!V313</f>
        <v>122</v>
      </c>
      <c r="D314" s="10">
        <f t="shared" si="20"/>
        <v>122</v>
      </c>
      <c r="E314" s="14">
        <f t="shared" si="21"/>
        <v>0</v>
      </c>
      <c r="F314" s="10">
        <f t="shared" si="21"/>
        <v>0</v>
      </c>
      <c r="G314" s="14">
        <f t="shared" si="21"/>
        <v>0</v>
      </c>
      <c r="H314" s="42">
        <f t="shared" si="21"/>
        <v>0</v>
      </c>
      <c r="I314" s="10">
        <f t="shared" si="21"/>
        <v>0</v>
      </c>
      <c r="J314" s="10">
        <f t="shared" si="18"/>
        <v>0</v>
      </c>
      <c r="K314" s="119">
        <f t="shared" si="19"/>
        <v>15065.895372233399</v>
      </c>
    </row>
    <row r="315" spans="1:11" x14ac:dyDescent="0.25">
      <c r="A315" s="50">
        <f>'A) Base RI'!A314</f>
        <v>5938</v>
      </c>
      <c r="B315" s="33" t="str">
        <f>'A) Base RI'!B314</f>
        <v>Yverdon-les-Bains</v>
      </c>
      <c r="C315" s="14">
        <f>'A) Base RI'!V314</f>
        <v>30208</v>
      </c>
      <c r="D315" s="10">
        <f t="shared" si="20"/>
        <v>1000</v>
      </c>
      <c r="E315" s="14">
        <f t="shared" si="21"/>
        <v>2000</v>
      </c>
      <c r="F315" s="10">
        <f t="shared" si="21"/>
        <v>2000</v>
      </c>
      <c r="G315" s="14">
        <f t="shared" si="21"/>
        <v>4000</v>
      </c>
      <c r="H315" s="42">
        <f t="shared" si="21"/>
        <v>3000</v>
      </c>
      <c r="I315" s="10">
        <f t="shared" si="21"/>
        <v>3000</v>
      </c>
      <c r="J315" s="10">
        <f t="shared" si="18"/>
        <v>15208</v>
      </c>
      <c r="K315" s="119">
        <f t="shared" si="19"/>
        <v>25432614.486921526</v>
      </c>
    </row>
    <row r="316" spans="1:11" x14ac:dyDescent="0.25">
      <c r="A316" s="51">
        <f>'A) Base RI'!A315</f>
        <v>5939</v>
      </c>
      <c r="B316" s="318" t="str">
        <f>'A) Base RI'!B315</f>
        <v>Yvonand</v>
      </c>
      <c r="C316" s="14">
        <f>'A) Base RI'!V315</f>
        <v>3351</v>
      </c>
      <c r="D316" s="10">
        <f t="shared" si="20"/>
        <v>1000</v>
      </c>
      <c r="E316" s="14">
        <f t="shared" si="21"/>
        <v>2000</v>
      </c>
      <c r="F316" s="10">
        <f t="shared" si="21"/>
        <v>351</v>
      </c>
      <c r="G316" s="14">
        <f t="shared" si="21"/>
        <v>0</v>
      </c>
      <c r="H316" s="42">
        <f t="shared" si="21"/>
        <v>0</v>
      </c>
      <c r="I316" s="10">
        <f t="shared" si="21"/>
        <v>0</v>
      </c>
      <c r="J316" s="10">
        <f t="shared" si="18"/>
        <v>0</v>
      </c>
      <c r="K316" s="119">
        <f t="shared" si="19"/>
        <v>988421.52917505021</v>
      </c>
    </row>
    <row r="317" spans="1:11" x14ac:dyDescent="0.25">
      <c r="B317" s="59">
        <f>COUNTA(B8:B316)</f>
        <v>309</v>
      </c>
      <c r="C317" s="11">
        <f>SUM(C8:C316)</f>
        <v>794384</v>
      </c>
      <c r="D317" s="11">
        <f t="shared" ref="D317:J317" si="22">SUM(D8:D316)</f>
        <v>216178</v>
      </c>
      <c r="E317" s="11">
        <f t="shared" si="22"/>
        <v>166145</v>
      </c>
      <c r="F317" s="11">
        <f t="shared" si="22"/>
        <v>84793</v>
      </c>
      <c r="G317" s="11">
        <f t="shared" si="22"/>
        <v>90526</v>
      </c>
      <c r="H317" s="11">
        <f t="shared" si="22"/>
        <v>38984</v>
      </c>
      <c r="I317" s="11">
        <f t="shared" si="22"/>
        <v>25746</v>
      </c>
      <c r="J317" s="11">
        <f t="shared" si="22"/>
        <v>172012</v>
      </c>
      <c r="K317" s="38">
        <f>SUM(K8:K316)</f>
        <v>416293016.29778695</v>
      </c>
    </row>
    <row r="318" spans="1:11" x14ac:dyDescent="0.25">
      <c r="C318" s="75"/>
    </row>
    <row r="328" spans="3:3" x14ac:dyDescent="0.25">
      <c r="C328" s="62"/>
    </row>
  </sheetData>
  <mergeCells count="6">
    <mergeCell ref="K6:K7"/>
    <mergeCell ref="C3:J3"/>
    <mergeCell ref="A6:A7"/>
    <mergeCell ref="B6:B7"/>
    <mergeCell ref="C6:C7"/>
    <mergeCell ref="D6:J6"/>
  </mergeCells>
  <phoneticPr fontId="9"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00B050"/>
  </sheetPr>
  <dimension ref="A1:M314"/>
  <sheetViews>
    <sheetView workbookViewId="0"/>
  </sheetViews>
  <sheetFormatPr baseColWidth="10" defaultColWidth="11" defaultRowHeight="15" x14ac:dyDescent="0.25"/>
  <cols>
    <col min="1" max="1" width="7.25" style="13" customWidth="1"/>
    <col min="2" max="2" width="25.375" style="13" customWidth="1"/>
    <col min="3" max="3" width="9.25" style="13" customWidth="1"/>
    <col min="4" max="4" width="13.625" style="13" customWidth="1"/>
    <col min="5" max="5" width="10.375" style="13" customWidth="1"/>
    <col min="6" max="6" width="13.25" style="14" customWidth="1"/>
    <col min="7" max="7" width="11" style="15"/>
    <col min="8" max="8" width="11" style="13"/>
    <col min="9" max="9" width="13.375" style="6" customWidth="1"/>
    <col min="10" max="12" width="11" style="13"/>
    <col min="13" max="13" width="11.625" style="15" bestFit="1" customWidth="1"/>
    <col min="14" max="16384" width="11" style="13"/>
  </cols>
  <sheetData>
    <row r="1" spans="1:12" ht="21" x14ac:dyDescent="0.25">
      <c r="A1" s="52" t="s">
        <v>454</v>
      </c>
      <c r="B1" s="43"/>
      <c r="C1" s="97"/>
      <c r="D1" s="97"/>
    </row>
    <row r="3" spans="1:12" ht="30" x14ac:dyDescent="0.25">
      <c r="A3" s="485" t="s">
        <v>46</v>
      </c>
      <c r="B3" s="485" t="s">
        <v>96</v>
      </c>
      <c r="C3" s="485" t="s">
        <v>304</v>
      </c>
      <c r="D3" s="485" t="s">
        <v>558</v>
      </c>
      <c r="E3" s="117" t="s">
        <v>354</v>
      </c>
      <c r="F3" s="482" t="s">
        <v>311</v>
      </c>
      <c r="G3" s="506" t="s">
        <v>78</v>
      </c>
      <c r="H3" s="485" t="s">
        <v>352</v>
      </c>
      <c r="I3" s="482" t="s">
        <v>353</v>
      </c>
    </row>
    <row r="4" spans="1:12" x14ac:dyDescent="0.25">
      <c r="A4" s="486"/>
      <c r="B4" s="486"/>
      <c r="C4" s="486"/>
      <c r="D4" s="486"/>
      <c r="E4" s="118">
        <f>+Paramètres!B32</f>
        <v>0.27</v>
      </c>
      <c r="F4" s="483"/>
      <c r="G4" s="507"/>
      <c r="H4" s="486"/>
      <c r="I4" s="483"/>
    </row>
    <row r="5" spans="1:12" x14ac:dyDescent="0.25">
      <c r="A5" s="47">
        <f>'A) Base RI'!A7</f>
        <v>5401</v>
      </c>
      <c r="B5" s="314" t="str">
        <f>'A) Base RI'!B7</f>
        <v>Aigle</v>
      </c>
      <c r="C5" s="98">
        <f>'A) Base RI'!V7</f>
        <v>10153</v>
      </c>
      <c r="D5" s="115">
        <f>'D) Ecrêtage'!E5</f>
        <v>25.988641848848424</v>
      </c>
      <c r="E5" s="35">
        <f t="shared" ref="E5" si="0">IF($D$314-D5&lt;0,0,$D$314-D5)</f>
        <v>19.23224272927353</v>
      </c>
      <c r="F5" s="291">
        <f t="shared" ref="F5" si="1">(C5*E5*G5)*$E$4</f>
        <v>3558703.9038424757</v>
      </c>
      <c r="G5" s="34">
        <f>+'A) Base RI'!U7</f>
        <v>67.5</v>
      </c>
      <c r="H5" s="292">
        <f t="shared" ref="H5" si="2">G5/$G$314</f>
        <v>0.99510216798759565</v>
      </c>
      <c r="I5" s="58">
        <f>F5*H5</f>
        <v>3541273.9699395676</v>
      </c>
      <c r="J5" s="49"/>
      <c r="K5" s="112"/>
      <c r="L5" s="15"/>
    </row>
    <row r="6" spans="1:12" x14ac:dyDescent="0.25">
      <c r="A6" s="50">
        <f>'A) Base RI'!A8</f>
        <v>5402</v>
      </c>
      <c r="B6" s="33" t="str">
        <f>'A) Base RI'!B8</f>
        <v>Bex</v>
      </c>
      <c r="C6" s="99">
        <f>'A) Base RI'!V8</f>
        <v>7719</v>
      </c>
      <c r="D6" s="115">
        <f>'D) Ecrêtage'!E6</f>
        <v>22.493957164414134</v>
      </c>
      <c r="E6" s="35">
        <f t="shared" ref="E6:E69" si="3">IF($D$314-D6&lt;0,0,$D$314-D6)</f>
        <v>22.72692741370782</v>
      </c>
      <c r="F6" s="291">
        <f t="shared" ref="F6:F69" si="4">(C6*E6*G6)*$E$4</f>
        <v>3362976.8573818924</v>
      </c>
      <c r="G6" s="34">
        <f>+'A) Base RI'!U8</f>
        <v>71</v>
      </c>
      <c r="H6" s="292">
        <f t="shared" ref="H6:H69" si="5">G6/$G$314</f>
        <v>1.0467000581795451</v>
      </c>
      <c r="I6" s="58">
        <f t="shared" ref="I6:I69" si="6">F6*H6</f>
        <v>3520028.0722780908</v>
      </c>
      <c r="J6" s="49"/>
      <c r="L6" s="113"/>
    </row>
    <row r="7" spans="1:12" x14ac:dyDescent="0.25">
      <c r="A7" s="50">
        <f>'A) Base RI'!A9</f>
        <v>5403</v>
      </c>
      <c r="B7" s="33" t="str">
        <f>'A) Base RI'!B9</f>
        <v>Chessel</v>
      </c>
      <c r="C7" s="99">
        <f>'A) Base RI'!V9</f>
        <v>403</v>
      </c>
      <c r="D7" s="115">
        <f>'D) Ecrêtage'!E7</f>
        <v>24.154220374220376</v>
      </c>
      <c r="E7" s="35">
        <f t="shared" si="3"/>
        <v>21.066664203901578</v>
      </c>
      <c r="F7" s="291">
        <f t="shared" si="4"/>
        <v>169627.51616996326</v>
      </c>
      <c r="G7" s="34">
        <f>+'A) Base RI'!U9</f>
        <v>74</v>
      </c>
      <c r="H7" s="292">
        <f t="shared" si="5"/>
        <v>1.090926821201216</v>
      </c>
      <c r="I7" s="58">
        <f t="shared" si="6"/>
        <v>185051.20700355587</v>
      </c>
      <c r="J7" s="49"/>
      <c r="L7" s="113"/>
    </row>
    <row r="8" spans="1:12" x14ac:dyDescent="0.25">
      <c r="A8" s="50">
        <f>'A) Base RI'!A10</f>
        <v>5404</v>
      </c>
      <c r="B8" s="33" t="str">
        <f>'A) Base RI'!B10</f>
        <v>Corbeyrier</v>
      </c>
      <c r="C8" s="99">
        <f>'A) Base RI'!V10</f>
        <v>437</v>
      </c>
      <c r="D8" s="115">
        <f>'D) Ecrêtage'!E8</f>
        <v>24.861931568050561</v>
      </c>
      <c r="E8" s="35">
        <f t="shared" si="3"/>
        <v>20.358953010071392</v>
      </c>
      <c r="F8" s="291">
        <f t="shared" si="4"/>
        <v>168150.70059608266</v>
      </c>
      <c r="G8" s="34">
        <f>+'A) Base RI'!U10</f>
        <v>70</v>
      </c>
      <c r="H8" s="292">
        <f t="shared" si="5"/>
        <v>1.0319578038389881</v>
      </c>
      <c r="I8" s="58">
        <f t="shared" si="6"/>
        <v>173524.42770112067</v>
      </c>
    </row>
    <row r="9" spans="1:12" x14ac:dyDescent="0.25">
      <c r="A9" s="50">
        <f>'A) Base RI'!A11</f>
        <v>5405</v>
      </c>
      <c r="B9" s="33" t="str">
        <f>'A) Base RI'!B11</f>
        <v>Gryon</v>
      </c>
      <c r="C9" s="99">
        <f>'A) Base RI'!V11</f>
        <v>1364</v>
      </c>
      <c r="D9" s="115">
        <f>'D) Ecrêtage'!E9</f>
        <v>51.189486542847824</v>
      </c>
      <c r="E9" s="35">
        <f t="shared" si="3"/>
        <v>0</v>
      </c>
      <c r="F9" s="291">
        <f t="shared" si="4"/>
        <v>0</v>
      </c>
      <c r="G9" s="34">
        <f>+'A) Base RI'!U11</f>
        <v>75</v>
      </c>
      <c r="H9" s="292">
        <f t="shared" si="5"/>
        <v>1.1056690755417729</v>
      </c>
      <c r="I9" s="58">
        <f t="shared" si="6"/>
        <v>0</v>
      </c>
    </row>
    <row r="10" spans="1:12" x14ac:dyDescent="0.25">
      <c r="A10" s="50">
        <f>'A) Base RI'!A12</f>
        <v>5406</v>
      </c>
      <c r="B10" s="33" t="str">
        <f>'A) Base RI'!B12</f>
        <v>Lavey-Morcles</v>
      </c>
      <c r="C10" s="99">
        <f>'A) Base RI'!V12</f>
        <v>926</v>
      </c>
      <c r="D10" s="115">
        <f>'D) Ecrêtage'!E10</f>
        <v>23.249379769228433</v>
      </c>
      <c r="E10" s="35">
        <f t="shared" si="3"/>
        <v>21.971504808893521</v>
      </c>
      <c r="F10" s="291">
        <f t="shared" si="4"/>
        <v>390025.40989468864</v>
      </c>
      <c r="G10" s="34">
        <f>+'A) Base RI'!U12</f>
        <v>71</v>
      </c>
      <c r="H10" s="292">
        <f t="shared" si="5"/>
        <v>1.0467000581795451</v>
      </c>
      <c r="I10" s="58">
        <f t="shared" si="6"/>
        <v>408239.61922827153</v>
      </c>
    </row>
    <row r="11" spans="1:12" x14ac:dyDescent="0.25">
      <c r="A11" s="50">
        <f>'A) Base RI'!A13</f>
        <v>5407</v>
      </c>
      <c r="B11" s="33" t="str">
        <f>'A) Base RI'!B13</f>
        <v>Leysin</v>
      </c>
      <c r="C11" s="99">
        <f>'A) Base RI'!V13</f>
        <v>4023</v>
      </c>
      <c r="D11" s="115">
        <f>'D) Ecrêtage'!E11</f>
        <v>22.504116968457016</v>
      </c>
      <c r="E11" s="35">
        <f t="shared" si="3"/>
        <v>22.716767609664938</v>
      </c>
      <c r="F11" s="291">
        <f t="shared" si="4"/>
        <v>1924664.0513329441</v>
      </c>
      <c r="G11" s="34">
        <f>+'A) Base RI'!U13</f>
        <v>78</v>
      </c>
      <c r="H11" s="292">
        <f t="shared" si="5"/>
        <v>1.1498958385634439</v>
      </c>
      <c r="I11" s="58">
        <f t="shared" si="6"/>
        <v>2213163.183260411</v>
      </c>
    </row>
    <row r="12" spans="1:12" x14ac:dyDescent="0.25">
      <c r="A12" s="50">
        <f>'A) Base RI'!A14</f>
        <v>5408</v>
      </c>
      <c r="B12" s="33" t="str">
        <f>'A) Base RI'!B14</f>
        <v>Noville</v>
      </c>
      <c r="C12" s="99">
        <f>'A) Base RI'!V14</f>
        <v>1055</v>
      </c>
      <c r="D12" s="115">
        <f>'D) Ecrêtage'!E12</f>
        <v>30.081260562884257</v>
      </c>
      <c r="E12" s="35">
        <f t="shared" si="3"/>
        <v>15.139624015237697</v>
      </c>
      <c r="F12" s="291">
        <f t="shared" si="4"/>
        <v>338532.96920812601</v>
      </c>
      <c r="G12" s="34">
        <f>+'A) Base RI'!U14</f>
        <v>78.5</v>
      </c>
      <c r="H12" s="292">
        <f t="shared" si="5"/>
        <v>1.1572669657337225</v>
      </c>
      <c r="I12" s="58">
        <f t="shared" si="6"/>
        <v>391773.02207631571</v>
      </c>
    </row>
    <row r="13" spans="1:12" x14ac:dyDescent="0.25">
      <c r="A13" s="50">
        <f>'A) Base RI'!A15</f>
        <v>5409</v>
      </c>
      <c r="B13" s="33" t="str">
        <f>'A) Base RI'!B15</f>
        <v>Ollon</v>
      </c>
      <c r="C13" s="99">
        <f>'A) Base RI'!V15</f>
        <v>7494</v>
      </c>
      <c r="D13" s="115">
        <f>'D) Ecrêtage'!E13</f>
        <v>49.021339613168664</v>
      </c>
      <c r="E13" s="35">
        <f t="shared" si="3"/>
        <v>0</v>
      </c>
      <c r="F13" s="291">
        <f t="shared" si="4"/>
        <v>0</v>
      </c>
      <c r="G13" s="34">
        <f>+'A) Base RI'!U15</f>
        <v>68</v>
      </c>
      <c r="H13" s="292">
        <f t="shared" si="5"/>
        <v>1.0024732951578741</v>
      </c>
      <c r="I13" s="58">
        <f t="shared" si="6"/>
        <v>0</v>
      </c>
    </row>
    <row r="14" spans="1:12" x14ac:dyDescent="0.25">
      <c r="A14" s="50">
        <f>'A) Base RI'!A16</f>
        <v>5410</v>
      </c>
      <c r="B14" s="33" t="str">
        <f>'A) Base RI'!B16</f>
        <v>Ormont-Dessous</v>
      </c>
      <c r="C14" s="99">
        <f>'A) Base RI'!V16</f>
        <v>1117</v>
      </c>
      <c r="D14" s="115">
        <f>'D) Ecrêtage'!E14</f>
        <v>33.648926359086651</v>
      </c>
      <c r="E14" s="35">
        <f t="shared" si="3"/>
        <v>11.571958219035302</v>
      </c>
      <c r="F14" s="291">
        <f t="shared" si="4"/>
        <v>273963.97002339031</v>
      </c>
      <c r="G14" s="34">
        <f>+'A) Base RI'!U16</f>
        <v>78.5</v>
      </c>
      <c r="H14" s="292">
        <f t="shared" si="5"/>
        <v>1.1572669657337225</v>
      </c>
      <c r="I14" s="58">
        <f t="shared" si="6"/>
        <v>317049.45230933343</v>
      </c>
    </row>
    <row r="15" spans="1:12" x14ac:dyDescent="0.25">
      <c r="A15" s="50">
        <f>'A) Base RI'!A17</f>
        <v>5411</v>
      </c>
      <c r="B15" s="33" t="str">
        <f>'A) Base RI'!B17</f>
        <v>Ormont-Dessus</v>
      </c>
      <c r="C15" s="99">
        <f>'A) Base RI'!V17</f>
        <v>1467</v>
      </c>
      <c r="D15" s="115">
        <f>'D) Ecrêtage'!E15</f>
        <v>53.533446136643583</v>
      </c>
      <c r="E15" s="35">
        <f t="shared" si="3"/>
        <v>0</v>
      </c>
      <c r="F15" s="291">
        <f t="shared" si="4"/>
        <v>0</v>
      </c>
      <c r="G15" s="34">
        <f>+'A) Base RI'!U17</f>
        <v>76</v>
      </c>
      <c r="H15" s="292">
        <f t="shared" si="5"/>
        <v>1.1204113298823299</v>
      </c>
      <c r="I15" s="58">
        <f t="shared" si="6"/>
        <v>0</v>
      </c>
    </row>
    <row r="16" spans="1:12" x14ac:dyDescent="0.25">
      <c r="A16" s="50">
        <f>'A) Base RI'!A18</f>
        <v>5412</v>
      </c>
      <c r="B16" s="33" t="str">
        <f>'A) Base RI'!B18</f>
        <v>Rennaz</v>
      </c>
      <c r="C16" s="99">
        <f>'A) Base RI'!V18</f>
        <v>839</v>
      </c>
      <c r="D16" s="115">
        <f>'D) Ecrêtage'!E16</f>
        <v>36.571441486778788</v>
      </c>
      <c r="E16" s="35">
        <f t="shared" si="3"/>
        <v>8.6494430913431657</v>
      </c>
      <c r="F16" s="291">
        <f t="shared" si="4"/>
        <v>132256.68818503281</v>
      </c>
      <c r="G16" s="34">
        <f>+'A) Base RI'!U18</f>
        <v>67.5</v>
      </c>
      <c r="H16" s="292">
        <f t="shared" si="5"/>
        <v>0.99510216798759565</v>
      </c>
      <c r="I16" s="58">
        <f t="shared" si="6"/>
        <v>131608.91714378557</v>
      </c>
    </row>
    <row r="17" spans="1:9" x14ac:dyDescent="0.25">
      <c r="A17" s="50">
        <f>'A) Base RI'!A19</f>
        <v>5413</v>
      </c>
      <c r="B17" s="33" t="str">
        <f>'A) Base RI'!B19</f>
        <v>Roche</v>
      </c>
      <c r="C17" s="99">
        <f>'A) Base RI'!V19</f>
        <v>1650</v>
      </c>
      <c r="D17" s="115">
        <f>'D) Ecrêtage'!E17</f>
        <v>22.275168538324422</v>
      </c>
      <c r="E17" s="35">
        <f t="shared" si="3"/>
        <v>22.945716039797531</v>
      </c>
      <c r="F17" s="291">
        <f t="shared" si="4"/>
        <v>695117.52170962642</v>
      </c>
      <c r="G17" s="34">
        <f>+'A) Base RI'!U19</f>
        <v>68</v>
      </c>
      <c r="H17" s="292">
        <f t="shared" si="5"/>
        <v>1.0024732951578741</v>
      </c>
      <c r="I17" s="58">
        <f t="shared" si="6"/>
        <v>696836.75251022424</v>
      </c>
    </row>
    <row r="18" spans="1:9" x14ac:dyDescent="0.25">
      <c r="A18" s="50">
        <f>'A) Base RI'!A20</f>
        <v>5414</v>
      </c>
      <c r="B18" s="33" t="str">
        <f>'A) Base RI'!B20</f>
        <v>Villeneuve</v>
      </c>
      <c r="C18" s="99">
        <f>'A) Base RI'!V20</f>
        <v>5672</v>
      </c>
      <c r="D18" s="115">
        <f>'D) Ecrêtage'!E18</f>
        <v>28.451002406941804</v>
      </c>
      <c r="E18" s="35">
        <f t="shared" si="3"/>
        <v>16.76988217118015</v>
      </c>
      <c r="F18" s="291">
        <f t="shared" si="4"/>
        <v>1772062.7163040172</v>
      </c>
      <c r="G18" s="34">
        <f>+'A) Base RI'!U20</f>
        <v>69</v>
      </c>
      <c r="H18" s="292">
        <f t="shared" si="5"/>
        <v>1.0172155494984312</v>
      </c>
      <c r="I18" s="58">
        <f t="shared" si="6"/>
        <v>1802569.7497108735</v>
      </c>
    </row>
    <row r="19" spans="1:9" x14ac:dyDescent="0.25">
      <c r="A19" s="50">
        <f>'A) Base RI'!A21</f>
        <v>5415</v>
      </c>
      <c r="B19" s="33" t="str">
        <f>'A) Base RI'!B21</f>
        <v>Yvorne</v>
      </c>
      <c r="C19" s="99">
        <f>'A) Base RI'!V21</f>
        <v>1057</v>
      </c>
      <c r="D19" s="115">
        <f>'D) Ecrêtage'!E19</f>
        <v>32.560941089815266</v>
      </c>
      <c r="E19" s="35">
        <f t="shared" si="3"/>
        <v>12.659943488306688</v>
      </c>
      <c r="F19" s="291">
        <f t="shared" si="4"/>
        <v>258331.02095714098</v>
      </c>
      <c r="G19" s="34">
        <f>+'A) Base RI'!U21</f>
        <v>71.5</v>
      </c>
      <c r="H19" s="292">
        <f t="shared" si="5"/>
        <v>1.0540711853498235</v>
      </c>
      <c r="I19" s="58">
        <f t="shared" si="6"/>
        <v>272299.28547292366</v>
      </c>
    </row>
    <row r="20" spans="1:9" x14ac:dyDescent="0.25">
      <c r="A20" s="50">
        <f>'A) Base RI'!A22</f>
        <v>5421</v>
      </c>
      <c r="B20" s="33" t="str">
        <f>'A) Base RI'!B22</f>
        <v>Apples</v>
      </c>
      <c r="C20" s="99">
        <f>'A) Base RI'!V22</f>
        <v>1437</v>
      </c>
      <c r="D20" s="115">
        <f>'D) Ecrêtage'!E20</f>
        <v>40.795520821887706</v>
      </c>
      <c r="E20" s="35">
        <f t="shared" si="3"/>
        <v>4.4253637562342476</v>
      </c>
      <c r="F20" s="291">
        <f t="shared" si="4"/>
        <v>130491.76316738078</v>
      </c>
      <c r="G20" s="34">
        <f>+'A) Base RI'!U22</f>
        <v>76</v>
      </c>
      <c r="H20" s="292">
        <f t="shared" si="5"/>
        <v>1.1204113298823299</v>
      </c>
      <c r="I20" s="58">
        <f t="shared" si="6"/>
        <v>146204.44990905514</v>
      </c>
    </row>
    <row r="21" spans="1:9" x14ac:dyDescent="0.25">
      <c r="A21" s="50">
        <f>'A) Base RI'!A23</f>
        <v>5422</v>
      </c>
      <c r="B21" s="33" t="str">
        <f>'A) Base RI'!B23</f>
        <v>Aubonne</v>
      </c>
      <c r="C21" s="99">
        <f>'A) Base RI'!V23</f>
        <v>3269</v>
      </c>
      <c r="D21" s="115">
        <f>'D) Ecrêtage'!E21</f>
        <v>74.734837016176925</v>
      </c>
      <c r="E21" s="35">
        <f t="shared" si="3"/>
        <v>0</v>
      </c>
      <c r="F21" s="291">
        <f t="shared" si="4"/>
        <v>0</v>
      </c>
      <c r="G21" s="34">
        <f>+'A) Base RI'!U23</f>
        <v>68</v>
      </c>
      <c r="H21" s="292">
        <f t="shared" si="5"/>
        <v>1.0024732951578741</v>
      </c>
      <c r="I21" s="58">
        <f t="shared" si="6"/>
        <v>0</v>
      </c>
    </row>
    <row r="22" spans="1:9" x14ac:dyDescent="0.25">
      <c r="A22" s="50">
        <f>'A) Base RI'!A24</f>
        <v>5423</v>
      </c>
      <c r="B22" s="33" t="str">
        <f>'A) Base RI'!B24</f>
        <v>Ballens</v>
      </c>
      <c r="C22" s="99">
        <f>'A) Base RI'!V24</f>
        <v>527</v>
      </c>
      <c r="D22" s="115">
        <f>'D) Ecrêtage'!E22</f>
        <v>31.932158787778786</v>
      </c>
      <c r="E22" s="35">
        <f t="shared" si="3"/>
        <v>13.288725790343168</v>
      </c>
      <c r="F22" s="291">
        <f t="shared" si="4"/>
        <v>130468.84269684715</v>
      </c>
      <c r="G22" s="34">
        <f>+'A) Base RI'!U24</f>
        <v>69</v>
      </c>
      <c r="H22" s="292">
        <f t="shared" si="5"/>
        <v>1.0172155494984312</v>
      </c>
      <c r="I22" s="58">
        <f t="shared" si="6"/>
        <v>132714.93551629776</v>
      </c>
    </row>
    <row r="23" spans="1:9" x14ac:dyDescent="0.25">
      <c r="A23" s="50">
        <f>'A) Base RI'!A25</f>
        <v>5424</v>
      </c>
      <c r="B23" s="33" t="str">
        <f>'A) Base RI'!B25</f>
        <v>Berolle</v>
      </c>
      <c r="C23" s="99">
        <f>'A) Base RI'!V25</f>
        <v>301</v>
      </c>
      <c r="D23" s="115">
        <f>'D) Ecrêtage'!E23</f>
        <v>37.65481252966304</v>
      </c>
      <c r="E23" s="35">
        <f t="shared" si="3"/>
        <v>7.5660720484589135</v>
      </c>
      <c r="F23" s="291">
        <f t="shared" si="4"/>
        <v>47346.890004125707</v>
      </c>
      <c r="G23" s="34">
        <f>+'A) Base RI'!U25</f>
        <v>77</v>
      </c>
      <c r="H23" s="292">
        <f t="shared" si="5"/>
        <v>1.1351535842228868</v>
      </c>
      <c r="I23" s="58">
        <f t="shared" si="6"/>
        <v>53745.991889990066</v>
      </c>
    </row>
    <row r="24" spans="1:9" x14ac:dyDescent="0.25">
      <c r="A24" s="50">
        <f>'A) Base RI'!A26</f>
        <v>5425</v>
      </c>
      <c r="B24" s="33" t="str">
        <f>'A) Base RI'!B26</f>
        <v>Bière</v>
      </c>
      <c r="C24" s="99">
        <f>'A) Base RI'!V26</f>
        <v>1577</v>
      </c>
      <c r="D24" s="115">
        <f>'D) Ecrêtage'!E24</f>
        <v>25.732078535129091</v>
      </c>
      <c r="E24" s="35">
        <f t="shared" si="3"/>
        <v>19.488806042992863</v>
      </c>
      <c r="F24" s="291">
        <f t="shared" si="4"/>
        <v>564273.43330312346</v>
      </c>
      <c r="G24" s="34">
        <f>+'A) Base RI'!U26</f>
        <v>68</v>
      </c>
      <c r="H24" s="292">
        <f t="shared" si="5"/>
        <v>1.0024732951578741</v>
      </c>
      <c r="I24" s="58">
        <f t="shared" si="6"/>
        <v>565669.04805342911</v>
      </c>
    </row>
    <row r="25" spans="1:9" x14ac:dyDescent="0.25">
      <c r="A25" s="50">
        <f>'A) Base RI'!A27</f>
        <v>5426</v>
      </c>
      <c r="B25" s="33" t="str">
        <f>'A) Base RI'!B27</f>
        <v>Bougy-Villars</v>
      </c>
      <c r="C25" s="99">
        <f>'A) Base RI'!V27</f>
        <v>483</v>
      </c>
      <c r="D25" s="115">
        <f>'D) Ecrêtage'!E25</f>
        <v>99.033437375828683</v>
      </c>
      <c r="E25" s="35">
        <f t="shared" si="3"/>
        <v>0</v>
      </c>
      <c r="F25" s="291">
        <f t="shared" si="4"/>
        <v>0</v>
      </c>
      <c r="G25" s="34">
        <f>+'A) Base RI'!U27</f>
        <v>66</v>
      </c>
      <c r="H25" s="292">
        <f t="shared" si="5"/>
        <v>0.97298878647676024</v>
      </c>
      <c r="I25" s="58">
        <f t="shared" si="6"/>
        <v>0</v>
      </c>
    </row>
    <row r="26" spans="1:9" x14ac:dyDescent="0.25">
      <c r="A26" s="50">
        <f>'A) Base RI'!A28</f>
        <v>5427</v>
      </c>
      <c r="B26" s="33" t="str">
        <f>'A) Base RI'!B28</f>
        <v>Féchy</v>
      </c>
      <c r="C26" s="99">
        <f>'A) Base RI'!V28</f>
        <v>895</v>
      </c>
      <c r="D26" s="115">
        <f>'D) Ecrêtage'!E26</f>
        <v>88.613166241405253</v>
      </c>
      <c r="E26" s="35">
        <f t="shared" si="3"/>
        <v>0</v>
      </c>
      <c r="F26" s="291">
        <f t="shared" si="4"/>
        <v>0</v>
      </c>
      <c r="G26" s="34">
        <f>+'A) Base RI'!U28</f>
        <v>64</v>
      </c>
      <c r="H26" s="292">
        <f t="shared" si="5"/>
        <v>0.94350427779564627</v>
      </c>
      <c r="I26" s="58">
        <f t="shared" si="6"/>
        <v>0</v>
      </c>
    </row>
    <row r="27" spans="1:9" x14ac:dyDescent="0.25">
      <c r="A27" s="50">
        <f>'A) Base RI'!A29</f>
        <v>5428</v>
      </c>
      <c r="B27" s="33" t="str">
        <f>'A) Base RI'!B29</f>
        <v>Gimel</v>
      </c>
      <c r="C27" s="99">
        <f>'A) Base RI'!V29</f>
        <v>2016</v>
      </c>
      <c r="D27" s="115">
        <f>'D) Ecrêtage'!E27</f>
        <v>30.619308954933963</v>
      </c>
      <c r="E27" s="35">
        <f t="shared" si="3"/>
        <v>14.601575623187991</v>
      </c>
      <c r="F27" s="291">
        <f t="shared" si="4"/>
        <v>568276.96948977862</v>
      </c>
      <c r="G27" s="34">
        <f>+'A) Base RI'!U29</f>
        <v>71.5</v>
      </c>
      <c r="H27" s="292">
        <f t="shared" si="5"/>
        <v>1.0540711853498235</v>
      </c>
      <c r="I27" s="58">
        <f t="shared" si="6"/>
        <v>599004.37883709639</v>
      </c>
    </row>
    <row r="28" spans="1:9" x14ac:dyDescent="0.25">
      <c r="A28" s="50">
        <f>'A) Base RI'!A30</f>
        <v>5429</v>
      </c>
      <c r="B28" s="33" t="str">
        <f>'A) Base RI'!B30</f>
        <v>Longirod</v>
      </c>
      <c r="C28" s="99">
        <f>'A) Base RI'!V30</f>
        <v>469</v>
      </c>
      <c r="D28" s="115">
        <f>'D) Ecrêtage'!E28</f>
        <v>31.854547368975226</v>
      </c>
      <c r="E28" s="35">
        <f t="shared" si="3"/>
        <v>13.366337209146728</v>
      </c>
      <c r="F28" s="291">
        <f t="shared" si="4"/>
        <v>137098.92174433428</v>
      </c>
      <c r="G28" s="34">
        <f>+'A) Base RI'!U30</f>
        <v>81</v>
      </c>
      <c r="H28" s="292">
        <f t="shared" si="5"/>
        <v>1.1941226015851147</v>
      </c>
      <c r="I28" s="58">
        <f t="shared" si="6"/>
        <v>163712.92110785851</v>
      </c>
    </row>
    <row r="29" spans="1:9" x14ac:dyDescent="0.25">
      <c r="A29" s="50">
        <f>'A) Base RI'!A31</f>
        <v>5430</v>
      </c>
      <c r="B29" s="33" t="str">
        <f>'A) Base RI'!B31</f>
        <v>Marchissy</v>
      </c>
      <c r="C29" s="99">
        <f>'A) Base RI'!V31</f>
        <v>455</v>
      </c>
      <c r="D29" s="115">
        <f>'D) Ecrêtage'!E29</f>
        <v>29.920288774516617</v>
      </c>
      <c r="E29" s="35">
        <f t="shared" si="3"/>
        <v>15.300595803605336</v>
      </c>
      <c r="F29" s="291">
        <f t="shared" si="4"/>
        <v>148494.57736336035</v>
      </c>
      <c r="G29" s="34">
        <f>+'A) Base RI'!U31</f>
        <v>79</v>
      </c>
      <c r="H29" s="292">
        <f t="shared" si="5"/>
        <v>1.1646380929040008</v>
      </c>
      <c r="I29" s="58">
        <f t="shared" si="6"/>
        <v>172942.44138704959</v>
      </c>
    </row>
    <row r="30" spans="1:9" x14ac:dyDescent="0.25">
      <c r="A30" s="50">
        <f>'A) Base RI'!A32</f>
        <v>5431</v>
      </c>
      <c r="B30" s="33" t="str">
        <f>'A) Base RI'!B32</f>
        <v>Mollens</v>
      </c>
      <c r="C30" s="99">
        <f>'A) Base RI'!V32</f>
        <v>301</v>
      </c>
      <c r="D30" s="115">
        <f>'D) Ecrêtage'!E30</f>
        <v>29.813891083774809</v>
      </c>
      <c r="E30" s="35">
        <f t="shared" si="3"/>
        <v>15.406993494347144</v>
      </c>
      <c r="F30" s="291">
        <f t="shared" si="4"/>
        <v>92657.350735133834</v>
      </c>
      <c r="G30" s="34">
        <f>+'A) Base RI'!U32</f>
        <v>74</v>
      </c>
      <c r="H30" s="292">
        <f t="shared" si="5"/>
        <v>1.090926821201216</v>
      </c>
      <c r="I30" s="58">
        <f t="shared" si="6"/>
        <v>101082.38909840571</v>
      </c>
    </row>
    <row r="31" spans="1:9" x14ac:dyDescent="0.25">
      <c r="A31" s="50">
        <f>'A) Base RI'!A33</f>
        <v>5432</v>
      </c>
      <c r="B31" s="33" t="str">
        <f>'A) Base RI'!B33</f>
        <v>Montherod</v>
      </c>
      <c r="C31" s="99">
        <f>'A) Base RI'!V33</f>
        <v>534</v>
      </c>
      <c r="D31" s="115">
        <f>'D) Ecrêtage'!E31</f>
        <v>33.496745654470367</v>
      </c>
      <c r="E31" s="35">
        <f t="shared" si="3"/>
        <v>11.724138923651587</v>
      </c>
      <c r="F31" s="291">
        <f t="shared" si="4"/>
        <v>131850.1353009427</v>
      </c>
      <c r="G31" s="34">
        <f>+'A) Base RI'!U33</f>
        <v>78</v>
      </c>
      <c r="H31" s="292">
        <f t="shared" si="5"/>
        <v>1.1498958385634439</v>
      </c>
      <c r="I31" s="58">
        <f t="shared" si="6"/>
        <v>151613.92189658104</v>
      </c>
    </row>
    <row r="32" spans="1:9" x14ac:dyDescent="0.25">
      <c r="A32" s="50">
        <f>'A) Base RI'!A34</f>
        <v>5434</v>
      </c>
      <c r="B32" s="33" t="str">
        <f>'A) Base RI'!B34</f>
        <v>Saint-George</v>
      </c>
      <c r="C32" s="99">
        <f>'A) Base RI'!V34</f>
        <v>1031</v>
      </c>
      <c r="D32" s="115">
        <f>'D) Ecrêtage'!E32</f>
        <v>36.016881190147679</v>
      </c>
      <c r="E32" s="35">
        <f t="shared" si="3"/>
        <v>9.2040033879742751</v>
      </c>
      <c r="F32" s="291">
        <f t="shared" si="4"/>
        <v>181910.40804083835</v>
      </c>
      <c r="G32" s="34">
        <f>+'A) Base RI'!U34</f>
        <v>71</v>
      </c>
      <c r="H32" s="292">
        <f t="shared" si="5"/>
        <v>1.0467000581795451</v>
      </c>
      <c r="I32" s="58">
        <f t="shared" si="6"/>
        <v>190405.63467981029</v>
      </c>
    </row>
    <row r="33" spans="1:9" x14ac:dyDescent="0.25">
      <c r="A33" s="50">
        <f>'A) Base RI'!A35</f>
        <v>5435</v>
      </c>
      <c r="B33" s="33" t="str">
        <f>'A) Base RI'!B35</f>
        <v>Saint-Livres</v>
      </c>
      <c r="C33" s="99">
        <f>'A) Base RI'!V35</f>
        <v>683</v>
      </c>
      <c r="D33" s="115">
        <f>'D) Ecrêtage'!E33</f>
        <v>37.539796507310029</v>
      </c>
      <c r="E33" s="35">
        <f t="shared" si="3"/>
        <v>7.6810880708119242</v>
      </c>
      <c r="F33" s="291">
        <f t="shared" si="4"/>
        <v>97736.392128551466</v>
      </c>
      <c r="G33" s="34">
        <f>+'A) Base RI'!U35</f>
        <v>69</v>
      </c>
      <c r="H33" s="292">
        <f t="shared" si="5"/>
        <v>1.0172155494984312</v>
      </c>
      <c r="I33" s="58">
        <f t="shared" si="6"/>
        <v>99418.97782503863</v>
      </c>
    </row>
    <row r="34" spans="1:9" x14ac:dyDescent="0.25">
      <c r="A34" s="50">
        <f>'A) Base RI'!A36</f>
        <v>5436</v>
      </c>
      <c r="B34" s="33" t="str">
        <f>'A) Base RI'!B36</f>
        <v>Saint-Oyens</v>
      </c>
      <c r="C34" s="99">
        <f>'A) Base RI'!V36</f>
        <v>366</v>
      </c>
      <c r="D34" s="115">
        <f>'D) Ecrêtage'!E34</f>
        <v>30.946995041489583</v>
      </c>
      <c r="E34" s="35">
        <f t="shared" si="3"/>
        <v>14.273889536632371</v>
      </c>
      <c r="F34" s="291">
        <f t="shared" si="4"/>
        <v>114254.20688481089</v>
      </c>
      <c r="G34" s="34">
        <f>+'A) Base RI'!U36</f>
        <v>81</v>
      </c>
      <c r="H34" s="292">
        <f t="shared" si="5"/>
        <v>1.1941226015851147</v>
      </c>
      <c r="I34" s="58">
        <f t="shared" si="6"/>
        <v>136433.5307673343</v>
      </c>
    </row>
    <row r="35" spans="1:9" x14ac:dyDescent="0.25">
      <c r="A35" s="50">
        <f>'A) Base RI'!A37</f>
        <v>5437</v>
      </c>
      <c r="B35" s="33" t="str">
        <f>'A) Base RI'!B37</f>
        <v>Saubraz</v>
      </c>
      <c r="C35" s="99">
        <f>'A) Base RI'!V37</f>
        <v>420</v>
      </c>
      <c r="D35" s="115">
        <f>'D) Ecrêtage'!E35</f>
        <v>23.604543452380952</v>
      </c>
      <c r="E35" s="35">
        <f t="shared" si="3"/>
        <v>21.616341125741002</v>
      </c>
      <c r="F35" s="291">
        <f t="shared" si="4"/>
        <v>196103.44669272238</v>
      </c>
      <c r="G35" s="34">
        <f>+'A) Base RI'!U37</f>
        <v>80</v>
      </c>
      <c r="H35" s="292">
        <f t="shared" si="5"/>
        <v>1.1793803472445579</v>
      </c>
      <c r="I35" s="58">
        <f t="shared" si="6"/>
        <v>231280.55105631758</v>
      </c>
    </row>
    <row r="36" spans="1:9" x14ac:dyDescent="0.25">
      <c r="A36" s="50">
        <f>'A) Base RI'!A38</f>
        <v>5451</v>
      </c>
      <c r="B36" s="33" t="str">
        <f>'A) Base RI'!B38</f>
        <v>Avenches</v>
      </c>
      <c r="C36" s="99">
        <f>'A) Base RI'!V38</f>
        <v>4210</v>
      </c>
      <c r="D36" s="115">
        <f>'D) Ecrêtage'!E36</f>
        <v>22.692987226957289</v>
      </c>
      <c r="E36" s="35">
        <f t="shared" si="3"/>
        <v>22.527897351164665</v>
      </c>
      <c r="F36" s="291">
        <f t="shared" si="4"/>
        <v>1741307.3424966838</v>
      </c>
      <c r="G36" s="34">
        <f>+'A) Base RI'!U38</f>
        <v>68</v>
      </c>
      <c r="H36" s="292">
        <f t="shared" si="5"/>
        <v>1.0024732951578741</v>
      </c>
      <c r="I36" s="58">
        <f t="shared" si="6"/>
        <v>1745614.1095152514</v>
      </c>
    </row>
    <row r="37" spans="1:9" x14ac:dyDescent="0.25">
      <c r="A37" s="50">
        <f>'A) Base RI'!A39</f>
        <v>5456</v>
      </c>
      <c r="B37" s="33" t="str">
        <f>'A) Base RI'!B39</f>
        <v>Cudrefin</v>
      </c>
      <c r="C37" s="99">
        <f>'A) Base RI'!V39</f>
        <v>1589</v>
      </c>
      <c r="D37" s="115">
        <f>'D) Ecrêtage'!E37</f>
        <v>34.440491905864121</v>
      </c>
      <c r="E37" s="35">
        <f t="shared" si="3"/>
        <v>10.780392672257832</v>
      </c>
      <c r="F37" s="291">
        <f t="shared" si="4"/>
        <v>272881.60022254789</v>
      </c>
      <c r="G37" s="34">
        <f>+'A) Base RI'!U39</f>
        <v>59</v>
      </c>
      <c r="H37" s="292">
        <f t="shared" si="5"/>
        <v>0.86979300609286136</v>
      </c>
      <c r="I37" s="58">
        <f t="shared" si="6"/>
        <v>237350.50736500035</v>
      </c>
    </row>
    <row r="38" spans="1:9" x14ac:dyDescent="0.25">
      <c r="A38" s="50">
        <f>'A) Base RI'!A40</f>
        <v>5458</v>
      </c>
      <c r="B38" s="33" t="str">
        <f>'A) Base RI'!B40</f>
        <v>Faoug</v>
      </c>
      <c r="C38" s="99">
        <f>'A) Base RI'!V40</f>
        <v>893</v>
      </c>
      <c r="D38" s="115">
        <f>'D) Ecrêtage'!E38</f>
        <v>38.754304486282201</v>
      </c>
      <c r="E38" s="35">
        <f t="shared" si="3"/>
        <v>6.4665800918397522</v>
      </c>
      <c r="F38" s="291">
        <f t="shared" si="4"/>
        <v>99786.056060382893</v>
      </c>
      <c r="G38" s="34">
        <f>+'A) Base RI'!U40</f>
        <v>64</v>
      </c>
      <c r="H38" s="292">
        <f t="shared" si="5"/>
        <v>0.94350427779564627</v>
      </c>
      <c r="I38" s="58">
        <f t="shared" si="6"/>
        <v>94148.570757327427</v>
      </c>
    </row>
    <row r="39" spans="1:9" x14ac:dyDescent="0.25">
      <c r="A39" s="50">
        <f>'A) Base RI'!A41</f>
        <v>5464</v>
      </c>
      <c r="B39" s="33" t="str">
        <f>'A) Base RI'!B41</f>
        <v>Vully-les-Lacs</v>
      </c>
      <c r="C39" s="99">
        <f>'A) Base RI'!V41</f>
        <v>3080</v>
      </c>
      <c r="D39" s="115">
        <f>'D) Ecrêtage'!E39</f>
        <v>32.054316776507072</v>
      </c>
      <c r="E39" s="35">
        <f t="shared" si="3"/>
        <v>13.166567801614882</v>
      </c>
      <c r="F39" s="291">
        <f t="shared" si="4"/>
        <v>733604.29151613684</v>
      </c>
      <c r="G39" s="34">
        <f>+'A) Base RI'!U41</f>
        <v>67</v>
      </c>
      <c r="H39" s="292">
        <f t="shared" si="5"/>
        <v>0.98773104081731722</v>
      </c>
      <c r="I39" s="58">
        <f t="shared" si="6"/>
        <v>724603.73040728446</v>
      </c>
    </row>
    <row r="40" spans="1:9" x14ac:dyDescent="0.25">
      <c r="A40" s="50">
        <f>'A) Base RI'!A42</f>
        <v>5471</v>
      </c>
      <c r="B40" s="33" t="str">
        <f>'A) Base RI'!B42</f>
        <v>Bettens</v>
      </c>
      <c r="C40" s="99">
        <f>'A) Base RI'!V42</f>
        <v>574</v>
      </c>
      <c r="D40" s="115">
        <f>'D) Ecrêtage'!E40</f>
        <v>33.355298904927821</v>
      </c>
      <c r="E40" s="35">
        <f t="shared" si="3"/>
        <v>11.865585673194133</v>
      </c>
      <c r="F40" s="291">
        <f t="shared" si="4"/>
        <v>128724.99273421387</v>
      </c>
      <c r="G40" s="34">
        <f>+'A) Base RI'!U42</f>
        <v>70</v>
      </c>
      <c r="H40" s="292">
        <f t="shared" si="5"/>
        <v>1.0319578038389881</v>
      </c>
      <c r="I40" s="58">
        <f t="shared" si="6"/>
        <v>132838.76080118903</v>
      </c>
    </row>
    <row r="41" spans="1:9" x14ac:dyDescent="0.25">
      <c r="A41" s="50">
        <f>'A) Base RI'!A43</f>
        <v>5472</v>
      </c>
      <c r="B41" s="33" t="str">
        <f>'A) Base RI'!B43</f>
        <v>Bournens</v>
      </c>
      <c r="C41" s="99">
        <f>'A) Base RI'!V43</f>
        <v>419</v>
      </c>
      <c r="D41" s="115">
        <f>'D) Ecrêtage'!E41</f>
        <v>35.25062619331743</v>
      </c>
      <c r="E41" s="35">
        <f t="shared" si="3"/>
        <v>9.9702583848045236</v>
      </c>
      <c r="F41" s="291">
        <f t="shared" si="4"/>
        <v>90234.82648583487</v>
      </c>
      <c r="G41" s="34">
        <f>+'A) Base RI'!U43</f>
        <v>80</v>
      </c>
      <c r="H41" s="292">
        <f t="shared" si="5"/>
        <v>1.1793803472445579</v>
      </c>
      <c r="I41" s="58">
        <f t="shared" si="6"/>
        <v>106421.18099441635</v>
      </c>
    </row>
    <row r="42" spans="1:9" x14ac:dyDescent="0.25">
      <c r="A42" s="50">
        <f>'A) Base RI'!A44</f>
        <v>5473</v>
      </c>
      <c r="B42" s="33" t="str">
        <f>'A) Base RI'!B44</f>
        <v>Boussens</v>
      </c>
      <c r="C42" s="99">
        <f>'A) Base RI'!V44</f>
        <v>982</v>
      </c>
      <c r="D42" s="115">
        <f>'D) Ecrêtage'!E42</f>
        <v>33.6075045013135</v>
      </c>
      <c r="E42" s="35">
        <f t="shared" si="3"/>
        <v>11.613380076808454</v>
      </c>
      <c r="F42" s="291">
        <f t="shared" si="4"/>
        <v>212462.83995598456</v>
      </c>
      <c r="G42" s="34">
        <f>+'A) Base RI'!U44</f>
        <v>69</v>
      </c>
      <c r="H42" s="292">
        <f t="shared" si="5"/>
        <v>1.0172155494984312</v>
      </c>
      <c r="I42" s="58">
        <f t="shared" si="6"/>
        <v>216120.50449382406</v>
      </c>
    </row>
    <row r="43" spans="1:9" x14ac:dyDescent="0.25">
      <c r="A43" s="50">
        <f>'A) Base RI'!A45</f>
        <v>5474</v>
      </c>
      <c r="B43" s="33" t="str">
        <f>'A) Base RI'!B45</f>
        <v>La Chaux (Cossonay)</v>
      </c>
      <c r="C43" s="99">
        <f>'A) Base RI'!V45</f>
        <v>420</v>
      </c>
      <c r="D43" s="115">
        <f>'D) Ecrêtage'!E43</f>
        <v>31.876298495155638</v>
      </c>
      <c r="E43" s="35">
        <f t="shared" si="3"/>
        <v>13.344586082966316</v>
      </c>
      <c r="F43" s="291">
        <f t="shared" si="4"/>
        <v>116522.25675924528</v>
      </c>
      <c r="G43" s="34">
        <f>+'A) Base RI'!U45</f>
        <v>77</v>
      </c>
      <c r="H43" s="292">
        <f t="shared" si="5"/>
        <v>1.1351535842228868</v>
      </c>
      <c r="I43" s="58">
        <f t="shared" si="6"/>
        <v>132270.65740199678</v>
      </c>
    </row>
    <row r="44" spans="1:9" x14ac:dyDescent="0.25">
      <c r="A44" s="50">
        <f>'A) Base RI'!A46</f>
        <v>5475</v>
      </c>
      <c r="B44" s="33" t="str">
        <f>'A) Base RI'!B46</f>
        <v>Chavannes-le-Veyron</v>
      </c>
      <c r="C44" s="99">
        <f>'A) Base RI'!V46</f>
        <v>141</v>
      </c>
      <c r="D44" s="115">
        <f>'D) Ecrêtage'!E44</f>
        <v>26.777868656166529</v>
      </c>
      <c r="E44" s="35">
        <f t="shared" si="3"/>
        <v>18.443015921955425</v>
      </c>
      <c r="F44" s="291">
        <f t="shared" si="4"/>
        <v>54063.672443460913</v>
      </c>
      <c r="G44" s="34">
        <f>+'A) Base RI'!U46</f>
        <v>77</v>
      </c>
      <c r="H44" s="292">
        <f t="shared" si="5"/>
        <v>1.1351535842228868</v>
      </c>
      <c r="I44" s="58">
        <f t="shared" si="6"/>
        <v>61370.571550446773</v>
      </c>
    </row>
    <row r="45" spans="1:9" x14ac:dyDescent="0.25">
      <c r="A45" s="50">
        <f>'A) Base RI'!A47</f>
        <v>5476</v>
      </c>
      <c r="B45" s="33" t="str">
        <f>'A) Base RI'!B47</f>
        <v>Chevilly</v>
      </c>
      <c r="C45" s="99">
        <f>'A) Base RI'!V47</f>
        <v>298</v>
      </c>
      <c r="D45" s="115">
        <f>'D) Ecrêtage'!E45</f>
        <v>33.817351562972377</v>
      </c>
      <c r="E45" s="35">
        <f t="shared" si="3"/>
        <v>11.403533015149577</v>
      </c>
      <c r="F45" s="291">
        <f t="shared" si="4"/>
        <v>67897.091713521193</v>
      </c>
      <c r="G45" s="34">
        <f>+'A) Base RI'!U47</f>
        <v>74</v>
      </c>
      <c r="H45" s="292">
        <f t="shared" si="5"/>
        <v>1.090926821201216</v>
      </c>
      <c r="I45" s="58">
        <f t="shared" si="6"/>
        <v>74070.758431839102</v>
      </c>
    </row>
    <row r="46" spans="1:9" x14ac:dyDescent="0.25">
      <c r="A46" s="50">
        <f>'A) Base RI'!A48</f>
        <v>5477</v>
      </c>
      <c r="B46" s="33" t="str">
        <f>'A) Base RI'!B48</f>
        <v>Cossonay</v>
      </c>
      <c r="C46" s="99">
        <f>'A) Base RI'!V48</f>
        <v>3808</v>
      </c>
      <c r="D46" s="115">
        <f>'D) Ecrêtage'!E46</f>
        <v>32.442446517339334</v>
      </c>
      <c r="E46" s="35">
        <f t="shared" si="3"/>
        <v>12.778438060782619</v>
      </c>
      <c r="F46" s="291">
        <f t="shared" si="4"/>
        <v>932817.8002367724</v>
      </c>
      <c r="G46" s="34">
        <f>+'A) Base RI'!U48</f>
        <v>71</v>
      </c>
      <c r="H46" s="292">
        <f t="shared" si="5"/>
        <v>1.0467000581795451</v>
      </c>
      <c r="I46" s="58">
        <f t="shared" si="6"/>
        <v>976380.44577874499</v>
      </c>
    </row>
    <row r="47" spans="1:9" x14ac:dyDescent="0.25">
      <c r="A47" s="50">
        <f>'A) Base RI'!A49</f>
        <v>5478</v>
      </c>
      <c r="B47" s="33" t="str">
        <f>'A) Base RI'!B49</f>
        <v>Cottens</v>
      </c>
      <c r="C47" s="99">
        <f>'A) Base RI'!V49</f>
        <v>477</v>
      </c>
      <c r="D47" s="115">
        <f>'D) Ecrêtage'!E47</f>
        <v>35.37301546829849</v>
      </c>
      <c r="E47" s="35">
        <f t="shared" si="3"/>
        <v>9.8478691098234634</v>
      </c>
      <c r="F47" s="291">
        <f t="shared" si="4"/>
        <v>93854.722636408129</v>
      </c>
      <c r="G47" s="34">
        <f>+'A) Base RI'!U49</f>
        <v>74</v>
      </c>
      <c r="H47" s="292">
        <f t="shared" si="5"/>
        <v>1.090926821201216</v>
      </c>
      <c r="I47" s="58">
        <f t="shared" si="6"/>
        <v>102388.63422045852</v>
      </c>
    </row>
    <row r="48" spans="1:9" x14ac:dyDescent="0.25">
      <c r="A48" s="50">
        <f>'A) Base RI'!A50</f>
        <v>5479</v>
      </c>
      <c r="B48" s="33" t="str">
        <f>'A) Base RI'!B50</f>
        <v>Cuarnens</v>
      </c>
      <c r="C48" s="99">
        <f>'A) Base RI'!V50</f>
        <v>479</v>
      </c>
      <c r="D48" s="115">
        <f>'D) Ecrêtage'!E48</f>
        <v>31.520507550904213</v>
      </c>
      <c r="E48" s="35">
        <f t="shared" si="3"/>
        <v>13.700377027217741</v>
      </c>
      <c r="F48" s="291">
        <f t="shared" si="4"/>
        <v>136433.97159161544</v>
      </c>
      <c r="G48" s="34">
        <f>+'A) Base RI'!U50</f>
        <v>77</v>
      </c>
      <c r="H48" s="292">
        <f t="shared" si="5"/>
        <v>1.1351535842228868</v>
      </c>
      <c r="I48" s="58">
        <f t="shared" si="6"/>
        <v>154873.51186198578</v>
      </c>
    </row>
    <row r="49" spans="1:12" x14ac:dyDescent="0.25">
      <c r="A49" s="50">
        <f>'A) Base RI'!A51</f>
        <v>5480</v>
      </c>
      <c r="B49" s="33" t="str">
        <f>'A) Base RI'!B51</f>
        <v>Daillens</v>
      </c>
      <c r="C49" s="99">
        <f>'A) Base RI'!V51</f>
        <v>998</v>
      </c>
      <c r="D49" s="115">
        <f>'D) Ecrêtage'!E49</f>
        <v>41.188135143526488</v>
      </c>
      <c r="E49" s="35">
        <f t="shared" si="3"/>
        <v>4.0327494345954662</v>
      </c>
      <c r="F49" s="291">
        <f t="shared" si="4"/>
        <v>77153.191047872708</v>
      </c>
      <c r="G49" s="34">
        <f>+'A) Base RI'!U51</f>
        <v>71</v>
      </c>
      <c r="H49" s="292">
        <f t="shared" si="5"/>
        <v>1.0467000581795451</v>
      </c>
      <c r="I49" s="58">
        <f t="shared" si="6"/>
        <v>80756.249558545926</v>
      </c>
    </row>
    <row r="50" spans="1:12" x14ac:dyDescent="0.25">
      <c r="A50" s="50">
        <f>'A) Base RI'!A52</f>
        <v>5481</v>
      </c>
      <c r="B50" s="33" t="str">
        <f>'A) Base RI'!B52</f>
        <v>Dizy</v>
      </c>
      <c r="C50" s="99">
        <f>'A) Base RI'!V52</f>
        <v>229</v>
      </c>
      <c r="D50" s="115">
        <f>'D) Ecrêtage'!E50</f>
        <v>36.758094079929243</v>
      </c>
      <c r="E50" s="35">
        <f t="shared" si="3"/>
        <v>8.4627904981927102</v>
      </c>
      <c r="F50" s="291">
        <f t="shared" si="4"/>
        <v>41337.09258375717</v>
      </c>
      <c r="G50" s="34">
        <f>+'A) Base RI'!U52</f>
        <v>79</v>
      </c>
      <c r="H50" s="292">
        <f t="shared" si="5"/>
        <v>1.1646380929040008</v>
      </c>
      <c r="I50" s="58">
        <f t="shared" si="6"/>
        <v>48142.752672943068</v>
      </c>
    </row>
    <row r="51" spans="1:12" x14ac:dyDescent="0.25">
      <c r="A51" s="50">
        <f>'A) Base RI'!A53</f>
        <v>5482</v>
      </c>
      <c r="B51" s="33" t="str">
        <f>'A) Base RI'!B53</f>
        <v>Eclépens</v>
      </c>
      <c r="C51" s="99">
        <f>'A) Base RI'!V53</f>
        <v>1091</v>
      </c>
      <c r="D51" s="115">
        <f>'D) Ecrêtage'!E51</f>
        <v>44.840938508747456</v>
      </c>
      <c r="E51" s="35">
        <f t="shared" si="3"/>
        <v>0.3799460693744976</v>
      </c>
      <c r="F51" s="291">
        <f t="shared" si="4"/>
        <v>5148.3528281597046</v>
      </c>
      <c r="G51" s="34">
        <f>+'A) Base RI'!U53</f>
        <v>46</v>
      </c>
      <c r="H51" s="292">
        <f t="shared" si="5"/>
        <v>0.67814369966562071</v>
      </c>
      <c r="I51" s="58">
        <f t="shared" si="6"/>
        <v>3491.3230340721839</v>
      </c>
    </row>
    <row r="52" spans="1:12" x14ac:dyDescent="0.25">
      <c r="A52" s="50">
        <f>'A) Base RI'!A54</f>
        <v>5483</v>
      </c>
      <c r="B52" s="33" t="str">
        <f>'A) Base RI'!B54</f>
        <v>Ferreyres</v>
      </c>
      <c r="C52" s="99">
        <f>'A) Base RI'!V54</f>
        <v>322</v>
      </c>
      <c r="D52" s="115">
        <f>'D) Ecrêtage'!E52</f>
        <v>38.31962201699902</v>
      </c>
      <c r="E52" s="35">
        <f t="shared" si="3"/>
        <v>6.9012625611229339</v>
      </c>
      <c r="F52" s="291">
        <f t="shared" si="4"/>
        <v>45599.678296866121</v>
      </c>
      <c r="G52" s="34">
        <f>+'A) Base RI'!U54</f>
        <v>76</v>
      </c>
      <c r="H52" s="292">
        <f t="shared" si="5"/>
        <v>1.1204113298823299</v>
      </c>
      <c r="I52" s="58">
        <f t="shared" si="6"/>
        <v>51090.396202798191</v>
      </c>
    </row>
    <row r="53" spans="1:12" x14ac:dyDescent="0.25">
      <c r="A53" s="50">
        <f>'A) Base RI'!A55</f>
        <v>5484</v>
      </c>
      <c r="B53" s="33" t="str">
        <f>'A) Base RI'!B55</f>
        <v>Gollion</v>
      </c>
      <c r="C53" s="99">
        <f>'A) Base RI'!V55</f>
        <v>918</v>
      </c>
      <c r="D53" s="115">
        <f>'D) Ecrêtage'!E53</f>
        <v>36.999827621739392</v>
      </c>
      <c r="E53" s="35">
        <f t="shared" si="3"/>
        <v>8.2210569563825615</v>
      </c>
      <c r="F53" s="291">
        <f t="shared" si="4"/>
        <v>150787.66711346465</v>
      </c>
      <c r="G53" s="34">
        <f>+'A) Base RI'!U55</f>
        <v>74</v>
      </c>
      <c r="H53" s="292">
        <f t="shared" si="5"/>
        <v>1.090926821201216</v>
      </c>
      <c r="I53" s="58">
        <f t="shared" si="6"/>
        <v>164498.31036043912</v>
      </c>
    </row>
    <row r="54" spans="1:12" x14ac:dyDescent="0.25">
      <c r="A54" s="50">
        <f>'A) Base RI'!A56</f>
        <v>5485</v>
      </c>
      <c r="B54" s="33" t="str">
        <f>'A) Base RI'!B56</f>
        <v>Grancy</v>
      </c>
      <c r="C54" s="99">
        <f>'A) Base RI'!V56</f>
        <v>403</v>
      </c>
      <c r="D54" s="115">
        <f>'D) Ecrêtage'!E54</f>
        <v>44.020782346685586</v>
      </c>
      <c r="E54" s="35">
        <f t="shared" si="3"/>
        <v>1.2001022314363681</v>
      </c>
      <c r="F54" s="291">
        <f t="shared" si="4"/>
        <v>9140.8186661813852</v>
      </c>
      <c r="G54" s="34">
        <f>+'A) Base RI'!U56</f>
        <v>70</v>
      </c>
      <c r="H54" s="292">
        <f t="shared" si="5"/>
        <v>1.0319578038389881</v>
      </c>
      <c r="I54" s="58">
        <f t="shared" si="6"/>
        <v>9432.9391560429704</v>
      </c>
    </row>
    <row r="55" spans="1:12" x14ac:dyDescent="0.25">
      <c r="A55" s="50">
        <f>'A) Base RI'!A57</f>
        <v>5486</v>
      </c>
      <c r="B55" s="33" t="str">
        <f>'A) Base RI'!B57</f>
        <v>L'Isle</v>
      </c>
      <c r="C55" s="99">
        <f>'A) Base RI'!V57</f>
        <v>1005</v>
      </c>
      <c r="D55" s="115">
        <f>'D) Ecrêtage'!E55</f>
        <v>25.56885166273894</v>
      </c>
      <c r="E55" s="35">
        <f t="shared" si="3"/>
        <v>19.652032915383014</v>
      </c>
      <c r="F55" s="291">
        <f t="shared" si="4"/>
        <v>405276.0140007778</v>
      </c>
      <c r="G55" s="34">
        <f>+'A) Base RI'!U57</f>
        <v>76</v>
      </c>
      <c r="H55" s="292">
        <f t="shared" si="5"/>
        <v>1.1204113298823299</v>
      </c>
      <c r="I55" s="58">
        <f t="shared" si="6"/>
        <v>454075.83781602123</v>
      </c>
    </row>
    <row r="56" spans="1:12" x14ac:dyDescent="0.25">
      <c r="A56" s="50">
        <f>'A) Base RI'!A58</f>
        <v>5487</v>
      </c>
      <c r="B56" s="33" t="str">
        <f>'A) Base RI'!B58</f>
        <v>Lussery-Villars</v>
      </c>
      <c r="C56" s="99">
        <f>'A) Base RI'!V58</f>
        <v>459</v>
      </c>
      <c r="D56" s="115">
        <f>'D) Ecrêtage'!E56</f>
        <v>31.257335088356331</v>
      </c>
      <c r="E56" s="35">
        <f t="shared" si="3"/>
        <v>13.963549489765622</v>
      </c>
      <c r="F56" s="291">
        <f t="shared" si="4"/>
        <v>124596.19355519908</v>
      </c>
      <c r="G56" s="34">
        <f>+'A) Base RI'!U58</f>
        <v>72</v>
      </c>
      <c r="H56" s="292">
        <f t="shared" si="5"/>
        <v>1.061442312520102</v>
      </c>
      <c r="I56" s="58">
        <f t="shared" si="6"/>
        <v>132251.67181843275</v>
      </c>
    </row>
    <row r="57" spans="1:12" x14ac:dyDescent="0.25">
      <c r="A57" s="50">
        <f>'A) Base RI'!A59</f>
        <v>5488</v>
      </c>
      <c r="B57" s="33" t="str">
        <f>'A) Base RI'!B59</f>
        <v>Mauraz</v>
      </c>
      <c r="C57" s="99">
        <f>'A) Base RI'!V59</f>
        <v>60</v>
      </c>
      <c r="D57" s="115">
        <f>'D) Ecrêtage'!E57</f>
        <v>27.270601351351349</v>
      </c>
      <c r="E57" s="35">
        <f t="shared" si="3"/>
        <v>17.950283226770605</v>
      </c>
      <c r="F57" s="291">
        <f t="shared" si="4"/>
        <v>21518.799532252604</v>
      </c>
      <c r="G57" s="34">
        <f>+'A) Base RI'!U59</f>
        <v>74</v>
      </c>
      <c r="H57" s="292">
        <f t="shared" si="5"/>
        <v>1.090926821201216</v>
      </c>
      <c r="I57" s="58">
        <f t="shared" si="6"/>
        <v>23475.435569786547</v>
      </c>
    </row>
    <row r="58" spans="1:12" x14ac:dyDescent="0.25">
      <c r="A58" s="50">
        <f>'A) Base RI'!A60</f>
        <v>5489</v>
      </c>
      <c r="B58" s="33" t="str">
        <f>'A) Base RI'!B60</f>
        <v>Mex</v>
      </c>
      <c r="C58" s="99">
        <f>'A) Base RI'!V60</f>
        <v>718</v>
      </c>
      <c r="D58" s="115">
        <f>'D) Ecrêtage'!E58</f>
        <v>73.716284761861274</v>
      </c>
      <c r="E58" s="35">
        <f t="shared" si="3"/>
        <v>0</v>
      </c>
      <c r="F58" s="291">
        <f t="shared" si="4"/>
        <v>0</v>
      </c>
      <c r="G58" s="34">
        <f>+'A) Base RI'!U60</f>
        <v>61</v>
      </c>
      <c r="H58" s="292">
        <f t="shared" si="5"/>
        <v>0.89927751477397533</v>
      </c>
      <c r="I58" s="58">
        <f t="shared" si="6"/>
        <v>0</v>
      </c>
    </row>
    <row r="59" spans="1:12" x14ac:dyDescent="0.25">
      <c r="A59" s="50">
        <f>'A) Base RI'!A61</f>
        <v>5490</v>
      </c>
      <c r="B59" s="33" t="str">
        <f>'A) Base RI'!B61</f>
        <v>Moiry</v>
      </c>
      <c r="C59" s="99">
        <f>'A) Base RI'!V61</f>
        <v>316</v>
      </c>
      <c r="D59" s="115">
        <f>'D) Ecrêtage'!E59</f>
        <v>25.873214564775743</v>
      </c>
      <c r="E59" s="35">
        <f t="shared" si="3"/>
        <v>19.34767001334621</v>
      </c>
      <c r="F59" s="291">
        <f t="shared" si="4"/>
        <v>133710.19964863462</v>
      </c>
      <c r="G59" s="34">
        <f>+'A) Base RI'!U61</f>
        <v>81</v>
      </c>
      <c r="H59" s="292">
        <f t="shared" si="5"/>
        <v>1.1941226015851147</v>
      </c>
      <c r="I59" s="58">
        <f t="shared" si="6"/>
        <v>159666.37146289265</v>
      </c>
    </row>
    <row r="60" spans="1:12" x14ac:dyDescent="0.25">
      <c r="A60" s="50">
        <f>'A) Base RI'!A62</f>
        <v>5491</v>
      </c>
      <c r="B60" s="33" t="str">
        <f>'A) Base RI'!B62</f>
        <v>Mont-la-Ville</v>
      </c>
      <c r="C60" s="99">
        <f>'A) Base RI'!V62</f>
        <v>417</v>
      </c>
      <c r="D60" s="115">
        <f>'D) Ecrêtage'!E60</f>
        <v>25.287303104884515</v>
      </c>
      <c r="E60" s="35">
        <f t="shared" si="3"/>
        <v>19.933581473237439</v>
      </c>
      <c r="F60" s="291">
        <f t="shared" si="4"/>
        <v>170568.46729345707</v>
      </c>
      <c r="G60" s="34">
        <f>+'A) Base RI'!U62</f>
        <v>76</v>
      </c>
      <c r="H60" s="292">
        <f t="shared" si="5"/>
        <v>1.1204113298823299</v>
      </c>
      <c r="I60" s="58">
        <f t="shared" si="6"/>
        <v>191106.84327625294</v>
      </c>
    </row>
    <row r="61" spans="1:12" x14ac:dyDescent="0.25">
      <c r="A61" s="50">
        <f>'A) Base RI'!A63</f>
        <v>5492</v>
      </c>
      <c r="B61" s="33" t="str">
        <f>'A) Base RI'!B63</f>
        <v>Montricher</v>
      </c>
      <c r="C61" s="99">
        <f>'A) Base RI'!V63</f>
        <v>986</v>
      </c>
      <c r="D61" s="115">
        <f>'D) Ecrêtage'!E61</f>
        <v>226.03823777679176</v>
      </c>
      <c r="E61" s="35">
        <f t="shared" si="3"/>
        <v>0</v>
      </c>
      <c r="F61" s="291">
        <f t="shared" si="4"/>
        <v>0</v>
      </c>
      <c r="G61" s="34">
        <f>+'A) Base RI'!U63</f>
        <v>64</v>
      </c>
      <c r="H61" s="292">
        <f t="shared" si="5"/>
        <v>0.94350427779564627</v>
      </c>
      <c r="I61" s="58">
        <f t="shared" si="6"/>
        <v>0</v>
      </c>
    </row>
    <row r="62" spans="1:12" x14ac:dyDescent="0.25">
      <c r="A62" s="50">
        <f>'A) Base RI'!A64</f>
        <v>5493</v>
      </c>
      <c r="B62" s="33" t="str">
        <f>'A) Base RI'!B64</f>
        <v>Orny</v>
      </c>
      <c r="C62" s="99">
        <f>'A) Base RI'!V64</f>
        <v>356</v>
      </c>
      <c r="D62" s="115">
        <f>'D) Ecrêtage'!E62</f>
        <v>27.79876194338215</v>
      </c>
      <c r="E62" s="35">
        <f t="shared" si="3"/>
        <v>17.422122634739804</v>
      </c>
      <c r="F62" s="291">
        <f t="shared" si="4"/>
        <v>122246.85321853688</v>
      </c>
      <c r="G62" s="34">
        <f>+'A) Base RI'!U64</f>
        <v>73</v>
      </c>
      <c r="H62" s="292">
        <f t="shared" si="5"/>
        <v>1.0761845668606591</v>
      </c>
      <c r="I62" s="58">
        <f t="shared" si="6"/>
        <v>131560.17678106969</v>
      </c>
    </row>
    <row r="63" spans="1:12" x14ac:dyDescent="0.25">
      <c r="A63" s="50">
        <f>'A) Base RI'!A65</f>
        <v>5494</v>
      </c>
      <c r="B63" s="33" t="str">
        <f>'A) Base RI'!B65</f>
        <v>Pampigny</v>
      </c>
      <c r="C63" s="99">
        <f>'A) Base RI'!V65</f>
        <v>1124</v>
      </c>
      <c r="D63" s="115">
        <f>'D) Ecrêtage'!E63</f>
        <v>32.916706529966675</v>
      </c>
      <c r="E63" s="35">
        <f t="shared" si="3"/>
        <v>12.304178048155279</v>
      </c>
      <c r="F63" s="291">
        <f t="shared" si="4"/>
        <v>280055.39655406232</v>
      </c>
      <c r="G63" s="34">
        <f>+'A) Base RI'!U65</f>
        <v>75</v>
      </c>
      <c r="H63" s="292">
        <f t="shared" si="5"/>
        <v>1.1056690755417729</v>
      </c>
      <c r="I63" s="58">
        <f t="shared" si="6"/>
        <v>309648.59140841471</v>
      </c>
    </row>
    <row r="64" spans="1:12" x14ac:dyDescent="0.25">
      <c r="A64" s="50">
        <f>'A) Base RI'!A66</f>
        <v>5495</v>
      </c>
      <c r="B64" s="33" t="str">
        <f>'A) Base RI'!B66</f>
        <v>Penthalaz</v>
      </c>
      <c r="C64" s="99">
        <f>'A) Base RI'!V66</f>
        <v>3282</v>
      </c>
      <c r="D64" s="115">
        <f>'D) Ecrêtage'!E64</f>
        <v>28.295287193043137</v>
      </c>
      <c r="E64" s="35">
        <f t="shared" si="3"/>
        <v>16.925597385078817</v>
      </c>
      <c r="F64" s="291">
        <f t="shared" si="4"/>
        <v>1109885.2161442172</v>
      </c>
      <c r="G64" s="34">
        <f>+'A) Base RI'!U66</f>
        <v>74</v>
      </c>
      <c r="H64" s="292">
        <f t="shared" si="5"/>
        <v>1.090926821201216</v>
      </c>
      <c r="I64" s="58">
        <f t="shared" si="6"/>
        <v>1210803.5507464353</v>
      </c>
      <c r="L64" s="29"/>
    </row>
    <row r="65" spans="1:9" x14ac:dyDescent="0.25">
      <c r="A65" s="50">
        <f>'A) Base RI'!A67</f>
        <v>5496</v>
      </c>
      <c r="B65" s="33" t="str">
        <f>'A) Base RI'!B67</f>
        <v>Penthaz</v>
      </c>
      <c r="C65" s="99">
        <f>'A) Base RI'!V67</f>
        <v>1726</v>
      </c>
      <c r="D65" s="115">
        <f>'D) Ecrêtage'!E65</f>
        <v>31.76410825322737</v>
      </c>
      <c r="E65" s="35">
        <f t="shared" si="3"/>
        <v>13.456776324894584</v>
      </c>
      <c r="F65" s="291">
        <f t="shared" si="4"/>
        <v>445250.01010784355</v>
      </c>
      <c r="G65" s="34">
        <f>+'A) Base RI'!U67</f>
        <v>71</v>
      </c>
      <c r="H65" s="292">
        <f t="shared" si="5"/>
        <v>1.0467000581795451</v>
      </c>
      <c r="I65" s="58">
        <f t="shared" si="6"/>
        <v>466043.21148432291</v>
      </c>
    </row>
    <row r="66" spans="1:9" x14ac:dyDescent="0.25">
      <c r="A66" s="50">
        <f>'A) Base RI'!A68</f>
        <v>5497</v>
      </c>
      <c r="B66" s="33" t="str">
        <f>'A) Base RI'!B68</f>
        <v>Pompaples</v>
      </c>
      <c r="C66" s="99">
        <f>'A) Base RI'!V68</f>
        <v>854</v>
      </c>
      <c r="D66" s="115">
        <f>'D) Ecrêtage'!E66</f>
        <v>25.431976261443477</v>
      </c>
      <c r="E66" s="35">
        <f t="shared" si="3"/>
        <v>19.788908316678476</v>
      </c>
      <c r="F66" s="291">
        <f t="shared" si="4"/>
        <v>301153.14765754173</v>
      </c>
      <c r="G66" s="34">
        <f>+'A) Base RI'!U68</f>
        <v>66</v>
      </c>
      <c r="H66" s="292">
        <f t="shared" si="5"/>
        <v>0.97298878647676024</v>
      </c>
      <c r="I66" s="58">
        <f t="shared" si="6"/>
        <v>293018.63568296813</v>
      </c>
    </row>
    <row r="67" spans="1:9" x14ac:dyDescent="0.25">
      <c r="A67" s="50">
        <f>'A) Base RI'!A69</f>
        <v>5498</v>
      </c>
      <c r="B67" s="33" t="str">
        <f>'A) Base RI'!B69</f>
        <v>La Sarraz</v>
      </c>
      <c r="C67" s="99">
        <f>'A) Base RI'!V69</f>
        <v>2609</v>
      </c>
      <c r="D67" s="115">
        <f>'D) Ecrêtage'!E67</f>
        <v>27.180743696063743</v>
      </c>
      <c r="E67" s="35">
        <f t="shared" si="3"/>
        <v>18.040140882058211</v>
      </c>
      <c r="F67" s="291">
        <f t="shared" si="4"/>
        <v>838729.08514218568</v>
      </c>
      <c r="G67" s="34">
        <f>+'A) Base RI'!U69</f>
        <v>66</v>
      </c>
      <c r="H67" s="292">
        <f t="shared" si="5"/>
        <v>0.97298878647676024</v>
      </c>
      <c r="I67" s="58">
        <f t="shared" si="6"/>
        <v>816073.99473525851</v>
      </c>
    </row>
    <row r="68" spans="1:9" x14ac:dyDescent="0.25">
      <c r="A68" s="50">
        <f>'A) Base RI'!A70</f>
        <v>5499</v>
      </c>
      <c r="B68" s="33" t="str">
        <f>'A) Base RI'!B70</f>
        <v>Senarclens</v>
      </c>
      <c r="C68" s="99">
        <f>'A) Base RI'!V70</f>
        <v>505</v>
      </c>
      <c r="D68" s="115">
        <f>'D) Ecrêtage'!E68</f>
        <v>39.911085061790857</v>
      </c>
      <c r="E68" s="35">
        <f t="shared" si="3"/>
        <v>5.3097995163310969</v>
      </c>
      <c r="F68" s="291">
        <f t="shared" si="4"/>
        <v>49593.394737544542</v>
      </c>
      <c r="G68" s="34">
        <f>+'A) Base RI'!U70</f>
        <v>68.5</v>
      </c>
      <c r="H68" s="292">
        <f t="shared" si="5"/>
        <v>1.0098444223281526</v>
      </c>
      <c r="I68" s="58">
        <f t="shared" si="6"/>
        <v>50081.61306002771</v>
      </c>
    </row>
    <row r="69" spans="1:9" x14ac:dyDescent="0.25">
      <c r="A69" s="50">
        <f>'A) Base RI'!A71</f>
        <v>5500</v>
      </c>
      <c r="B69" s="33" t="str">
        <f>'A) Base RI'!B71</f>
        <v>Sévery</v>
      </c>
      <c r="C69" s="99">
        <f>'A) Base RI'!V71</f>
        <v>233</v>
      </c>
      <c r="D69" s="115">
        <f>'D) Ecrêtage'!E69</f>
        <v>38.329668478779205</v>
      </c>
      <c r="E69" s="35">
        <f t="shared" si="3"/>
        <v>6.8912160993427491</v>
      </c>
      <c r="F69" s="291">
        <f t="shared" si="4"/>
        <v>32514.480360723926</v>
      </c>
      <c r="G69" s="34">
        <f>+'A) Base RI'!U71</f>
        <v>75</v>
      </c>
      <c r="H69" s="292">
        <f t="shared" si="5"/>
        <v>1.1056690755417729</v>
      </c>
      <c r="I69" s="58">
        <f t="shared" si="6"/>
        <v>35950.25544216275</v>
      </c>
    </row>
    <row r="70" spans="1:9" x14ac:dyDescent="0.25">
      <c r="A70" s="50">
        <f>'A) Base RI'!A72</f>
        <v>5501</v>
      </c>
      <c r="B70" s="33" t="str">
        <f>'A) Base RI'!B72</f>
        <v>Sullens</v>
      </c>
      <c r="C70" s="99">
        <f>'A) Base RI'!V72</f>
        <v>1005</v>
      </c>
      <c r="D70" s="115">
        <f>'D) Ecrêtage'!E70</f>
        <v>34.055659132906897</v>
      </c>
      <c r="E70" s="35">
        <f t="shared" ref="E70:E133" si="7">IF($D$314-D70&lt;0,0,$D$314-D70)</f>
        <v>11.165225445215057</v>
      </c>
      <c r="F70" s="291">
        <f t="shared" ref="F70:F133" si="8">(C70*E70*G70)*$E$4</f>
        <v>212077.87471913741</v>
      </c>
      <c r="G70" s="34">
        <f>+'A) Base RI'!U72</f>
        <v>70</v>
      </c>
      <c r="H70" s="292">
        <f t="shared" ref="H70:H133" si="9">G70/$G$314</f>
        <v>1.0319578038389881</v>
      </c>
      <c r="I70" s="58">
        <f t="shared" ref="I70:I133" si="10">F70*H70</f>
        <v>218855.4178380011</v>
      </c>
    </row>
    <row r="71" spans="1:9" x14ac:dyDescent="0.25">
      <c r="A71" s="50">
        <f>'A) Base RI'!A73</f>
        <v>5503</v>
      </c>
      <c r="B71" s="33" t="str">
        <f>'A) Base RI'!B73</f>
        <v>Vufflens-la-Ville</v>
      </c>
      <c r="C71" s="99">
        <f>'A) Base RI'!V73</f>
        <v>1284</v>
      </c>
      <c r="D71" s="115">
        <f>'D) Ecrêtage'!E71</f>
        <v>50.246255792687656</v>
      </c>
      <c r="E71" s="35">
        <f t="shared" si="7"/>
        <v>0</v>
      </c>
      <c r="F71" s="291">
        <f t="shared" si="8"/>
        <v>0</v>
      </c>
      <c r="G71" s="34">
        <f>+'A) Base RI'!U73</f>
        <v>67</v>
      </c>
      <c r="H71" s="292">
        <f t="shared" si="9"/>
        <v>0.98773104081731722</v>
      </c>
      <c r="I71" s="58">
        <f t="shared" si="10"/>
        <v>0</v>
      </c>
    </row>
    <row r="72" spans="1:9" x14ac:dyDescent="0.25">
      <c r="A72" s="50">
        <f>'A) Base RI'!A74</f>
        <v>5511</v>
      </c>
      <c r="B72" s="33" t="str">
        <f>'A) Base RI'!B74</f>
        <v>Assens</v>
      </c>
      <c r="C72" s="99">
        <f>'A) Base RI'!V74</f>
        <v>1070</v>
      </c>
      <c r="D72" s="115">
        <f>'D) Ecrêtage'!E72</f>
        <v>44.936188651535375</v>
      </c>
      <c r="E72" s="35">
        <f t="shared" si="7"/>
        <v>0.28469592658657916</v>
      </c>
      <c r="F72" s="291">
        <f t="shared" si="8"/>
        <v>5757.4057233603908</v>
      </c>
      <c r="G72" s="34">
        <f>+'A) Base RI'!U74</f>
        <v>70</v>
      </c>
      <c r="H72" s="292">
        <f t="shared" si="9"/>
        <v>1.0319578038389881</v>
      </c>
      <c r="I72" s="58">
        <f t="shared" si="10"/>
        <v>5941.3997660890091</v>
      </c>
    </row>
    <row r="73" spans="1:9" x14ac:dyDescent="0.25">
      <c r="A73" s="50">
        <f>'A) Base RI'!A75</f>
        <v>5512</v>
      </c>
      <c r="B73" s="33" t="str">
        <f>'A) Base RI'!B75</f>
        <v>Bercher</v>
      </c>
      <c r="C73" s="99">
        <f>'A) Base RI'!V75</f>
        <v>1221</v>
      </c>
      <c r="D73" s="115">
        <f>'D) Ecrêtage'!E73</f>
        <v>30.736890181320558</v>
      </c>
      <c r="E73" s="35">
        <f t="shared" si="7"/>
        <v>14.483994396801396</v>
      </c>
      <c r="F73" s="291">
        <f t="shared" si="8"/>
        <v>377220.13619068783</v>
      </c>
      <c r="G73" s="34">
        <f>+'A) Base RI'!U75</f>
        <v>79</v>
      </c>
      <c r="H73" s="292">
        <f t="shared" si="9"/>
        <v>1.1646380929040008</v>
      </c>
      <c r="I73" s="58">
        <f t="shared" si="10"/>
        <v>439324.94001811009</v>
      </c>
    </row>
    <row r="74" spans="1:9" x14ac:dyDescent="0.25">
      <c r="A74" s="50">
        <f>'A) Base RI'!A76</f>
        <v>5513</v>
      </c>
      <c r="B74" s="33" t="str">
        <f>'A) Base RI'!B76</f>
        <v>Bioley-Orjulaz</v>
      </c>
      <c r="C74" s="99">
        <f>'A) Base RI'!V76</f>
        <v>499</v>
      </c>
      <c r="D74" s="115">
        <f>'D) Ecrêtage'!E74</f>
        <v>42.175544029234935</v>
      </c>
      <c r="E74" s="35">
        <f t="shared" si="7"/>
        <v>3.0453405488870189</v>
      </c>
      <c r="F74" s="291">
        <f t="shared" si="8"/>
        <v>27900.313786305269</v>
      </c>
      <c r="G74" s="34">
        <f>+'A) Base RI'!U76</f>
        <v>68</v>
      </c>
      <c r="H74" s="292">
        <f t="shared" si="9"/>
        <v>1.0024732951578741</v>
      </c>
      <c r="I74" s="58">
        <f t="shared" si="10"/>
        <v>27969.319497296106</v>
      </c>
    </row>
    <row r="75" spans="1:9" x14ac:dyDescent="0.25">
      <c r="A75" s="50">
        <f>'A) Base RI'!A77</f>
        <v>5514</v>
      </c>
      <c r="B75" s="33" t="str">
        <f>'A) Base RI'!B77</f>
        <v>Bottens</v>
      </c>
      <c r="C75" s="99">
        <f>'A) Base RI'!V77</f>
        <v>1263</v>
      </c>
      <c r="D75" s="115">
        <f>'D) Ecrêtage'!E75</f>
        <v>32.393478719864142</v>
      </c>
      <c r="E75" s="35">
        <f t="shared" si="7"/>
        <v>12.827405858257812</v>
      </c>
      <c r="F75" s="291">
        <f t="shared" si="8"/>
        <v>301824.88334899029</v>
      </c>
      <c r="G75" s="34">
        <f>+'A) Base RI'!U77</f>
        <v>69</v>
      </c>
      <c r="H75" s="292">
        <f t="shared" si="9"/>
        <v>1.0172155494984312</v>
      </c>
      <c r="I75" s="58">
        <f t="shared" si="10"/>
        <v>307020.96456814307</v>
      </c>
    </row>
    <row r="76" spans="1:9" x14ac:dyDescent="0.25">
      <c r="A76" s="50">
        <f>'A) Base RI'!A78</f>
        <v>5515</v>
      </c>
      <c r="B76" s="33" t="str">
        <f>'A) Base RI'!B78</f>
        <v>Bretigny-sur-Morrens</v>
      </c>
      <c r="C76" s="99">
        <f>'A) Base RI'!V78</f>
        <v>825</v>
      </c>
      <c r="D76" s="115">
        <f>'D) Ecrêtage'!E76</f>
        <v>33.567788293897884</v>
      </c>
      <c r="E76" s="35">
        <f t="shared" si="7"/>
        <v>11.65309628422407</v>
      </c>
      <c r="F76" s="291">
        <f t="shared" si="8"/>
        <v>189488.08540369655</v>
      </c>
      <c r="G76" s="34">
        <f>+'A) Base RI'!U78</f>
        <v>73</v>
      </c>
      <c r="H76" s="292">
        <f t="shared" si="9"/>
        <v>1.0761845668606591</v>
      </c>
      <c r="I76" s="58">
        <f t="shared" si="10"/>
        <v>203924.15311543274</v>
      </c>
    </row>
    <row r="77" spans="1:9" x14ac:dyDescent="0.25">
      <c r="A77" s="50">
        <f>'A) Base RI'!A79</f>
        <v>5516</v>
      </c>
      <c r="B77" s="33" t="str">
        <f>'A) Base RI'!B79</f>
        <v>Cugy</v>
      </c>
      <c r="C77" s="99">
        <f>'A) Base RI'!V79</f>
        <v>2744</v>
      </c>
      <c r="D77" s="115">
        <f>'D) Ecrêtage'!E77</f>
        <v>40.094162432319862</v>
      </c>
      <c r="E77" s="35">
        <f t="shared" si="7"/>
        <v>5.1267221458020913</v>
      </c>
      <c r="F77" s="291">
        <f t="shared" si="8"/>
        <v>265880.01323672978</v>
      </c>
      <c r="G77" s="34">
        <f>+'A) Base RI'!U79</f>
        <v>70</v>
      </c>
      <c r="H77" s="292">
        <f t="shared" si="9"/>
        <v>1.0319578038389881</v>
      </c>
      <c r="I77" s="58">
        <f t="shared" si="10"/>
        <v>274376.95454445673</v>
      </c>
    </row>
    <row r="78" spans="1:9" x14ac:dyDescent="0.25">
      <c r="A78" s="50">
        <f>'A) Base RI'!A80</f>
        <v>5518</v>
      </c>
      <c r="B78" s="33" t="str">
        <f>'A) Base RI'!B80</f>
        <v>Echallens</v>
      </c>
      <c r="C78" s="99">
        <f>'A) Base RI'!V80</f>
        <v>5728</v>
      </c>
      <c r="D78" s="115">
        <f>'D) Ecrêtage'!E78</f>
        <v>32.515913223803416</v>
      </c>
      <c r="E78" s="35">
        <f t="shared" si="7"/>
        <v>12.704971354318538</v>
      </c>
      <c r="F78" s="291">
        <f t="shared" si="8"/>
        <v>1454026.036832381</v>
      </c>
      <c r="G78" s="34">
        <f>+'A) Base RI'!U80</f>
        <v>74</v>
      </c>
      <c r="H78" s="292">
        <f t="shared" si="9"/>
        <v>1.090926821201216</v>
      </c>
      <c r="I78" s="58">
        <f t="shared" si="10"/>
        <v>1586236.0023053517</v>
      </c>
    </row>
    <row r="79" spans="1:9" x14ac:dyDescent="0.25">
      <c r="A79" s="50">
        <f>'A) Base RI'!A81</f>
        <v>5520</v>
      </c>
      <c r="B79" s="33" t="str">
        <f>'A) Base RI'!B81</f>
        <v>Essertines-sur-Yverdon</v>
      </c>
      <c r="C79" s="99">
        <f>'A) Base RI'!V81</f>
        <v>981</v>
      </c>
      <c r="D79" s="115">
        <f>'D) Ecrêtage'!E79</f>
        <v>32.646504405624682</v>
      </c>
      <c r="E79" s="35">
        <f t="shared" si="7"/>
        <v>12.574380172497271</v>
      </c>
      <c r="F79" s="291">
        <f t="shared" si="8"/>
        <v>243132.05356912274</v>
      </c>
      <c r="G79" s="34">
        <f>+'A) Base RI'!U81</f>
        <v>73</v>
      </c>
      <c r="H79" s="292">
        <f t="shared" si="9"/>
        <v>1.0761845668606591</v>
      </c>
      <c r="I79" s="58">
        <f t="shared" si="10"/>
        <v>261654.96376022891</v>
      </c>
    </row>
    <row r="80" spans="1:9" x14ac:dyDescent="0.25">
      <c r="A80" s="50">
        <f>'A) Base RI'!A82</f>
        <v>5521</v>
      </c>
      <c r="B80" s="33" t="str">
        <f>'A) Base RI'!B82</f>
        <v>Etagnières</v>
      </c>
      <c r="C80" s="99">
        <f>'A) Base RI'!V82</f>
        <v>1119</v>
      </c>
      <c r="D80" s="115">
        <f>'D) Ecrêtage'!E80</f>
        <v>36.58573799992655</v>
      </c>
      <c r="E80" s="35">
        <f t="shared" si="7"/>
        <v>8.6351465781954033</v>
      </c>
      <c r="F80" s="291">
        <f t="shared" si="8"/>
        <v>190452.38900392293</v>
      </c>
      <c r="G80" s="34">
        <f>+'A) Base RI'!U82</f>
        <v>73</v>
      </c>
      <c r="H80" s="292">
        <f t="shared" si="9"/>
        <v>1.0761845668606591</v>
      </c>
      <c r="I80" s="58">
        <f t="shared" si="10"/>
        <v>204961.92176776455</v>
      </c>
    </row>
    <row r="81" spans="1:9" x14ac:dyDescent="0.25">
      <c r="A81" s="50">
        <f>'A) Base RI'!A83</f>
        <v>5522</v>
      </c>
      <c r="B81" s="33" t="str">
        <f>'A) Base RI'!B83</f>
        <v>Fey</v>
      </c>
      <c r="C81" s="99">
        <f>'A) Base RI'!V83</f>
        <v>703</v>
      </c>
      <c r="D81" s="115">
        <f>'D) Ecrêtage'!E81</f>
        <v>28.756491038406828</v>
      </c>
      <c r="E81" s="35">
        <f t="shared" si="7"/>
        <v>16.464393539715125</v>
      </c>
      <c r="F81" s="291">
        <f t="shared" si="8"/>
        <v>234382.99033299959</v>
      </c>
      <c r="G81" s="34">
        <f>+'A) Base RI'!U83</f>
        <v>75</v>
      </c>
      <c r="H81" s="292">
        <f t="shared" si="9"/>
        <v>1.1056690755417729</v>
      </c>
      <c r="I81" s="58">
        <f t="shared" si="10"/>
        <v>259150.02424420393</v>
      </c>
    </row>
    <row r="82" spans="1:9" x14ac:dyDescent="0.25">
      <c r="A82" s="50">
        <f>'A) Base RI'!A84</f>
        <v>5523</v>
      </c>
      <c r="B82" s="33" t="str">
        <f>'A) Base RI'!B84</f>
        <v>Froideville</v>
      </c>
      <c r="C82" s="99">
        <f>'A) Base RI'!V84</f>
        <v>2561</v>
      </c>
      <c r="D82" s="115">
        <f>'D) Ecrêtage'!E82</f>
        <v>32.733758759941637</v>
      </c>
      <c r="E82" s="35">
        <f t="shared" si="7"/>
        <v>12.487125818180317</v>
      </c>
      <c r="F82" s="291">
        <f t="shared" si="8"/>
        <v>656219.93960178294</v>
      </c>
      <c r="G82" s="34">
        <f>+'A) Base RI'!U84</f>
        <v>76</v>
      </c>
      <c r="H82" s="292">
        <f t="shared" si="9"/>
        <v>1.1204113298823299</v>
      </c>
      <c r="I82" s="58">
        <f t="shared" si="10"/>
        <v>735236.25522453582</v>
      </c>
    </row>
    <row r="83" spans="1:9" x14ac:dyDescent="0.25">
      <c r="A83" s="50">
        <f>'A) Base RI'!A85</f>
        <v>5527</v>
      </c>
      <c r="B83" s="33" t="str">
        <f>'A) Base RI'!B85</f>
        <v>Morrens</v>
      </c>
      <c r="C83" s="99">
        <f>'A) Base RI'!V85</f>
        <v>1092</v>
      </c>
      <c r="D83" s="115">
        <f>'D) Ecrêtage'!E83</f>
        <v>36.324905716349377</v>
      </c>
      <c r="E83" s="35">
        <f t="shared" si="7"/>
        <v>8.8959788617725764</v>
      </c>
      <c r="F83" s="291">
        <f t="shared" si="8"/>
        <v>186225.21893995686</v>
      </c>
      <c r="G83" s="34">
        <f>+'A) Base RI'!U85</f>
        <v>71</v>
      </c>
      <c r="H83" s="292">
        <f t="shared" si="9"/>
        <v>1.0467000581795451</v>
      </c>
      <c r="I83" s="58">
        <f t="shared" si="10"/>
        <v>194921.94749895137</v>
      </c>
    </row>
    <row r="84" spans="1:9" x14ac:dyDescent="0.25">
      <c r="A84" s="50">
        <f>'A) Base RI'!A86</f>
        <v>5529</v>
      </c>
      <c r="B84" s="33" t="str">
        <f>'A) Base RI'!B86</f>
        <v>Oulens-sous-Echallens</v>
      </c>
      <c r="C84" s="99">
        <f>'A) Base RI'!V86</f>
        <v>577</v>
      </c>
      <c r="D84" s="115">
        <f>'D) Ecrêtage'!E84</f>
        <v>35.050888275929417</v>
      </c>
      <c r="E84" s="35">
        <f t="shared" si="7"/>
        <v>10.169996302192537</v>
      </c>
      <c r="F84" s="291">
        <f t="shared" si="8"/>
        <v>112491.24439821886</v>
      </c>
      <c r="G84" s="34">
        <f>+'A) Base RI'!U86</f>
        <v>71</v>
      </c>
      <c r="H84" s="292">
        <f t="shared" si="9"/>
        <v>1.0467000581795451</v>
      </c>
      <c r="I84" s="58">
        <f t="shared" si="10"/>
        <v>117744.5920563051</v>
      </c>
    </row>
    <row r="85" spans="1:9" x14ac:dyDescent="0.25">
      <c r="A85" s="50">
        <f>'A) Base RI'!A87</f>
        <v>5530</v>
      </c>
      <c r="B85" s="33" t="str">
        <f>'A) Base RI'!B87</f>
        <v>Pailly</v>
      </c>
      <c r="C85" s="99">
        <f>'A) Base RI'!V87</f>
        <v>543</v>
      </c>
      <c r="D85" s="115">
        <f>'D) Ecrêtage'!E85</f>
        <v>29.972644329590683</v>
      </c>
      <c r="E85" s="35">
        <f t="shared" si="7"/>
        <v>15.248240248531271</v>
      </c>
      <c r="F85" s="291">
        <f t="shared" si="8"/>
        <v>173254.69896988064</v>
      </c>
      <c r="G85" s="34">
        <f>+'A) Base RI'!U87</f>
        <v>77.5</v>
      </c>
      <c r="H85" s="292">
        <f t="shared" si="9"/>
        <v>1.1425247113931654</v>
      </c>
      <c r="I85" s="58">
        <f t="shared" si="10"/>
        <v>197947.77493807263</v>
      </c>
    </row>
    <row r="86" spans="1:9" x14ac:dyDescent="0.25">
      <c r="A86" s="50">
        <f>'A) Base RI'!A88</f>
        <v>5531</v>
      </c>
      <c r="B86" s="33" t="str">
        <f>'A) Base RI'!B88</f>
        <v>Penthéréaz</v>
      </c>
      <c r="C86" s="99">
        <f>'A) Base RI'!V88</f>
        <v>418</v>
      </c>
      <c r="D86" s="115">
        <f>'D) Ecrêtage'!E86</f>
        <v>31.377050975340453</v>
      </c>
      <c r="E86" s="35">
        <f t="shared" si="7"/>
        <v>13.843833602781501</v>
      </c>
      <c r="F86" s="291">
        <f t="shared" si="8"/>
        <v>121868.3747119738</v>
      </c>
      <c r="G86" s="34">
        <f>+'A) Base RI'!U88</f>
        <v>78</v>
      </c>
      <c r="H86" s="292">
        <f t="shared" si="9"/>
        <v>1.1498958385634439</v>
      </c>
      <c r="I86" s="58">
        <f t="shared" si="10"/>
        <v>140135.93693378911</v>
      </c>
    </row>
    <row r="87" spans="1:9" x14ac:dyDescent="0.25">
      <c r="A87" s="50">
        <f>'A) Base RI'!A89</f>
        <v>5533</v>
      </c>
      <c r="B87" s="33" t="str">
        <f>'A) Base RI'!B89</f>
        <v>Poliez-Pittet</v>
      </c>
      <c r="C87" s="99">
        <f>'A) Base RI'!V89</f>
        <v>849</v>
      </c>
      <c r="D87" s="115">
        <f>'D) Ecrêtage'!E87</f>
        <v>32.401943960583289</v>
      </c>
      <c r="E87" s="35">
        <f t="shared" si="7"/>
        <v>12.818940617538665</v>
      </c>
      <c r="F87" s="291">
        <f t="shared" si="8"/>
        <v>208632.48880084557</v>
      </c>
      <c r="G87" s="34">
        <f>+'A) Base RI'!U89</f>
        <v>71</v>
      </c>
      <c r="H87" s="292">
        <f t="shared" si="9"/>
        <v>1.0467000581795451</v>
      </c>
      <c r="I87" s="58">
        <f t="shared" si="10"/>
        <v>218375.63816598838</v>
      </c>
    </row>
    <row r="88" spans="1:9" x14ac:dyDescent="0.25">
      <c r="A88" s="50">
        <f>'A) Base RI'!A90</f>
        <v>5534</v>
      </c>
      <c r="B88" s="33" t="str">
        <f>'A) Base RI'!B90</f>
        <v>Rueyres</v>
      </c>
      <c r="C88" s="99">
        <f>'A) Base RI'!V90</f>
        <v>257</v>
      </c>
      <c r="D88" s="115">
        <f>'D) Ecrêtage'!E88</f>
        <v>36.118764458184536</v>
      </c>
      <c r="E88" s="35">
        <f t="shared" si="7"/>
        <v>9.1021201199374175</v>
      </c>
      <c r="F88" s="291">
        <f t="shared" si="8"/>
        <v>46106.516403939386</v>
      </c>
      <c r="G88" s="34">
        <f>+'A) Base RI'!U90</f>
        <v>73</v>
      </c>
      <c r="H88" s="292">
        <f t="shared" si="9"/>
        <v>1.0761845668606591</v>
      </c>
      <c r="I88" s="58">
        <f t="shared" si="10"/>
        <v>49619.121385627383</v>
      </c>
    </row>
    <row r="89" spans="1:9" x14ac:dyDescent="0.25">
      <c r="A89" s="50">
        <f>'A) Base RI'!A91</f>
        <v>5535</v>
      </c>
      <c r="B89" s="33" t="str">
        <f>'A) Base RI'!B91</f>
        <v>Saint-Barthélemy</v>
      </c>
      <c r="C89" s="99">
        <f>'A) Base RI'!V91</f>
        <v>769</v>
      </c>
      <c r="D89" s="115">
        <f>'D) Ecrêtage'!E89</f>
        <v>30.177071420127341</v>
      </c>
      <c r="E89" s="35">
        <f t="shared" si="7"/>
        <v>15.043813157994613</v>
      </c>
      <c r="F89" s="291">
        <f t="shared" si="8"/>
        <v>240513.11330157044</v>
      </c>
      <c r="G89" s="34">
        <f>+'A) Base RI'!U91</f>
        <v>77</v>
      </c>
      <c r="H89" s="292">
        <f t="shared" si="9"/>
        <v>1.1351535842228868</v>
      </c>
      <c r="I89" s="58">
        <f t="shared" si="10"/>
        <v>273019.32261688297</v>
      </c>
    </row>
    <row r="90" spans="1:9" x14ac:dyDescent="0.25">
      <c r="A90" s="50">
        <f>'A) Base RI'!A92</f>
        <v>5537</v>
      </c>
      <c r="B90" s="33" t="str">
        <f>'A) Base RI'!B92</f>
        <v>Villars-le-Terroir</v>
      </c>
      <c r="C90" s="99">
        <f>'A) Base RI'!V92</f>
        <v>1150</v>
      </c>
      <c r="D90" s="115">
        <f>'D) Ecrêtage'!E90</f>
        <v>29.134456938653962</v>
      </c>
      <c r="E90" s="35">
        <f t="shared" si="7"/>
        <v>16.086427639467992</v>
      </c>
      <c r="F90" s="291">
        <f t="shared" si="8"/>
        <v>364623.01209000126</v>
      </c>
      <c r="G90" s="34">
        <f>+'A) Base RI'!U92</f>
        <v>73</v>
      </c>
      <c r="H90" s="292">
        <f t="shared" si="9"/>
        <v>1.0761845668606591</v>
      </c>
      <c r="I90" s="58">
        <f t="shared" si="10"/>
        <v>392401.65833350684</v>
      </c>
    </row>
    <row r="91" spans="1:9" x14ac:dyDescent="0.25">
      <c r="A91" s="50">
        <f>'A) Base RI'!A93</f>
        <v>5539</v>
      </c>
      <c r="B91" s="33" t="str">
        <f>'A) Base RI'!B93</f>
        <v>Vuarrens</v>
      </c>
      <c r="C91" s="99">
        <f>'A) Base RI'!V93</f>
        <v>1003</v>
      </c>
      <c r="D91" s="115">
        <f>'D) Ecrêtage'!E91</f>
        <v>26.845894549684282</v>
      </c>
      <c r="E91" s="35">
        <f t="shared" si="7"/>
        <v>18.374990028437672</v>
      </c>
      <c r="F91" s="291">
        <f t="shared" si="8"/>
        <v>373209.82872009045</v>
      </c>
      <c r="G91" s="34">
        <f>+'A) Base RI'!U93</f>
        <v>75</v>
      </c>
      <c r="H91" s="292">
        <f t="shared" si="9"/>
        <v>1.1056690755417729</v>
      </c>
      <c r="I91" s="58">
        <f t="shared" si="10"/>
        <v>412646.56630404579</v>
      </c>
    </row>
    <row r="92" spans="1:9" x14ac:dyDescent="0.25">
      <c r="A92" s="50">
        <f>'A) Base RI'!A94</f>
        <v>5540</v>
      </c>
      <c r="B92" s="33" t="str">
        <f>'A) Base RI'!B94</f>
        <v>Montilliez</v>
      </c>
      <c r="C92" s="99">
        <f>'A) Base RI'!V94</f>
        <v>1731</v>
      </c>
      <c r="D92" s="115">
        <f>'D) Ecrêtage'!E92</f>
        <v>32.919497439380457</v>
      </c>
      <c r="E92" s="35">
        <f t="shared" si="7"/>
        <v>12.301387138741497</v>
      </c>
      <c r="F92" s="291">
        <f t="shared" si="8"/>
        <v>425448.14872048743</v>
      </c>
      <c r="G92" s="34">
        <f>+'A) Base RI'!U94</f>
        <v>74</v>
      </c>
      <c r="H92" s="292">
        <f t="shared" si="9"/>
        <v>1.090926821201216</v>
      </c>
      <c r="I92" s="58">
        <f t="shared" si="10"/>
        <v>464132.79646958353</v>
      </c>
    </row>
    <row r="93" spans="1:9" x14ac:dyDescent="0.25">
      <c r="A93" s="50">
        <f>'A) Base RI'!A95</f>
        <v>5541</v>
      </c>
      <c r="B93" s="33" t="str">
        <f>'A) Base RI'!B95</f>
        <v>Goumoëns</v>
      </c>
      <c r="C93" s="99">
        <f>'A) Base RI'!V95</f>
        <v>1110</v>
      </c>
      <c r="D93" s="115">
        <f>'D) Ecrêtage'!E93</f>
        <v>34.728174447174453</v>
      </c>
      <c r="E93" s="35">
        <f t="shared" si="7"/>
        <v>10.492710130947501</v>
      </c>
      <c r="F93" s="291">
        <f t="shared" si="8"/>
        <v>242139.22242086241</v>
      </c>
      <c r="G93" s="34">
        <f>+'A) Base RI'!U95</f>
        <v>77</v>
      </c>
      <c r="H93" s="292">
        <f t="shared" si="9"/>
        <v>1.1351535842228868</v>
      </c>
      <c r="I93" s="58">
        <f t="shared" si="10"/>
        <v>274865.20621198474</v>
      </c>
    </row>
    <row r="94" spans="1:9" x14ac:dyDescent="0.25">
      <c r="A94" s="50">
        <f>'A) Base RI'!A96</f>
        <v>5551</v>
      </c>
      <c r="B94" s="33" t="str">
        <f>'A) Base RI'!B96</f>
        <v>Bonvillars</v>
      </c>
      <c r="C94" s="99">
        <f>'A) Base RI'!V96</f>
        <v>495</v>
      </c>
      <c r="D94" s="115">
        <f>'D) Ecrêtage'!E94</f>
        <v>37.929961065197432</v>
      </c>
      <c r="E94" s="35">
        <f t="shared" si="7"/>
        <v>7.2909235129245218</v>
      </c>
      <c r="F94" s="291">
        <f t="shared" si="8"/>
        <v>53593.756012629936</v>
      </c>
      <c r="G94" s="34">
        <f>+'A) Base RI'!U96</f>
        <v>55</v>
      </c>
      <c r="H94" s="292">
        <f t="shared" si="9"/>
        <v>0.81082398873063355</v>
      </c>
      <c r="I94" s="58">
        <f t="shared" si="10"/>
        <v>43455.103021216979</v>
      </c>
    </row>
    <row r="95" spans="1:9" x14ac:dyDescent="0.25">
      <c r="A95" s="50">
        <f>'A) Base RI'!A97</f>
        <v>5552</v>
      </c>
      <c r="B95" s="33" t="str">
        <f>'A) Base RI'!B97</f>
        <v>Bullet</v>
      </c>
      <c r="C95" s="99">
        <f>'A) Base RI'!V97</f>
        <v>644</v>
      </c>
      <c r="D95" s="115">
        <f>'D) Ecrêtage'!E95</f>
        <v>27.622544143744456</v>
      </c>
      <c r="E95" s="35">
        <f t="shared" si="7"/>
        <v>17.598340434377498</v>
      </c>
      <c r="F95" s="291">
        <f t="shared" si="8"/>
        <v>214199.96043106916</v>
      </c>
      <c r="G95" s="34">
        <f>+'A) Base RI'!U97</f>
        <v>70</v>
      </c>
      <c r="H95" s="292">
        <f t="shared" si="9"/>
        <v>1.0319578038389881</v>
      </c>
      <c r="I95" s="58">
        <f t="shared" si="10"/>
        <v>221045.32074884427</v>
      </c>
    </row>
    <row r="96" spans="1:9" x14ac:dyDescent="0.25">
      <c r="A96" s="50">
        <f>'A) Base RI'!A98</f>
        <v>5553</v>
      </c>
      <c r="B96" s="33" t="str">
        <f>'A) Base RI'!B98</f>
        <v>Champagne</v>
      </c>
      <c r="C96" s="99">
        <f>'A) Base RI'!V98</f>
        <v>1027</v>
      </c>
      <c r="D96" s="115">
        <f>'D) Ecrêtage'!E96</f>
        <v>33.16492727136545</v>
      </c>
      <c r="E96" s="35">
        <f t="shared" si="7"/>
        <v>12.055957306756504</v>
      </c>
      <c r="F96" s="291">
        <f t="shared" si="8"/>
        <v>217294.76610338321</v>
      </c>
      <c r="G96" s="34">
        <f>+'A) Base RI'!U98</f>
        <v>65</v>
      </c>
      <c r="H96" s="292">
        <f t="shared" si="9"/>
        <v>0.95824653213620326</v>
      </c>
      <c r="I96" s="58">
        <f t="shared" si="10"/>
        <v>208221.95606991436</v>
      </c>
    </row>
    <row r="97" spans="1:9" x14ac:dyDescent="0.25">
      <c r="A97" s="50">
        <f>'A) Base RI'!A99</f>
        <v>5554</v>
      </c>
      <c r="B97" s="33" t="str">
        <f>'A) Base RI'!B99</f>
        <v>Concise</v>
      </c>
      <c r="C97" s="99">
        <f>'A) Base RI'!V99</f>
        <v>969</v>
      </c>
      <c r="D97" s="115">
        <f>'D) Ecrêtage'!E97</f>
        <v>32.715194496044035</v>
      </c>
      <c r="E97" s="35">
        <f t="shared" si="7"/>
        <v>12.505690082077919</v>
      </c>
      <c r="F97" s="291">
        <f t="shared" si="8"/>
        <v>245389.77721305346</v>
      </c>
      <c r="G97" s="34">
        <f>+'A) Base RI'!U99</f>
        <v>75</v>
      </c>
      <c r="H97" s="292">
        <f t="shared" si="9"/>
        <v>1.1056690755417729</v>
      </c>
      <c r="I97" s="58">
        <f t="shared" si="10"/>
        <v>271319.88811855839</v>
      </c>
    </row>
    <row r="98" spans="1:9" x14ac:dyDescent="0.25">
      <c r="A98" s="50">
        <f>'A) Base RI'!A100</f>
        <v>5555</v>
      </c>
      <c r="B98" s="33" t="str">
        <f>'A) Base RI'!B100</f>
        <v>Corcelles-près-Concise</v>
      </c>
      <c r="C98" s="99">
        <f>'A) Base RI'!V100</f>
        <v>377</v>
      </c>
      <c r="D98" s="115">
        <f>'D) Ecrêtage'!E98</f>
        <v>36.158822804199197</v>
      </c>
      <c r="E98" s="35">
        <f t="shared" si="7"/>
        <v>9.0620617739227569</v>
      </c>
      <c r="F98" s="291">
        <f t="shared" si="8"/>
        <v>65492.33602569942</v>
      </c>
      <c r="G98" s="34">
        <f>+'A) Base RI'!U100</f>
        <v>71</v>
      </c>
      <c r="H98" s="292">
        <f t="shared" si="9"/>
        <v>1.0467000581795451</v>
      </c>
      <c r="I98" s="58">
        <f t="shared" si="10"/>
        <v>68550.8319284139</v>
      </c>
    </row>
    <row r="99" spans="1:9" x14ac:dyDescent="0.25">
      <c r="A99" s="50">
        <f>'A) Base RI'!A101</f>
        <v>5556</v>
      </c>
      <c r="B99" s="33" t="str">
        <f>'A) Base RI'!B101</f>
        <v>Fiez</v>
      </c>
      <c r="C99" s="99">
        <f>'A) Base RI'!V101</f>
        <v>425</v>
      </c>
      <c r="D99" s="115">
        <f>'D) Ecrêtage'!E99</f>
        <v>30.373196476271666</v>
      </c>
      <c r="E99" s="35">
        <f t="shared" si="7"/>
        <v>14.847688101850288</v>
      </c>
      <c r="F99" s="291">
        <f t="shared" si="8"/>
        <v>117560.28246842512</v>
      </c>
      <c r="G99" s="34">
        <f>+'A) Base RI'!U101</f>
        <v>69</v>
      </c>
      <c r="H99" s="292">
        <f t="shared" si="9"/>
        <v>1.0172155494984312</v>
      </c>
      <c r="I99" s="58">
        <f t="shared" si="10"/>
        <v>119584.14733030985</v>
      </c>
    </row>
    <row r="100" spans="1:9" x14ac:dyDescent="0.25">
      <c r="A100" s="50">
        <f>'A) Base RI'!A102</f>
        <v>5557</v>
      </c>
      <c r="B100" s="33" t="str">
        <f>'A) Base RI'!B102</f>
        <v>Fontaines-sur-Grandson</v>
      </c>
      <c r="C100" s="99">
        <f>'A) Base RI'!V102</f>
        <v>210</v>
      </c>
      <c r="D100" s="115">
        <f>'D) Ecrêtage'!E100</f>
        <v>21.102866804692898</v>
      </c>
      <c r="E100" s="35">
        <f t="shared" si="7"/>
        <v>24.118017773429056</v>
      </c>
      <c r="F100" s="291">
        <f t="shared" si="8"/>
        <v>94356.920934986498</v>
      </c>
      <c r="G100" s="34">
        <f>+'A) Base RI'!U102</f>
        <v>69</v>
      </c>
      <c r="H100" s="292">
        <f t="shared" si="9"/>
        <v>1.0172155494984312</v>
      </c>
      <c r="I100" s="58">
        <f t="shared" si="10"/>
        <v>95981.327177862317</v>
      </c>
    </row>
    <row r="101" spans="1:9" x14ac:dyDescent="0.25">
      <c r="A101" s="50">
        <f>'A) Base RI'!A103</f>
        <v>5559</v>
      </c>
      <c r="B101" s="33" t="str">
        <f>'A) Base RI'!B103</f>
        <v>Giez</v>
      </c>
      <c r="C101" s="99">
        <f>'A) Base RI'!V103</f>
        <v>421</v>
      </c>
      <c r="D101" s="115">
        <f>'D) Ecrêtage'!E101</f>
        <v>37.505192902900745</v>
      </c>
      <c r="E101" s="35">
        <f t="shared" si="7"/>
        <v>7.7156916752212084</v>
      </c>
      <c r="F101" s="291">
        <f t="shared" si="8"/>
        <v>57884.816399678057</v>
      </c>
      <c r="G101" s="34">
        <f>+'A) Base RI'!U103</f>
        <v>66</v>
      </c>
      <c r="H101" s="292">
        <f t="shared" si="9"/>
        <v>0.97298878647676024</v>
      </c>
      <c r="I101" s="58">
        <f t="shared" si="10"/>
        <v>56321.277264152821</v>
      </c>
    </row>
    <row r="102" spans="1:9" x14ac:dyDescent="0.25">
      <c r="A102" s="50">
        <f>'A) Base RI'!A104</f>
        <v>5560</v>
      </c>
      <c r="B102" s="33" t="str">
        <f>'A) Base RI'!B104</f>
        <v>Grandevent</v>
      </c>
      <c r="C102" s="99">
        <f>'A) Base RI'!V104</f>
        <v>229</v>
      </c>
      <c r="D102" s="115">
        <f>'D) Ecrêtage'!E102</f>
        <v>27.350732083226301</v>
      </c>
      <c r="E102" s="35">
        <f t="shared" si="7"/>
        <v>17.870152494895652</v>
      </c>
      <c r="F102" s="291">
        <f t="shared" si="8"/>
        <v>75133.98395563908</v>
      </c>
      <c r="G102" s="34">
        <f>+'A) Base RI'!U104</f>
        <v>68</v>
      </c>
      <c r="H102" s="292">
        <f t="shared" si="9"/>
        <v>1.0024732951578741</v>
      </c>
      <c r="I102" s="58">
        <f t="shared" si="10"/>
        <v>75319.812474348349</v>
      </c>
    </row>
    <row r="103" spans="1:9" x14ac:dyDescent="0.25">
      <c r="A103" s="50">
        <f>'A) Base RI'!A105</f>
        <v>5561</v>
      </c>
      <c r="B103" s="33" t="str">
        <f>'A) Base RI'!B105</f>
        <v>Grandson</v>
      </c>
      <c r="C103" s="99">
        <f>'A) Base RI'!V105</f>
        <v>3284</v>
      </c>
      <c r="D103" s="115">
        <f>'D) Ecrêtage'!E103</f>
        <v>35.218760966654308</v>
      </c>
      <c r="E103" s="35">
        <f t="shared" si="7"/>
        <v>10.002123611467646</v>
      </c>
      <c r="F103" s="291">
        <f t="shared" si="8"/>
        <v>611939.1245033131</v>
      </c>
      <c r="G103" s="34">
        <f>+'A) Base RI'!U105</f>
        <v>69</v>
      </c>
      <c r="H103" s="292">
        <f t="shared" si="9"/>
        <v>1.0172155494984312</v>
      </c>
      <c r="I103" s="58">
        <f t="shared" si="10"/>
        <v>622473.99279122648</v>
      </c>
    </row>
    <row r="104" spans="1:9" x14ac:dyDescent="0.25">
      <c r="A104" s="50">
        <f>'A) Base RI'!A106</f>
        <v>5562</v>
      </c>
      <c r="B104" s="33" t="str">
        <f>'A) Base RI'!B106</f>
        <v>Mauborget</v>
      </c>
      <c r="C104" s="99">
        <f>'A) Base RI'!V106</f>
        <v>119</v>
      </c>
      <c r="D104" s="115">
        <f>'D) Ecrêtage'!E104</f>
        <v>49.603057022809132</v>
      </c>
      <c r="E104" s="35">
        <f t="shared" si="7"/>
        <v>0</v>
      </c>
      <c r="F104" s="291">
        <f t="shared" si="8"/>
        <v>0</v>
      </c>
      <c r="G104" s="34">
        <f>+'A) Base RI'!U106</f>
        <v>70</v>
      </c>
      <c r="H104" s="292">
        <f t="shared" si="9"/>
        <v>1.0319578038389881</v>
      </c>
      <c r="I104" s="58">
        <f t="shared" si="10"/>
        <v>0</v>
      </c>
    </row>
    <row r="105" spans="1:9" x14ac:dyDescent="0.25">
      <c r="A105" s="50">
        <f>'A) Base RI'!A107</f>
        <v>5563</v>
      </c>
      <c r="B105" s="33" t="str">
        <f>'A) Base RI'!B107</f>
        <v>Mutrux</v>
      </c>
      <c r="C105" s="99">
        <f>'A) Base RI'!V107</f>
        <v>163</v>
      </c>
      <c r="D105" s="115">
        <f>'D) Ecrêtage'!E105</f>
        <v>19.07531710366926</v>
      </c>
      <c r="E105" s="35">
        <f t="shared" si="7"/>
        <v>26.145567474452694</v>
      </c>
      <c r="F105" s="291">
        <f t="shared" si="8"/>
        <v>90327.314327227054</v>
      </c>
      <c r="G105" s="34">
        <f>+'A) Base RI'!U107</f>
        <v>78.5</v>
      </c>
      <c r="H105" s="292">
        <f t="shared" si="9"/>
        <v>1.1572669657337225</v>
      </c>
      <c r="I105" s="58">
        <f t="shared" si="10"/>
        <v>104532.81697434625</v>
      </c>
    </row>
    <row r="106" spans="1:9" x14ac:dyDescent="0.25">
      <c r="A106" s="50">
        <f>'A) Base RI'!A108</f>
        <v>5564</v>
      </c>
      <c r="B106" s="33" t="str">
        <f>'A) Base RI'!B108</f>
        <v>Novalles</v>
      </c>
      <c r="C106" s="99">
        <f>'A) Base RI'!V108</f>
        <v>101</v>
      </c>
      <c r="D106" s="115">
        <f>'D) Ecrêtage'!E106</f>
        <v>25.997919163626886</v>
      </c>
      <c r="E106" s="35">
        <f t="shared" si="7"/>
        <v>19.222965414495068</v>
      </c>
      <c r="F106" s="291">
        <f t="shared" si="8"/>
        <v>39839.980280849326</v>
      </c>
      <c r="G106" s="34">
        <f>+'A) Base RI'!U108</f>
        <v>76</v>
      </c>
      <c r="H106" s="292">
        <f t="shared" si="9"/>
        <v>1.1204113298823299</v>
      </c>
      <c r="I106" s="58">
        <f t="shared" si="10"/>
        <v>44637.165288952194</v>
      </c>
    </row>
    <row r="107" spans="1:9" x14ac:dyDescent="0.25">
      <c r="A107" s="50">
        <f>'A) Base RI'!A109</f>
        <v>5565</v>
      </c>
      <c r="B107" s="33" t="str">
        <f>'A) Base RI'!B109</f>
        <v>Onnens</v>
      </c>
      <c r="C107" s="99">
        <f>'A) Base RI'!V109</f>
        <v>477</v>
      </c>
      <c r="D107" s="115">
        <f>'D) Ecrêtage'!E107</f>
        <v>38.758587647153675</v>
      </c>
      <c r="E107" s="35">
        <f t="shared" si="7"/>
        <v>6.4622969309682787</v>
      </c>
      <c r="F107" s="291">
        <f t="shared" si="8"/>
        <v>54098.149413061306</v>
      </c>
      <c r="G107" s="34">
        <f>+'A) Base RI'!U109</f>
        <v>65</v>
      </c>
      <c r="H107" s="292">
        <f t="shared" si="9"/>
        <v>0.95824653213620326</v>
      </c>
      <c r="I107" s="58">
        <f t="shared" si="10"/>
        <v>51839.364070052179</v>
      </c>
    </row>
    <row r="108" spans="1:9" x14ac:dyDescent="0.25">
      <c r="A108" s="50">
        <f>'A) Base RI'!A110</f>
        <v>5566</v>
      </c>
      <c r="B108" s="33" t="str">
        <f>'A) Base RI'!B110</f>
        <v>Provence</v>
      </c>
      <c r="C108" s="99">
        <f>'A) Base RI'!V110</f>
        <v>388</v>
      </c>
      <c r="D108" s="115">
        <f>'D) Ecrêtage'!E108</f>
        <v>20.459304547961484</v>
      </c>
      <c r="E108" s="35">
        <f t="shared" si="7"/>
        <v>24.76158003016047</v>
      </c>
      <c r="F108" s="291">
        <f t="shared" si="8"/>
        <v>210115.87304072847</v>
      </c>
      <c r="G108" s="34">
        <f>+'A) Base RI'!U110</f>
        <v>81</v>
      </c>
      <c r="H108" s="292">
        <f t="shared" si="9"/>
        <v>1.1941226015851147</v>
      </c>
      <c r="I108" s="58">
        <f t="shared" si="10"/>
        <v>250904.11294972236</v>
      </c>
    </row>
    <row r="109" spans="1:9" x14ac:dyDescent="0.25">
      <c r="A109" s="50">
        <f>'A) Base RI'!A111</f>
        <v>5568</v>
      </c>
      <c r="B109" s="33" t="str">
        <f>'A) Base RI'!B111</f>
        <v>Sainte-Croix</v>
      </c>
      <c r="C109" s="99">
        <f>'A) Base RI'!V111</f>
        <v>4919</v>
      </c>
      <c r="D109" s="115">
        <f>'D) Ecrêtage'!E109</f>
        <v>20.256256236749628</v>
      </c>
      <c r="E109" s="35">
        <f t="shared" si="7"/>
        <v>24.964628341372325</v>
      </c>
      <c r="F109" s="291">
        <f t="shared" si="8"/>
        <v>2320939.0287318779</v>
      </c>
      <c r="G109" s="34">
        <f>+'A) Base RI'!U111</f>
        <v>70</v>
      </c>
      <c r="H109" s="292">
        <f t="shared" si="9"/>
        <v>1.0319578038389881</v>
      </c>
      <c r="I109" s="58">
        <f t="shared" si="10"/>
        <v>2395111.1429343428</v>
      </c>
    </row>
    <row r="110" spans="1:9" x14ac:dyDescent="0.25">
      <c r="A110" s="50">
        <f>'A) Base RI'!A112</f>
        <v>5571</v>
      </c>
      <c r="B110" s="33" t="str">
        <f>'A) Base RI'!B112</f>
        <v>Tévenon</v>
      </c>
      <c r="C110" s="99">
        <f>'A) Base RI'!V112</f>
        <v>843</v>
      </c>
      <c r="D110" s="115">
        <f>'D) Ecrêtage'!E110</f>
        <v>25.296120915191988</v>
      </c>
      <c r="E110" s="35">
        <f t="shared" si="7"/>
        <v>19.924763662929966</v>
      </c>
      <c r="F110" s="291">
        <f t="shared" si="8"/>
        <v>331060.50838432275</v>
      </c>
      <c r="G110" s="34">
        <f>+'A) Base RI'!U112</f>
        <v>73</v>
      </c>
      <c r="H110" s="292">
        <f t="shared" si="9"/>
        <v>1.0761845668606591</v>
      </c>
      <c r="I110" s="58">
        <f t="shared" si="10"/>
        <v>356282.20982025197</v>
      </c>
    </row>
    <row r="111" spans="1:9" x14ac:dyDescent="0.25">
      <c r="A111" s="50">
        <f>'A) Base RI'!A113</f>
        <v>5581</v>
      </c>
      <c r="B111" s="33" t="str">
        <f>'A) Base RI'!B113</f>
        <v>Belmont-sur-Lausanne</v>
      </c>
      <c r="C111" s="99">
        <f>'A) Base RI'!V113</f>
        <v>3662</v>
      </c>
      <c r="D111" s="115">
        <f>'D) Ecrêtage'!E111</f>
        <v>52.444550670768699</v>
      </c>
      <c r="E111" s="35">
        <f t="shared" si="7"/>
        <v>0</v>
      </c>
      <c r="F111" s="291">
        <f t="shared" si="8"/>
        <v>0</v>
      </c>
      <c r="G111" s="34">
        <f>+'A) Base RI'!U113</f>
        <v>69.5</v>
      </c>
      <c r="H111" s="292">
        <f t="shared" si="9"/>
        <v>1.0245866766687095</v>
      </c>
      <c r="I111" s="58">
        <f t="shared" si="10"/>
        <v>0</v>
      </c>
    </row>
    <row r="112" spans="1:9" x14ac:dyDescent="0.25">
      <c r="A112" s="50">
        <f>'A) Base RI'!A114</f>
        <v>5582</v>
      </c>
      <c r="B112" s="33" t="str">
        <f>'A) Base RI'!B114</f>
        <v>Cheseaux-sur-Lausanne</v>
      </c>
      <c r="C112" s="99">
        <f>'A) Base RI'!V114</f>
        <v>4357</v>
      </c>
      <c r="D112" s="115">
        <f>'D) Ecrêtage'!E112</f>
        <v>41.08392262393464</v>
      </c>
      <c r="E112" s="35">
        <f t="shared" si="7"/>
        <v>4.1369619541873135</v>
      </c>
      <c r="F112" s="291">
        <f t="shared" si="8"/>
        <v>362567.71015983785</v>
      </c>
      <c r="G112" s="34">
        <f>+'A) Base RI'!U114</f>
        <v>74.5</v>
      </c>
      <c r="H112" s="292">
        <f t="shared" si="9"/>
        <v>1.0982979483714945</v>
      </c>
      <c r="I112" s="58">
        <f t="shared" si="10"/>
        <v>398207.37221430056</v>
      </c>
    </row>
    <row r="113" spans="1:9" x14ac:dyDescent="0.25">
      <c r="A113" s="50">
        <f>'A) Base RI'!A115</f>
        <v>5583</v>
      </c>
      <c r="B113" s="33" t="str">
        <f>'A) Base RI'!B115</f>
        <v>Crissier</v>
      </c>
      <c r="C113" s="99">
        <f>'A) Base RI'!V115</f>
        <v>8008</v>
      </c>
      <c r="D113" s="115">
        <f>'D) Ecrêtage'!E113</f>
        <v>36.781393971413195</v>
      </c>
      <c r="E113" s="35">
        <f t="shared" si="7"/>
        <v>8.4394906067087589</v>
      </c>
      <c r="F113" s="291">
        <f t="shared" si="8"/>
        <v>1186089.3856630917</v>
      </c>
      <c r="G113" s="34">
        <f>+'A) Base RI'!U115</f>
        <v>65</v>
      </c>
      <c r="H113" s="292">
        <f t="shared" si="9"/>
        <v>0.95824653213620326</v>
      </c>
      <c r="I113" s="58">
        <f t="shared" si="10"/>
        <v>1136566.0406152173</v>
      </c>
    </row>
    <row r="114" spans="1:9" x14ac:dyDescent="0.25">
      <c r="A114" s="50">
        <f>'A) Base RI'!A116</f>
        <v>5584</v>
      </c>
      <c r="B114" s="33" t="str">
        <f>'A) Base RI'!B116</f>
        <v>Epalinges</v>
      </c>
      <c r="C114" s="99">
        <f>'A) Base RI'!V116</f>
        <v>9335</v>
      </c>
      <c r="D114" s="115">
        <f>'D) Ecrêtage'!E114</f>
        <v>44.391868676048112</v>
      </c>
      <c r="E114" s="35">
        <f t="shared" si="7"/>
        <v>0.82901590207384146</v>
      </c>
      <c r="F114" s="291">
        <f t="shared" si="8"/>
        <v>137906.5466052129</v>
      </c>
      <c r="G114" s="34">
        <f>+'A) Base RI'!U116</f>
        <v>66</v>
      </c>
      <c r="H114" s="292">
        <f t="shared" si="9"/>
        <v>0.97298878647676024</v>
      </c>
      <c r="I114" s="58">
        <f t="shared" si="10"/>
        <v>134181.52342860689</v>
      </c>
    </row>
    <row r="115" spans="1:9" x14ac:dyDescent="0.25">
      <c r="A115" s="50">
        <f>'A) Base RI'!A117</f>
        <v>5585</v>
      </c>
      <c r="B115" s="33" t="str">
        <f>'A) Base RI'!B117</f>
        <v>Jouxtens-Mézery</v>
      </c>
      <c r="C115" s="99">
        <f>'A) Base RI'!V117</f>
        <v>1469</v>
      </c>
      <c r="D115" s="115">
        <f>'D) Ecrêtage'!E115</f>
        <v>116.80508149556239</v>
      </c>
      <c r="E115" s="35">
        <f t="shared" si="7"/>
        <v>0</v>
      </c>
      <c r="F115" s="291">
        <f t="shared" si="8"/>
        <v>0</v>
      </c>
      <c r="G115" s="34">
        <f>+'A) Base RI'!U117</f>
        <v>53</v>
      </c>
      <c r="H115" s="292">
        <f t="shared" si="9"/>
        <v>0.78133948004951959</v>
      </c>
      <c r="I115" s="58">
        <f t="shared" si="10"/>
        <v>0</v>
      </c>
    </row>
    <row r="116" spans="1:9" x14ac:dyDescent="0.25">
      <c r="A116" s="50">
        <f>'A) Base RI'!A118</f>
        <v>5586</v>
      </c>
      <c r="B116" s="33" t="str">
        <f>'A) Base RI'!B118</f>
        <v>Lausanne</v>
      </c>
      <c r="C116" s="99">
        <f>'A) Base RI'!V118</f>
        <v>139624</v>
      </c>
      <c r="D116" s="115">
        <f>'D) Ecrêtage'!E116</f>
        <v>42.054446984015662</v>
      </c>
      <c r="E116" s="35">
        <f t="shared" si="7"/>
        <v>3.1664375941062914</v>
      </c>
      <c r="F116" s="291">
        <f t="shared" si="8"/>
        <v>9430220.8607004676</v>
      </c>
      <c r="G116" s="34">
        <f>+'A) Base RI'!U118</f>
        <v>79</v>
      </c>
      <c r="H116" s="292">
        <f t="shared" si="9"/>
        <v>1.1646380929040008</v>
      </c>
      <c r="I116" s="58">
        <f t="shared" si="10"/>
        <v>10982794.438869717</v>
      </c>
    </row>
    <row r="117" spans="1:9" x14ac:dyDescent="0.25">
      <c r="A117" s="50">
        <f>'A) Base RI'!A119</f>
        <v>5587</v>
      </c>
      <c r="B117" s="33" t="str">
        <f>'A) Base RI'!B119</f>
        <v>Le Mont-sur-Lausanne</v>
      </c>
      <c r="C117" s="99">
        <f>'A) Base RI'!V119</f>
        <v>8093</v>
      </c>
      <c r="D117" s="115">
        <f>'D) Ecrêtage'!E117</f>
        <v>51.395730425470575</v>
      </c>
      <c r="E117" s="35">
        <f t="shared" si="7"/>
        <v>0</v>
      </c>
      <c r="F117" s="291">
        <f t="shared" si="8"/>
        <v>0</v>
      </c>
      <c r="G117" s="34">
        <f>+'A) Base RI'!U119</f>
        <v>75</v>
      </c>
      <c r="H117" s="292">
        <f t="shared" si="9"/>
        <v>1.1056690755417729</v>
      </c>
      <c r="I117" s="58">
        <f t="shared" si="10"/>
        <v>0</v>
      </c>
    </row>
    <row r="118" spans="1:9" x14ac:dyDescent="0.25">
      <c r="A118" s="50">
        <f>'A) Base RI'!A120</f>
        <v>5588</v>
      </c>
      <c r="B118" s="33" t="str">
        <f>'A) Base RI'!B120</f>
        <v>Paudex</v>
      </c>
      <c r="C118" s="99">
        <f>'A) Base RI'!V120</f>
        <v>1480</v>
      </c>
      <c r="D118" s="115">
        <f>'D) Ecrêtage'!E118</f>
        <v>99.466370452333891</v>
      </c>
      <c r="E118" s="35">
        <f t="shared" si="7"/>
        <v>0</v>
      </c>
      <c r="F118" s="291">
        <f t="shared" si="8"/>
        <v>0</v>
      </c>
      <c r="G118" s="34">
        <f>+'A) Base RI'!U120</f>
        <v>61.5</v>
      </c>
      <c r="H118" s="292">
        <f t="shared" si="9"/>
        <v>0.90664864194425387</v>
      </c>
      <c r="I118" s="58">
        <f t="shared" si="10"/>
        <v>0</v>
      </c>
    </row>
    <row r="119" spans="1:9" x14ac:dyDescent="0.25">
      <c r="A119" s="50">
        <f>'A) Base RI'!A121</f>
        <v>5589</v>
      </c>
      <c r="B119" s="33" t="str">
        <f>'A) Base RI'!B121</f>
        <v>Prilly</v>
      </c>
      <c r="C119" s="99">
        <f>'A) Base RI'!V121</f>
        <v>12105</v>
      </c>
      <c r="D119" s="115">
        <f>'D) Ecrêtage'!E119</f>
        <v>32.817961656368453</v>
      </c>
      <c r="E119" s="35">
        <f t="shared" si="7"/>
        <v>12.4029229217535</v>
      </c>
      <c r="F119" s="291">
        <f t="shared" si="8"/>
        <v>2979476.3451515096</v>
      </c>
      <c r="G119" s="34">
        <f>+'A) Base RI'!U121</f>
        <v>73.5</v>
      </c>
      <c r="H119" s="292">
        <f t="shared" si="9"/>
        <v>1.0835556940309374</v>
      </c>
      <c r="I119" s="58">
        <f t="shared" si="10"/>
        <v>3228428.5590194049</v>
      </c>
    </row>
    <row r="120" spans="1:9" x14ac:dyDescent="0.25">
      <c r="A120" s="50">
        <f>'A) Base RI'!A122</f>
        <v>5590</v>
      </c>
      <c r="B120" s="33" t="str">
        <f>'A) Base RI'!B122</f>
        <v>Pully</v>
      </c>
      <c r="C120" s="99">
        <f>'A) Base RI'!V122</f>
        <v>18194</v>
      </c>
      <c r="D120" s="115">
        <f>'D) Ecrêtage'!E120</f>
        <v>78.932812568623518</v>
      </c>
      <c r="E120" s="35">
        <f t="shared" si="7"/>
        <v>0</v>
      </c>
      <c r="F120" s="291">
        <f t="shared" si="8"/>
        <v>0</v>
      </c>
      <c r="G120" s="34">
        <f>+'A) Base RI'!U122</f>
        <v>61</v>
      </c>
      <c r="H120" s="292">
        <f t="shared" si="9"/>
        <v>0.89927751477397533</v>
      </c>
      <c r="I120" s="58">
        <f t="shared" si="10"/>
        <v>0</v>
      </c>
    </row>
    <row r="121" spans="1:9" x14ac:dyDescent="0.25">
      <c r="A121" s="50">
        <f>'A) Base RI'!A123</f>
        <v>5591</v>
      </c>
      <c r="B121" s="33" t="str">
        <f>'A) Base RI'!B123</f>
        <v>Renens</v>
      </c>
      <c r="C121" s="99">
        <f>'A) Base RI'!V123</f>
        <v>21114</v>
      </c>
      <c r="D121" s="115">
        <f>'D) Ecrêtage'!E121</f>
        <v>24.922293987412498</v>
      </c>
      <c r="E121" s="35">
        <f t="shared" si="7"/>
        <v>20.298590590709455</v>
      </c>
      <c r="F121" s="291">
        <f t="shared" si="8"/>
        <v>9083847.242514817</v>
      </c>
      <c r="G121" s="34">
        <f>+'A) Base RI'!U123</f>
        <v>78.5</v>
      </c>
      <c r="H121" s="292">
        <f t="shared" si="9"/>
        <v>1.1572669657337225</v>
      </c>
      <c r="I121" s="58">
        <f t="shared" si="10"/>
        <v>10512436.335533764</v>
      </c>
    </row>
    <row r="122" spans="1:9" x14ac:dyDescent="0.25">
      <c r="A122" s="50">
        <f>'A) Base RI'!A124</f>
        <v>5592</v>
      </c>
      <c r="B122" s="33" t="str">
        <f>'A) Base RI'!B124</f>
        <v>Romanel-sur-Lausanne</v>
      </c>
      <c r="C122" s="99">
        <f>'A) Base RI'!V124</f>
        <v>3300</v>
      </c>
      <c r="D122" s="115">
        <f>'D) Ecrêtage'!E122</f>
        <v>33.78743649350649</v>
      </c>
      <c r="E122" s="35">
        <f t="shared" si="7"/>
        <v>11.433448084615463</v>
      </c>
      <c r="F122" s="291">
        <f t="shared" si="8"/>
        <v>713104.15703746653</v>
      </c>
      <c r="G122" s="34">
        <f>+'A) Base RI'!U124</f>
        <v>70</v>
      </c>
      <c r="H122" s="292">
        <f t="shared" si="9"/>
        <v>1.0319578038389881</v>
      </c>
      <c r="I122" s="58">
        <f t="shared" si="10"/>
        <v>735893.39980483684</v>
      </c>
    </row>
    <row r="123" spans="1:9" x14ac:dyDescent="0.25">
      <c r="A123" s="50">
        <f>'A) Base RI'!A125</f>
        <v>5601</v>
      </c>
      <c r="B123" s="33" t="str">
        <f>'A) Base RI'!B125</f>
        <v>Chexbres</v>
      </c>
      <c r="C123" s="99">
        <f>'A) Base RI'!V125</f>
        <v>2250</v>
      </c>
      <c r="D123" s="115">
        <f>'D) Ecrêtage'!E123</f>
        <v>51.925720138888892</v>
      </c>
      <c r="E123" s="35">
        <f t="shared" si="7"/>
        <v>0</v>
      </c>
      <c r="F123" s="291">
        <f t="shared" si="8"/>
        <v>0</v>
      </c>
      <c r="G123" s="34">
        <f>+'A) Base RI'!U125</f>
        <v>64</v>
      </c>
      <c r="H123" s="292">
        <f t="shared" si="9"/>
        <v>0.94350427779564627</v>
      </c>
      <c r="I123" s="58">
        <f t="shared" si="10"/>
        <v>0</v>
      </c>
    </row>
    <row r="124" spans="1:9" x14ac:dyDescent="0.25">
      <c r="A124" s="50">
        <f>'A) Base RI'!A126</f>
        <v>5604</v>
      </c>
      <c r="B124" s="33" t="str">
        <f>'A) Base RI'!B126</f>
        <v>Forel (Lavaux)</v>
      </c>
      <c r="C124" s="99">
        <f>'A) Base RI'!V126</f>
        <v>2084</v>
      </c>
      <c r="D124" s="115">
        <f>'D) Ecrêtage'!E124</f>
        <v>33.178639847013656</v>
      </c>
      <c r="E124" s="35">
        <f t="shared" si="7"/>
        <v>12.042244731108298</v>
      </c>
      <c r="F124" s="291">
        <f t="shared" si="8"/>
        <v>460763.25804040121</v>
      </c>
      <c r="G124" s="34">
        <f>+'A) Base RI'!U126</f>
        <v>68</v>
      </c>
      <c r="H124" s="292">
        <f t="shared" si="9"/>
        <v>1.0024732951578741</v>
      </c>
      <c r="I124" s="58">
        <f t="shared" si="10"/>
        <v>461902.86157543882</v>
      </c>
    </row>
    <row r="125" spans="1:9" x14ac:dyDescent="0.25">
      <c r="A125" s="50">
        <f>'A) Base RI'!A127</f>
        <v>5606</v>
      </c>
      <c r="B125" s="33" t="str">
        <f>'A) Base RI'!B127</f>
        <v>Lutry</v>
      </c>
      <c r="C125" s="99">
        <f>'A) Base RI'!V127</f>
        <v>10001</v>
      </c>
      <c r="D125" s="115">
        <f>'D) Ecrêtage'!E125</f>
        <v>81.923045085452856</v>
      </c>
      <c r="E125" s="35">
        <f t="shared" si="7"/>
        <v>0</v>
      </c>
      <c r="F125" s="291">
        <f t="shared" si="8"/>
        <v>0</v>
      </c>
      <c r="G125" s="34">
        <f>+'A) Base RI'!U127</f>
        <v>55.5</v>
      </c>
      <c r="H125" s="292">
        <f t="shared" si="9"/>
        <v>0.81819511590091198</v>
      </c>
      <c r="I125" s="58">
        <f t="shared" si="10"/>
        <v>0</v>
      </c>
    </row>
    <row r="126" spans="1:9" x14ac:dyDescent="0.25">
      <c r="A126" s="50">
        <f>'A) Base RI'!A128</f>
        <v>5607</v>
      </c>
      <c r="B126" s="33" t="str">
        <f>'A) Base RI'!B128</f>
        <v>Puidoux</v>
      </c>
      <c r="C126" s="99">
        <f>'A) Base RI'!V128</f>
        <v>2904</v>
      </c>
      <c r="D126" s="115">
        <f>'D) Ecrêtage'!E126</f>
        <v>36.077129119398386</v>
      </c>
      <c r="E126" s="35">
        <f t="shared" si="7"/>
        <v>9.1437554587235681</v>
      </c>
      <c r="F126" s="291">
        <f t="shared" si="8"/>
        <v>501860.5046053183</v>
      </c>
      <c r="G126" s="34">
        <f>+'A) Base RI'!U128</f>
        <v>70</v>
      </c>
      <c r="H126" s="292">
        <f t="shared" si="9"/>
        <v>1.0319578038389881</v>
      </c>
      <c r="I126" s="58">
        <f t="shared" si="10"/>
        <v>517898.8641660306</v>
      </c>
    </row>
    <row r="127" spans="1:9" x14ac:dyDescent="0.25">
      <c r="A127" s="50">
        <f>'A) Base RI'!A129</f>
        <v>5609</v>
      </c>
      <c r="B127" s="33" t="str">
        <f>'A) Base RI'!B129</f>
        <v>Rivaz</v>
      </c>
      <c r="C127" s="99">
        <f>'A) Base RI'!V129</f>
        <v>351</v>
      </c>
      <c r="D127" s="115">
        <f>'D) Ecrêtage'!E127</f>
        <v>44.302678511339941</v>
      </c>
      <c r="E127" s="35">
        <f t="shared" si="7"/>
        <v>0.91820606678201244</v>
      </c>
      <c r="F127" s="291">
        <f t="shared" si="8"/>
        <v>5525.667698257138</v>
      </c>
      <c r="G127" s="34">
        <f>+'A) Base RI'!U129</f>
        <v>63.5</v>
      </c>
      <c r="H127" s="292">
        <f t="shared" si="9"/>
        <v>0.93613315062536773</v>
      </c>
      <c r="I127" s="58">
        <f t="shared" si="10"/>
        <v>5172.7607116782783</v>
      </c>
    </row>
    <row r="128" spans="1:9" x14ac:dyDescent="0.25">
      <c r="A128" s="50">
        <f>'A) Base RI'!A130</f>
        <v>5610</v>
      </c>
      <c r="B128" s="33" t="str">
        <f>'A) Base RI'!B130</f>
        <v>St-Saphorin (Lavaux)</v>
      </c>
      <c r="C128" s="99">
        <f>'A) Base RI'!V130</f>
        <v>389</v>
      </c>
      <c r="D128" s="115">
        <f>'D) Ecrêtage'!E128</f>
        <v>39.448577293481179</v>
      </c>
      <c r="E128" s="35">
        <f t="shared" si="7"/>
        <v>5.7723072846407746</v>
      </c>
      <c r="F128" s="291">
        <f t="shared" si="8"/>
        <v>40619.784085089974</v>
      </c>
      <c r="G128" s="34">
        <f>+'A) Base RI'!U130</f>
        <v>67</v>
      </c>
      <c r="H128" s="292">
        <f t="shared" si="9"/>
        <v>0.98773104081731722</v>
      </c>
      <c r="I128" s="58">
        <f t="shared" si="10"/>
        <v>40121.421612140621</v>
      </c>
    </row>
    <row r="129" spans="1:9" x14ac:dyDescent="0.25">
      <c r="A129" s="50">
        <f>'A) Base RI'!A131</f>
        <v>5611</v>
      </c>
      <c r="B129" s="33" t="str">
        <f>'A) Base RI'!B131</f>
        <v>Savigny</v>
      </c>
      <c r="C129" s="99">
        <f>'A) Base RI'!V131</f>
        <v>3352</v>
      </c>
      <c r="D129" s="115">
        <f>'D) Ecrêtage'!E129</f>
        <v>39.374336015415125</v>
      </c>
      <c r="E129" s="35">
        <f t="shared" si="7"/>
        <v>5.846548562706829</v>
      </c>
      <c r="F129" s="291">
        <f t="shared" si="8"/>
        <v>365103.86147226096</v>
      </c>
      <c r="G129" s="34">
        <f>+'A) Base RI'!U131</f>
        <v>69</v>
      </c>
      <c r="H129" s="292">
        <f t="shared" si="9"/>
        <v>1.0172155494984312</v>
      </c>
      <c r="I129" s="58">
        <f t="shared" si="10"/>
        <v>371389.32507150504</v>
      </c>
    </row>
    <row r="130" spans="1:9" x14ac:dyDescent="0.25">
      <c r="A130" s="50">
        <f>'A) Base RI'!A132</f>
        <v>5613</v>
      </c>
      <c r="B130" s="33" t="str">
        <f>'A) Base RI'!B132</f>
        <v>Bourg-en-Lavaux</v>
      </c>
      <c r="C130" s="99">
        <f>'A) Base RI'!V132</f>
        <v>5288</v>
      </c>
      <c r="D130" s="115">
        <f>'D) Ecrêtage'!E130</f>
        <v>62.371358586923272</v>
      </c>
      <c r="E130" s="35">
        <f t="shared" si="7"/>
        <v>0</v>
      </c>
      <c r="F130" s="291">
        <f t="shared" si="8"/>
        <v>0</v>
      </c>
      <c r="G130" s="34">
        <f>+'A) Base RI'!U132</f>
        <v>61</v>
      </c>
      <c r="H130" s="292">
        <f t="shared" si="9"/>
        <v>0.89927751477397533</v>
      </c>
      <c r="I130" s="58">
        <f t="shared" si="10"/>
        <v>0</v>
      </c>
    </row>
    <row r="131" spans="1:9" x14ac:dyDescent="0.25">
      <c r="A131" s="50">
        <f>'A) Base RI'!A133</f>
        <v>5621</v>
      </c>
      <c r="B131" s="33" t="str">
        <f>'A) Base RI'!B133</f>
        <v>Aclens</v>
      </c>
      <c r="C131" s="99">
        <f>'A) Base RI'!V133</f>
        <v>545</v>
      </c>
      <c r="D131" s="115">
        <f>'D) Ecrêtage'!E131</f>
        <v>54.590925905996926</v>
      </c>
      <c r="E131" s="35">
        <f t="shared" si="7"/>
        <v>0</v>
      </c>
      <c r="F131" s="291">
        <f t="shared" si="8"/>
        <v>0</v>
      </c>
      <c r="G131" s="34">
        <f>+'A) Base RI'!U133</f>
        <v>62</v>
      </c>
      <c r="H131" s="292">
        <f t="shared" si="9"/>
        <v>0.91401976911453231</v>
      </c>
      <c r="I131" s="58">
        <f t="shared" si="10"/>
        <v>0</v>
      </c>
    </row>
    <row r="132" spans="1:9" x14ac:dyDescent="0.25">
      <c r="A132" s="50">
        <f>'A) Base RI'!A134</f>
        <v>5622</v>
      </c>
      <c r="B132" s="33" t="str">
        <f>'A) Base RI'!B134</f>
        <v>Bremblens</v>
      </c>
      <c r="C132" s="99">
        <f>'A) Base RI'!V134</f>
        <v>547</v>
      </c>
      <c r="D132" s="115">
        <f>'D) Ecrêtage'!E132</f>
        <v>54.964470112459146</v>
      </c>
      <c r="E132" s="35">
        <f t="shared" si="7"/>
        <v>0</v>
      </c>
      <c r="F132" s="291">
        <f t="shared" si="8"/>
        <v>0</v>
      </c>
      <c r="G132" s="34">
        <f>+'A) Base RI'!U134</f>
        <v>66</v>
      </c>
      <c r="H132" s="292">
        <f t="shared" si="9"/>
        <v>0.97298878647676024</v>
      </c>
      <c r="I132" s="58">
        <f t="shared" si="10"/>
        <v>0</v>
      </c>
    </row>
    <row r="133" spans="1:9" x14ac:dyDescent="0.25">
      <c r="A133" s="50">
        <f>'A) Base RI'!A135</f>
        <v>5623</v>
      </c>
      <c r="B133" s="33" t="str">
        <f>'A) Base RI'!B135</f>
        <v>Buchillon</v>
      </c>
      <c r="C133" s="99">
        <f>'A) Base RI'!V135</f>
        <v>638</v>
      </c>
      <c r="D133" s="115">
        <f>'D) Ecrêtage'!E133</f>
        <v>117.11684598095462</v>
      </c>
      <c r="E133" s="35">
        <f t="shared" si="7"/>
        <v>0</v>
      </c>
      <c r="F133" s="291">
        <f t="shared" si="8"/>
        <v>0</v>
      </c>
      <c r="G133" s="34">
        <f>+'A) Base RI'!U135</f>
        <v>53</v>
      </c>
      <c r="H133" s="292">
        <f t="shared" si="9"/>
        <v>0.78133948004951959</v>
      </c>
      <c r="I133" s="58">
        <f t="shared" si="10"/>
        <v>0</v>
      </c>
    </row>
    <row r="134" spans="1:9" x14ac:dyDescent="0.25">
      <c r="A134" s="50">
        <f>'A) Base RI'!A136</f>
        <v>5624</v>
      </c>
      <c r="B134" s="33" t="str">
        <f>'A) Base RI'!B136</f>
        <v>Bussigny</v>
      </c>
      <c r="C134" s="99">
        <f>'A) Base RI'!V136</f>
        <v>8677</v>
      </c>
      <c r="D134" s="115">
        <f>'D) Ecrêtage'!E134</f>
        <v>36.113003379345479</v>
      </c>
      <c r="E134" s="35">
        <f t="shared" ref="E134:E197" si="11">IF($D$314-D134&lt;0,0,$D$314-D134)</f>
        <v>9.1078811987764752</v>
      </c>
      <c r="F134" s="291">
        <f t="shared" ref="F134:F197" si="12">(C134*E134*G134)*$E$4</f>
        <v>1322946.8856082554</v>
      </c>
      <c r="G134" s="34">
        <f>+'A) Base RI'!U136</f>
        <v>62</v>
      </c>
      <c r="H134" s="292">
        <f t="shared" ref="H134:H197" si="13">G134/$G$314</f>
        <v>0.91401976911453231</v>
      </c>
      <c r="I134" s="58">
        <f t="shared" ref="I134:I197" si="14">F134*H134</f>
        <v>1209199.6069344471</v>
      </c>
    </row>
    <row r="135" spans="1:9" x14ac:dyDescent="0.25">
      <c r="A135" s="50">
        <f>'A) Base RI'!A137</f>
        <v>5625</v>
      </c>
      <c r="B135" s="33" t="str">
        <f>'A) Base RI'!B137</f>
        <v>Bussy-Chardonney</v>
      </c>
      <c r="C135" s="99">
        <f>'A) Base RI'!V137</f>
        <v>371</v>
      </c>
      <c r="D135" s="115">
        <f>'D) Ecrêtage'!E135</f>
        <v>36.786241389637617</v>
      </c>
      <c r="E135" s="35">
        <f t="shared" si="11"/>
        <v>8.4346431884843369</v>
      </c>
      <c r="F135" s="291">
        <f t="shared" si="12"/>
        <v>65902.060238857142</v>
      </c>
      <c r="G135" s="34">
        <f>+'A) Base RI'!U137</f>
        <v>78</v>
      </c>
      <c r="H135" s="292">
        <f t="shared" si="13"/>
        <v>1.1498958385634439</v>
      </c>
      <c r="I135" s="58">
        <f t="shared" si="14"/>
        <v>75780.504821419221</v>
      </c>
    </row>
    <row r="136" spans="1:9" x14ac:dyDescent="0.25">
      <c r="A136" s="50">
        <f>'A) Base RI'!A138</f>
        <v>5627</v>
      </c>
      <c r="B136" s="33" t="str">
        <f>'A) Base RI'!B138</f>
        <v>Chavannes-près-Renens</v>
      </c>
      <c r="C136" s="99">
        <f>'A) Base RI'!V138</f>
        <v>7653</v>
      </c>
      <c r="D136" s="115">
        <f>'D) Ecrêtage'!E136</f>
        <v>21.918221518711665</v>
      </c>
      <c r="E136" s="35">
        <f t="shared" si="11"/>
        <v>23.302663059410289</v>
      </c>
      <c r="F136" s="291">
        <f t="shared" si="12"/>
        <v>3803891.5307969158</v>
      </c>
      <c r="G136" s="34">
        <f>+'A) Base RI'!U138</f>
        <v>79</v>
      </c>
      <c r="H136" s="292">
        <f t="shared" si="13"/>
        <v>1.1646380929040008</v>
      </c>
      <c r="I136" s="58">
        <f t="shared" si="14"/>
        <v>4430156.9780409997</v>
      </c>
    </row>
    <row r="137" spans="1:9" x14ac:dyDescent="0.25">
      <c r="A137" s="50">
        <f>'A) Base RI'!A139</f>
        <v>5628</v>
      </c>
      <c r="B137" s="33" t="str">
        <f>'A) Base RI'!B139</f>
        <v>Chigny</v>
      </c>
      <c r="C137" s="99">
        <f>'A) Base RI'!V139</f>
        <v>338</v>
      </c>
      <c r="D137" s="115">
        <f>'D) Ecrêtage'!E137</f>
        <v>57.731808074059934</v>
      </c>
      <c r="E137" s="35">
        <f t="shared" si="11"/>
        <v>0</v>
      </c>
      <c r="F137" s="291">
        <f t="shared" si="12"/>
        <v>0</v>
      </c>
      <c r="G137" s="34">
        <f>+'A) Base RI'!U139</f>
        <v>62</v>
      </c>
      <c r="H137" s="292">
        <f t="shared" si="13"/>
        <v>0.91401976911453231</v>
      </c>
      <c r="I137" s="58">
        <f t="shared" si="14"/>
        <v>0</v>
      </c>
    </row>
    <row r="138" spans="1:9" x14ac:dyDescent="0.25">
      <c r="A138" s="50">
        <f>'A) Base RI'!A140</f>
        <v>5629</v>
      </c>
      <c r="B138" s="33" t="str">
        <f>'A) Base RI'!B140</f>
        <v>Clarmont</v>
      </c>
      <c r="C138" s="99">
        <f>'A) Base RI'!V140</f>
        <v>189</v>
      </c>
      <c r="D138" s="115">
        <f>'D) Ecrêtage'!E138</f>
        <v>39.380384479717819</v>
      </c>
      <c r="E138" s="35">
        <f t="shared" si="11"/>
        <v>5.8405000984041351</v>
      </c>
      <c r="F138" s="291">
        <f t="shared" si="12"/>
        <v>22353.054001617224</v>
      </c>
      <c r="G138" s="34">
        <f>+'A) Base RI'!U140</f>
        <v>75</v>
      </c>
      <c r="H138" s="292">
        <f t="shared" si="13"/>
        <v>1.1056690755417729</v>
      </c>
      <c r="I138" s="58">
        <f t="shared" si="14"/>
        <v>24715.080553503441</v>
      </c>
    </row>
    <row r="139" spans="1:9" x14ac:dyDescent="0.25">
      <c r="A139" s="50">
        <f>'A) Base RI'!A141</f>
        <v>5631</v>
      </c>
      <c r="B139" s="33" t="str">
        <f>'A) Base RI'!B141</f>
        <v>Denens</v>
      </c>
      <c r="C139" s="99">
        <f>'A) Base RI'!V141</f>
        <v>774</v>
      </c>
      <c r="D139" s="115">
        <f>'D) Ecrêtage'!E139</f>
        <v>58.613998892580284</v>
      </c>
      <c r="E139" s="35">
        <f t="shared" si="11"/>
        <v>0</v>
      </c>
      <c r="F139" s="291">
        <f t="shared" si="12"/>
        <v>0</v>
      </c>
      <c r="G139" s="34">
        <f>+'A) Base RI'!U141</f>
        <v>70</v>
      </c>
      <c r="H139" s="292">
        <f t="shared" si="13"/>
        <v>1.0319578038389881</v>
      </c>
      <c r="I139" s="58">
        <f t="shared" si="14"/>
        <v>0</v>
      </c>
    </row>
    <row r="140" spans="1:9" x14ac:dyDescent="0.25">
      <c r="A140" s="50">
        <f>'A) Base RI'!A142</f>
        <v>5632</v>
      </c>
      <c r="B140" s="33" t="str">
        <f>'A) Base RI'!B142</f>
        <v>Denges</v>
      </c>
      <c r="C140" s="99">
        <f>'A) Base RI'!V142</f>
        <v>1614</v>
      </c>
      <c r="D140" s="115">
        <f>'D) Ecrêtage'!E140</f>
        <v>41.613714674021672</v>
      </c>
      <c r="E140" s="35">
        <f t="shared" si="11"/>
        <v>3.6071699041002816</v>
      </c>
      <c r="F140" s="291">
        <f t="shared" si="12"/>
        <v>97459.815050146892</v>
      </c>
      <c r="G140" s="34">
        <f>+'A) Base RI'!U142</f>
        <v>62</v>
      </c>
      <c r="H140" s="292">
        <f t="shared" si="13"/>
        <v>0.91401976911453231</v>
      </c>
      <c r="I140" s="58">
        <f t="shared" si="14"/>
        <v>89080.197650080285</v>
      </c>
    </row>
    <row r="141" spans="1:9" x14ac:dyDescent="0.25">
      <c r="A141" s="50">
        <f>'A) Base RI'!A143</f>
        <v>5633</v>
      </c>
      <c r="B141" s="33" t="str">
        <f>'A) Base RI'!B143</f>
        <v>Echandens</v>
      </c>
      <c r="C141" s="99">
        <f>'A) Base RI'!V143</f>
        <v>2757</v>
      </c>
      <c r="D141" s="115">
        <f>'D) Ecrêtage'!E141</f>
        <v>47.919775527396538</v>
      </c>
      <c r="E141" s="35">
        <f t="shared" si="11"/>
        <v>0</v>
      </c>
      <c r="F141" s="291">
        <f t="shared" si="12"/>
        <v>0</v>
      </c>
      <c r="G141" s="34">
        <f>+'A) Base RI'!U143</f>
        <v>62</v>
      </c>
      <c r="H141" s="292">
        <f t="shared" si="13"/>
        <v>0.91401976911453231</v>
      </c>
      <c r="I141" s="58">
        <f t="shared" si="14"/>
        <v>0</v>
      </c>
    </row>
    <row r="142" spans="1:9" x14ac:dyDescent="0.25">
      <c r="A142" s="50">
        <f>'A) Base RI'!A144</f>
        <v>5634</v>
      </c>
      <c r="B142" s="33" t="str">
        <f>'A) Base RI'!B144</f>
        <v>Echichens</v>
      </c>
      <c r="C142" s="99">
        <f>'A) Base RI'!V144</f>
        <v>2712</v>
      </c>
      <c r="D142" s="115">
        <f>'D) Ecrêtage'!E142</f>
        <v>46.717048412285259</v>
      </c>
      <c r="E142" s="35">
        <f t="shared" si="11"/>
        <v>0</v>
      </c>
      <c r="F142" s="291">
        <f t="shared" si="12"/>
        <v>0</v>
      </c>
      <c r="G142" s="34">
        <f>+'A) Base RI'!U144</f>
        <v>68</v>
      </c>
      <c r="H142" s="292">
        <f t="shared" si="13"/>
        <v>1.0024732951578741</v>
      </c>
      <c r="I142" s="58">
        <f t="shared" si="14"/>
        <v>0</v>
      </c>
    </row>
    <row r="143" spans="1:9" x14ac:dyDescent="0.25">
      <c r="A143" s="50">
        <f>'A) Base RI'!A145</f>
        <v>5635</v>
      </c>
      <c r="B143" s="33" t="str">
        <f>'A) Base RI'!B145</f>
        <v>Ecublens</v>
      </c>
      <c r="C143" s="99">
        <f>'A) Base RI'!V145</f>
        <v>12560</v>
      </c>
      <c r="D143" s="115">
        <f>'D) Ecrêtage'!E143</f>
        <v>35.713238341867353</v>
      </c>
      <c r="E143" s="35">
        <f t="shared" si="11"/>
        <v>9.507646236254601</v>
      </c>
      <c r="F143" s="291">
        <f t="shared" si="12"/>
        <v>1999024.4548159696</v>
      </c>
      <c r="G143" s="34">
        <f>+'A) Base RI'!U145</f>
        <v>62</v>
      </c>
      <c r="H143" s="292">
        <f t="shared" si="13"/>
        <v>0.91401976911453231</v>
      </c>
      <c r="I143" s="58">
        <f t="shared" si="14"/>
        <v>1827147.8706451964</v>
      </c>
    </row>
    <row r="144" spans="1:9" x14ac:dyDescent="0.25">
      <c r="A144" s="50">
        <f>'A) Base RI'!A146</f>
        <v>5636</v>
      </c>
      <c r="B144" s="33" t="str">
        <f>'A) Base RI'!B146</f>
        <v>Etoy</v>
      </c>
      <c r="C144" s="99">
        <f>'A) Base RI'!V146</f>
        <v>2908</v>
      </c>
      <c r="D144" s="115">
        <f>'D) Ecrêtage'!E144</f>
        <v>51.962045008681542</v>
      </c>
      <c r="E144" s="35">
        <f t="shared" si="11"/>
        <v>0</v>
      </c>
      <c r="F144" s="291">
        <f t="shared" si="12"/>
        <v>0</v>
      </c>
      <c r="G144" s="34">
        <f>+'A) Base RI'!U146</f>
        <v>61</v>
      </c>
      <c r="H144" s="292">
        <f t="shared" si="13"/>
        <v>0.89927751477397533</v>
      </c>
      <c r="I144" s="58">
        <f t="shared" si="14"/>
        <v>0</v>
      </c>
    </row>
    <row r="145" spans="1:9" x14ac:dyDescent="0.25">
      <c r="A145" s="50">
        <f>'A) Base RI'!A147</f>
        <v>5637</v>
      </c>
      <c r="B145" s="33" t="str">
        <f>'A) Base RI'!B147</f>
        <v>Lavigny</v>
      </c>
      <c r="C145" s="99">
        <f>'A) Base RI'!V147</f>
        <v>1007</v>
      </c>
      <c r="D145" s="115">
        <f>'D) Ecrêtage'!E145</f>
        <v>35.837224973285437</v>
      </c>
      <c r="E145" s="35">
        <f t="shared" si="11"/>
        <v>9.3836596048365166</v>
      </c>
      <c r="F145" s="291">
        <f t="shared" si="12"/>
        <v>190073.57914194555</v>
      </c>
      <c r="G145" s="34">
        <f>+'A) Base RI'!U147</f>
        <v>74.5</v>
      </c>
      <c r="H145" s="292">
        <f t="shared" si="13"/>
        <v>1.0982979483714945</v>
      </c>
      <c r="I145" s="58">
        <f t="shared" si="14"/>
        <v>208757.42201122569</v>
      </c>
    </row>
    <row r="146" spans="1:9" x14ac:dyDescent="0.25">
      <c r="A146" s="50">
        <f>'A) Base RI'!A148</f>
        <v>5638</v>
      </c>
      <c r="B146" s="33" t="str">
        <f>'A) Base RI'!B148</f>
        <v>Lonay</v>
      </c>
      <c r="C146" s="99">
        <f>'A) Base RI'!V148</f>
        <v>2492</v>
      </c>
      <c r="D146" s="115">
        <f>'D) Ecrêtage'!E146</f>
        <v>59.112060849263095</v>
      </c>
      <c r="E146" s="35">
        <f t="shared" si="11"/>
        <v>0</v>
      </c>
      <c r="F146" s="291">
        <f t="shared" si="12"/>
        <v>0</v>
      </c>
      <c r="G146" s="34">
        <f>+'A) Base RI'!U148</f>
        <v>55</v>
      </c>
      <c r="H146" s="292">
        <f t="shared" si="13"/>
        <v>0.81082398873063355</v>
      </c>
      <c r="I146" s="58">
        <f t="shared" si="14"/>
        <v>0</v>
      </c>
    </row>
    <row r="147" spans="1:9" x14ac:dyDescent="0.25">
      <c r="A147" s="50">
        <f>'A) Base RI'!A149</f>
        <v>5639</v>
      </c>
      <c r="B147" s="33" t="str">
        <f>'A) Base RI'!B149</f>
        <v>Lully</v>
      </c>
      <c r="C147" s="99">
        <f>'A) Base RI'!V149</f>
        <v>795</v>
      </c>
      <c r="D147" s="115">
        <f>'D) Ecrêtage'!E147</f>
        <v>64.427265903701411</v>
      </c>
      <c r="E147" s="35">
        <f t="shared" si="11"/>
        <v>0</v>
      </c>
      <c r="F147" s="291">
        <f t="shared" si="12"/>
        <v>0</v>
      </c>
      <c r="G147" s="34">
        <f>+'A) Base RI'!U149</f>
        <v>61</v>
      </c>
      <c r="H147" s="292">
        <f t="shared" si="13"/>
        <v>0.89927751477397533</v>
      </c>
      <c r="I147" s="58">
        <f t="shared" si="14"/>
        <v>0</v>
      </c>
    </row>
    <row r="148" spans="1:9" x14ac:dyDescent="0.25">
      <c r="A148" s="50">
        <f>'A) Base RI'!A150</f>
        <v>5640</v>
      </c>
      <c r="B148" s="33" t="str">
        <f>'A) Base RI'!B150</f>
        <v>Lussy-sur-Morges</v>
      </c>
      <c r="C148" s="99">
        <f>'A) Base RI'!V150</f>
        <v>667</v>
      </c>
      <c r="D148" s="115">
        <f>'D) Ecrêtage'!E148</f>
        <v>82.718761074008455</v>
      </c>
      <c r="E148" s="35">
        <f t="shared" si="11"/>
        <v>0</v>
      </c>
      <c r="F148" s="291">
        <f t="shared" si="12"/>
        <v>0</v>
      </c>
      <c r="G148" s="34">
        <f>+'A) Base RI'!U150</f>
        <v>66</v>
      </c>
      <c r="H148" s="292">
        <f t="shared" si="13"/>
        <v>0.97298878647676024</v>
      </c>
      <c r="I148" s="58">
        <f t="shared" si="14"/>
        <v>0</v>
      </c>
    </row>
    <row r="149" spans="1:9" x14ac:dyDescent="0.25">
      <c r="A149" s="50">
        <f>'A) Base RI'!A151</f>
        <v>5642</v>
      </c>
      <c r="B149" s="33" t="str">
        <f>'A) Base RI'!B151</f>
        <v>Morges</v>
      </c>
      <c r="C149" s="99">
        <f>'A) Base RI'!V151</f>
        <v>15839</v>
      </c>
      <c r="D149" s="115">
        <f>'D) Ecrêtage'!E149</f>
        <v>46.579129350402269</v>
      </c>
      <c r="E149" s="35">
        <f t="shared" si="11"/>
        <v>0</v>
      </c>
      <c r="F149" s="291">
        <f t="shared" si="12"/>
        <v>0</v>
      </c>
      <c r="G149" s="34">
        <f>+'A) Base RI'!U151</f>
        <v>68.5</v>
      </c>
      <c r="H149" s="292">
        <f t="shared" si="13"/>
        <v>1.0098444223281526</v>
      </c>
      <c r="I149" s="58">
        <f t="shared" si="14"/>
        <v>0</v>
      </c>
    </row>
    <row r="150" spans="1:9" x14ac:dyDescent="0.25">
      <c r="A150" s="50">
        <f>'A) Base RI'!A152</f>
        <v>5643</v>
      </c>
      <c r="B150" s="33" t="str">
        <f>'A) Base RI'!B152</f>
        <v>Préverenges</v>
      </c>
      <c r="C150" s="99">
        <f>'A) Base RI'!V152</f>
        <v>5291</v>
      </c>
      <c r="D150" s="115">
        <f>'D) Ecrêtage'!E150</f>
        <v>49.446086071867313</v>
      </c>
      <c r="E150" s="35">
        <f t="shared" si="11"/>
        <v>0</v>
      </c>
      <c r="F150" s="291">
        <f t="shared" si="12"/>
        <v>0</v>
      </c>
      <c r="G150" s="34">
        <f>+'A) Base RI'!U152</f>
        <v>64</v>
      </c>
      <c r="H150" s="292">
        <f t="shared" si="13"/>
        <v>0.94350427779564627</v>
      </c>
      <c r="I150" s="58">
        <f t="shared" si="14"/>
        <v>0</v>
      </c>
    </row>
    <row r="151" spans="1:9" x14ac:dyDescent="0.25">
      <c r="A151" s="50">
        <f>'A) Base RI'!A153</f>
        <v>5644</v>
      </c>
      <c r="B151" s="33" t="str">
        <f>'A) Base RI'!B153</f>
        <v>Reverolle</v>
      </c>
      <c r="C151" s="99">
        <f>'A) Base RI'!V153</f>
        <v>382</v>
      </c>
      <c r="D151" s="115">
        <f>'D) Ecrêtage'!E151</f>
        <v>39.153557798291537</v>
      </c>
      <c r="E151" s="35">
        <f t="shared" si="11"/>
        <v>6.0673267798304167</v>
      </c>
      <c r="F151" s="291">
        <f t="shared" si="12"/>
        <v>47559.590389449899</v>
      </c>
      <c r="G151" s="34">
        <f>+'A) Base RI'!U153</f>
        <v>76</v>
      </c>
      <c r="H151" s="292">
        <f t="shared" si="13"/>
        <v>1.1204113298823299</v>
      </c>
      <c r="I151" s="58">
        <f t="shared" si="14"/>
        <v>53286.303916902441</v>
      </c>
    </row>
    <row r="152" spans="1:9" x14ac:dyDescent="0.25">
      <c r="A152" s="50">
        <f>'A) Base RI'!A154</f>
        <v>5645</v>
      </c>
      <c r="B152" s="33" t="str">
        <f>'A) Base RI'!B154</f>
        <v>Romanel-sur-Morges</v>
      </c>
      <c r="C152" s="99">
        <f>'A) Base RI'!V154</f>
        <v>470</v>
      </c>
      <c r="D152" s="115">
        <f>'D) Ecrêtage'!E152</f>
        <v>55.361664798632219</v>
      </c>
      <c r="E152" s="35">
        <f t="shared" si="11"/>
        <v>0</v>
      </c>
      <c r="F152" s="291">
        <f t="shared" si="12"/>
        <v>0</v>
      </c>
      <c r="G152" s="34">
        <f>+'A) Base RI'!U154</f>
        <v>56</v>
      </c>
      <c r="H152" s="292">
        <f t="shared" si="13"/>
        <v>0.82556624307119053</v>
      </c>
      <c r="I152" s="58">
        <f t="shared" si="14"/>
        <v>0</v>
      </c>
    </row>
    <row r="153" spans="1:9" x14ac:dyDescent="0.25">
      <c r="A153" s="50">
        <f>'A) Base RI'!A155</f>
        <v>5646</v>
      </c>
      <c r="B153" s="33" t="str">
        <f>'A) Base RI'!B155</f>
        <v>Saint-Prex</v>
      </c>
      <c r="C153" s="99">
        <f>'A) Base RI'!V155</f>
        <v>5695</v>
      </c>
      <c r="D153" s="115">
        <f>'D) Ecrêtage'!E153</f>
        <v>99.171822300263358</v>
      </c>
      <c r="E153" s="35">
        <f t="shared" si="11"/>
        <v>0</v>
      </c>
      <c r="F153" s="291">
        <f t="shared" si="12"/>
        <v>0</v>
      </c>
      <c r="G153" s="34">
        <f>+'A) Base RI'!U155</f>
        <v>55</v>
      </c>
      <c r="H153" s="292">
        <f t="shared" si="13"/>
        <v>0.81082398873063355</v>
      </c>
      <c r="I153" s="58">
        <f t="shared" si="14"/>
        <v>0</v>
      </c>
    </row>
    <row r="154" spans="1:9" x14ac:dyDescent="0.25">
      <c r="A154" s="50">
        <f>'A) Base RI'!A156</f>
        <v>5648</v>
      </c>
      <c r="B154" s="33" t="str">
        <f>'A) Base RI'!B156</f>
        <v>Saint-Sulpice</v>
      </c>
      <c r="C154" s="99">
        <f>'A) Base RI'!V156</f>
        <v>4524</v>
      </c>
      <c r="D154" s="115">
        <f>'D) Ecrêtage'!E154</f>
        <v>79.782256490635817</v>
      </c>
      <c r="E154" s="35">
        <f t="shared" si="11"/>
        <v>0</v>
      </c>
      <c r="F154" s="291">
        <f t="shared" si="12"/>
        <v>0</v>
      </c>
      <c r="G154" s="34">
        <f>+'A) Base RI'!U156</f>
        <v>55</v>
      </c>
      <c r="H154" s="292">
        <f t="shared" si="13"/>
        <v>0.81082398873063355</v>
      </c>
      <c r="I154" s="58">
        <f t="shared" si="14"/>
        <v>0</v>
      </c>
    </row>
    <row r="155" spans="1:9" x14ac:dyDescent="0.25">
      <c r="A155" s="50">
        <f>'A) Base RI'!A157</f>
        <v>5649</v>
      </c>
      <c r="B155" s="33" t="str">
        <f>'A) Base RI'!B157</f>
        <v>Tolochenaz</v>
      </c>
      <c r="C155" s="99">
        <f>'A) Base RI'!V157</f>
        <v>1883</v>
      </c>
      <c r="D155" s="115">
        <f>'D) Ecrêtage'!E155</f>
        <v>93.524038236856057</v>
      </c>
      <c r="E155" s="35">
        <f t="shared" si="11"/>
        <v>0</v>
      </c>
      <c r="F155" s="291">
        <f t="shared" si="12"/>
        <v>0</v>
      </c>
      <c r="G155" s="34">
        <f>+'A) Base RI'!U157</f>
        <v>65</v>
      </c>
      <c r="H155" s="292">
        <f t="shared" si="13"/>
        <v>0.95824653213620326</v>
      </c>
      <c r="I155" s="58">
        <f t="shared" si="14"/>
        <v>0</v>
      </c>
    </row>
    <row r="156" spans="1:9" x14ac:dyDescent="0.25">
      <c r="A156" s="50">
        <f>'A) Base RI'!A158</f>
        <v>5650</v>
      </c>
      <c r="B156" s="33" t="str">
        <f>'A) Base RI'!B158</f>
        <v>Vaux-sur-Morges</v>
      </c>
      <c r="C156" s="99">
        <f>'A) Base RI'!V158</f>
        <v>199</v>
      </c>
      <c r="D156" s="115">
        <f>'D) Ecrêtage'!E156</f>
        <v>852.23858040201026</v>
      </c>
      <c r="E156" s="35">
        <f t="shared" si="11"/>
        <v>0</v>
      </c>
      <c r="F156" s="291">
        <f t="shared" si="12"/>
        <v>0</v>
      </c>
      <c r="G156" s="34">
        <f>+'A) Base RI'!U158</f>
        <v>56</v>
      </c>
      <c r="H156" s="292">
        <f t="shared" si="13"/>
        <v>0.82556624307119053</v>
      </c>
      <c r="I156" s="58">
        <f t="shared" si="14"/>
        <v>0</v>
      </c>
    </row>
    <row r="157" spans="1:9" x14ac:dyDescent="0.25">
      <c r="A157" s="50">
        <f>'A) Base RI'!A159</f>
        <v>5651</v>
      </c>
      <c r="B157" s="33" t="str">
        <f>'A) Base RI'!B159</f>
        <v>Villars-Sainte-Croix</v>
      </c>
      <c r="C157" s="99">
        <f>'A) Base RI'!V159</f>
        <v>935</v>
      </c>
      <c r="D157" s="115">
        <f>'D) Ecrêtage'!E157</f>
        <v>51.027035076588412</v>
      </c>
      <c r="E157" s="35">
        <f t="shared" si="11"/>
        <v>0</v>
      </c>
      <c r="F157" s="291">
        <f t="shared" si="12"/>
        <v>0</v>
      </c>
      <c r="G157" s="34">
        <f>+'A) Base RI'!U159</f>
        <v>59</v>
      </c>
      <c r="H157" s="292">
        <f t="shared" si="13"/>
        <v>0.86979300609286136</v>
      </c>
      <c r="I157" s="58">
        <f t="shared" si="14"/>
        <v>0</v>
      </c>
    </row>
    <row r="158" spans="1:9" x14ac:dyDescent="0.25">
      <c r="A158" s="50">
        <f>'A) Base RI'!A160</f>
        <v>5652</v>
      </c>
      <c r="B158" s="33" t="str">
        <f>'A) Base RI'!B160</f>
        <v>Villars-sous-Yens</v>
      </c>
      <c r="C158" s="99">
        <f>'A) Base RI'!V160</f>
        <v>614</v>
      </c>
      <c r="D158" s="115">
        <f>'D) Ecrêtage'!E158</f>
        <v>42.009910602034395</v>
      </c>
      <c r="E158" s="35">
        <f t="shared" si="11"/>
        <v>3.2109739760875584</v>
      </c>
      <c r="F158" s="291">
        <f t="shared" si="12"/>
        <v>40455.960197440458</v>
      </c>
      <c r="G158" s="34">
        <f>+'A) Base RI'!U160</f>
        <v>76</v>
      </c>
      <c r="H158" s="292">
        <f t="shared" si="13"/>
        <v>1.1204113298823299</v>
      </c>
      <c r="I158" s="58">
        <f t="shared" si="14"/>
        <v>45327.316166480872</v>
      </c>
    </row>
    <row r="159" spans="1:9" x14ac:dyDescent="0.25">
      <c r="A159" s="50">
        <f>'A) Base RI'!A161</f>
        <v>5653</v>
      </c>
      <c r="B159" s="33" t="str">
        <f>'A) Base RI'!B161</f>
        <v>Vufflens-le-Château</v>
      </c>
      <c r="C159" s="99">
        <f>'A) Base RI'!V161</f>
        <v>884</v>
      </c>
      <c r="D159" s="115">
        <f>'D) Ecrêtage'!E159</f>
        <v>65.729310777457826</v>
      </c>
      <c r="E159" s="35">
        <f t="shared" si="11"/>
        <v>0</v>
      </c>
      <c r="F159" s="291">
        <f t="shared" si="12"/>
        <v>0</v>
      </c>
      <c r="G159" s="34">
        <f>+'A) Base RI'!U161</f>
        <v>55</v>
      </c>
      <c r="H159" s="292">
        <f t="shared" si="13"/>
        <v>0.81082398873063355</v>
      </c>
      <c r="I159" s="58">
        <f t="shared" si="14"/>
        <v>0</v>
      </c>
    </row>
    <row r="160" spans="1:9" x14ac:dyDescent="0.25">
      <c r="A160" s="50">
        <f>'A) Base RI'!A162</f>
        <v>5654</v>
      </c>
      <c r="B160" s="33" t="str">
        <f>'A) Base RI'!B162</f>
        <v>Vullierens</v>
      </c>
      <c r="C160" s="99">
        <f>'A) Base RI'!V162</f>
        <v>499</v>
      </c>
      <c r="D160" s="115">
        <f>'D) Ecrêtage'!E160</f>
        <v>37.171100622297224</v>
      </c>
      <c r="E160" s="35">
        <f t="shared" si="11"/>
        <v>8.0497839558247293</v>
      </c>
      <c r="F160" s="291">
        <f t="shared" si="12"/>
        <v>82425.601819988195</v>
      </c>
      <c r="G160" s="34">
        <f>+'A) Base RI'!U162</f>
        <v>76</v>
      </c>
      <c r="H160" s="292">
        <f t="shared" si="13"/>
        <v>1.1204113298823299</v>
      </c>
      <c r="I160" s="58">
        <f t="shared" si="14"/>
        <v>92350.578151484369</v>
      </c>
    </row>
    <row r="161" spans="1:9" x14ac:dyDescent="0.25">
      <c r="A161" s="50">
        <f>'A) Base RI'!A163</f>
        <v>5655</v>
      </c>
      <c r="B161" s="33" t="str">
        <f>'A) Base RI'!B163</f>
        <v>Yens</v>
      </c>
      <c r="C161" s="99">
        <f>'A) Base RI'!V163</f>
        <v>1395</v>
      </c>
      <c r="D161" s="115">
        <f>'D) Ecrêtage'!E161</f>
        <v>51.303083517454702</v>
      </c>
      <c r="E161" s="35">
        <f t="shared" si="11"/>
        <v>0</v>
      </c>
      <c r="F161" s="291">
        <f t="shared" si="12"/>
        <v>0</v>
      </c>
      <c r="G161" s="34">
        <f>+'A) Base RI'!U163</f>
        <v>73</v>
      </c>
      <c r="H161" s="292">
        <f t="shared" si="13"/>
        <v>1.0761845668606591</v>
      </c>
      <c r="I161" s="58">
        <f t="shared" si="14"/>
        <v>0</v>
      </c>
    </row>
    <row r="162" spans="1:9" x14ac:dyDescent="0.25">
      <c r="A162" s="50">
        <f>'A) Base RI'!A164</f>
        <v>5661</v>
      </c>
      <c r="B162" s="33" t="str">
        <f>'A) Base RI'!B164</f>
        <v>Boulens</v>
      </c>
      <c r="C162" s="99">
        <f>'A) Base RI'!V164</f>
        <v>377</v>
      </c>
      <c r="D162" s="115">
        <f>'D) Ecrêtage'!E162</f>
        <v>24.023495282543731</v>
      </c>
      <c r="E162" s="35">
        <f t="shared" si="11"/>
        <v>21.197389295578223</v>
      </c>
      <c r="F162" s="291">
        <f t="shared" si="12"/>
        <v>170456.89825535569</v>
      </c>
      <c r="G162" s="34">
        <f>+'A) Base RI'!U164</f>
        <v>79</v>
      </c>
      <c r="H162" s="292">
        <f t="shared" si="13"/>
        <v>1.1646380929040008</v>
      </c>
      <c r="I162" s="58">
        <f t="shared" si="14"/>
        <v>198520.59690644874</v>
      </c>
    </row>
    <row r="163" spans="1:9" x14ac:dyDescent="0.25">
      <c r="A163" s="50">
        <f>'A) Base RI'!A165</f>
        <v>5663</v>
      </c>
      <c r="B163" s="33" t="str">
        <f>'A) Base RI'!B165</f>
        <v>Bussy-sur-Moudon</v>
      </c>
      <c r="C163" s="99">
        <f>'A) Base RI'!V165</f>
        <v>209</v>
      </c>
      <c r="D163" s="115">
        <f>'D) Ecrêtage'!E163</f>
        <v>27.057974282296648</v>
      </c>
      <c r="E163" s="35">
        <f t="shared" si="11"/>
        <v>18.162910295825306</v>
      </c>
      <c r="F163" s="291">
        <f t="shared" si="12"/>
        <v>81994.642239473775</v>
      </c>
      <c r="G163" s="34">
        <f>+'A) Base RI'!U165</f>
        <v>80</v>
      </c>
      <c r="H163" s="292">
        <f t="shared" si="13"/>
        <v>1.1793803472445579</v>
      </c>
      <c r="I163" s="58">
        <f t="shared" si="14"/>
        <v>96702.86963658387</v>
      </c>
    </row>
    <row r="164" spans="1:9" x14ac:dyDescent="0.25">
      <c r="A164" s="50">
        <f>'A) Base RI'!A166</f>
        <v>5665</v>
      </c>
      <c r="B164" s="33" t="str">
        <f>'A) Base RI'!B166</f>
        <v>Chavannes-sur-Moudon</v>
      </c>
      <c r="C164" s="99">
        <f>'A) Base RI'!V166</f>
        <v>220</v>
      </c>
      <c r="D164" s="115">
        <f>'D) Ecrêtage'!E164</f>
        <v>22.85697509339975</v>
      </c>
      <c r="E164" s="35">
        <f t="shared" si="11"/>
        <v>22.363909484722203</v>
      </c>
      <c r="F164" s="291">
        <f t="shared" si="12"/>
        <v>96974.384307652435</v>
      </c>
      <c r="G164" s="34">
        <f>+'A) Base RI'!U166</f>
        <v>73</v>
      </c>
      <c r="H164" s="292">
        <f t="shared" si="13"/>
        <v>1.0761845668606591</v>
      </c>
      <c r="I164" s="58">
        <f t="shared" si="14"/>
        <v>104362.33577271004</v>
      </c>
    </row>
    <row r="165" spans="1:9" x14ac:dyDescent="0.25">
      <c r="A165" s="50">
        <f>'A) Base RI'!A167</f>
        <v>5669</v>
      </c>
      <c r="B165" s="33" t="str">
        <f>'A) Base RI'!B167</f>
        <v>Curtilles</v>
      </c>
      <c r="C165" s="99">
        <f>'A) Base RI'!V167</f>
        <v>318</v>
      </c>
      <c r="D165" s="115">
        <f>'D) Ecrêtage'!E165</f>
        <v>28.394033542976938</v>
      </c>
      <c r="E165" s="35">
        <f t="shared" si="11"/>
        <v>16.826851035145015</v>
      </c>
      <c r="F165" s="291">
        <f t="shared" si="12"/>
        <v>108356.50724081633</v>
      </c>
      <c r="G165" s="34">
        <f>+'A) Base RI'!U167</f>
        <v>75</v>
      </c>
      <c r="H165" s="292">
        <f t="shared" si="13"/>
        <v>1.1056690755417729</v>
      </c>
      <c r="I165" s="58">
        <f t="shared" si="14"/>
        <v>119806.4391898888</v>
      </c>
    </row>
    <row r="166" spans="1:9" x14ac:dyDescent="0.25">
      <c r="A166" s="50">
        <f>'A) Base RI'!A168</f>
        <v>5671</v>
      </c>
      <c r="B166" s="33" t="str">
        <f>'A) Base RI'!B168</f>
        <v>Dompierre</v>
      </c>
      <c r="C166" s="99">
        <f>'A) Base RI'!V168</f>
        <v>259</v>
      </c>
      <c r="D166" s="115">
        <f>'D) Ecrêtage'!E166</f>
        <v>24.454357142857141</v>
      </c>
      <c r="E166" s="35">
        <f t="shared" si="11"/>
        <v>20.766527435264813</v>
      </c>
      <c r="F166" s="291">
        <f t="shared" si="12"/>
        <v>116176.26108384549</v>
      </c>
      <c r="G166" s="34">
        <f>+'A) Base RI'!U168</f>
        <v>80</v>
      </c>
      <c r="H166" s="292">
        <f t="shared" si="13"/>
        <v>1.1793803472445579</v>
      </c>
      <c r="I166" s="58">
        <f t="shared" si="14"/>
        <v>137015.99913864009</v>
      </c>
    </row>
    <row r="167" spans="1:9" x14ac:dyDescent="0.25">
      <c r="A167" s="50">
        <f>'A) Base RI'!A169</f>
        <v>5673</v>
      </c>
      <c r="B167" s="33" t="str">
        <f>'A) Base RI'!B169</f>
        <v>Hermenches</v>
      </c>
      <c r="C167" s="99">
        <f>'A) Base RI'!V169</f>
        <v>379</v>
      </c>
      <c r="D167" s="115">
        <f>'D) Ecrêtage'!E167</f>
        <v>23.516242157725006</v>
      </c>
      <c r="E167" s="35">
        <f t="shared" si="11"/>
        <v>21.704642420396947</v>
      </c>
      <c r="F167" s="291">
        <f t="shared" si="12"/>
        <v>166577.70441594149</v>
      </c>
      <c r="G167" s="34">
        <f>+'A) Base RI'!U169</f>
        <v>75</v>
      </c>
      <c r="H167" s="292">
        <f t="shared" si="13"/>
        <v>1.1056690755417729</v>
      </c>
      <c r="I167" s="58">
        <f t="shared" si="14"/>
        <v>184179.81644744473</v>
      </c>
    </row>
    <row r="168" spans="1:9" x14ac:dyDescent="0.25">
      <c r="A168" s="50">
        <f>'A) Base RI'!A170</f>
        <v>5674</v>
      </c>
      <c r="B168" s="33" t="str">
        <f>'A) Base RI'!B170</f>
        <v>Lovatens</v>
      </c>
      <c r="C168" s="99">
        <f>'A) Base RI'!V170</f>
        <v>141</v>
      </c>
      <c r="D168" s="115">
        <f>'D) Ecrêtage'!E168</f>
        <v>25.637630260047281</v>
      </c>
      <c r="E168" s="35">
        <f t="shared" si="11"/>
        <v>19.583254318074673</v>
      </c>
      <c r="F168" s="291">
        <f t="shared" si="12"/>
        <v>55915.086891682717</v>
      </c>
      <c r="G168" s="34">
        <f>+'A) Base RI'!U170</f>
        <v>75</v>
      </c>
      <c r="H168" s="292">
        <f t="shared" si="13"/>
        <v>1.1056690755417729</v>
      </c>
      <c r="I168" s="58">
        <f t="shared" si="14"/>
        <v>61823.582432364732</v>
      </c>
    </row>
    <row r="169" spans="1:9" x14ac:dyDescent="0.25">
      <c r="A169" s="50">
        <f>'A) Base RI'!A171</f>
        <v>5675</v>
      </c>
      <c r="B169" s="33" t="str">
        <f>'A) Base RI'!B171</f>
        <v>Lucens</v>
      </c>
      <c r="C169" s="99">
        <f>'A) Base RI'!V171</f>
        <v>4157</v>
      </c>
      <c r="D169" s="115">
        <f>'D) Ecrêtage'!E169</f>
        <v>20.275448554696478</v>
      </c>
      <c r="E169" s="35">
        <f t="shared" si="11"/>
        <v>24.945436023425476</v>
      </c>
      <c r="F169" s="291">
        <f t="shared" si="12"/>
        <v>1847901.5239299466</v>
      </c>
      <c r="G169" s="34">
        <f>+'A) Base RI'!U171</f>
        <v>66</v>
      </c>
      <c r="H169" s="292">
        <f t="shared" si="13"/>
        <v>0.97298878647676024</v>
      </c>
      <c r="I169" s="58">
        <f t="shared" si="14"/>
        <v>1797987.4612971547</v>
      </c>
    </row>
    <row r="170" spans="1:9" x14ac:dyDescent="0.25">
      <c r="A170" s="50">
        <f>'A) Base RI'!A172</f>
        <v>5678</v>
      </c>
      <c r="B170" s="33" t="str">
        <f>'A) Base RI'!B172</f>
        <v>Moudon</v>
      </c>
      <c r="C170" s="99">
        <f>'A) Base RI'!V172</f>
        <v>6185</v>
      </c>
      <c r="D170" s="115">
        <f>'D) Ecrêtage'!E170</f>
        <v>18.72310503907303</v>
      </c>
      <c r="E170" s="35">
        <f t="shared" si="11"/>
        <v>26.497779539048924</v>
      </c>
      <c r="F170" s="291">
        <f t="shared" si="12"/>
        <v>3318747.5205926066</v>
      </c>
      <c r="G170" s="34">
        <f>+'A) Base RI'!U172</f>
        <v>75</v>
      </c>
      <c r="H170" s="292">
        <f t="shared" si="13"/>
        <v>1.1056690755417729</v>
      </c>
      <c r="I170" s="58">
        <f t="shared" si="14"/>
        <v>3669436.5030501783</v>
      </c>
    </row>
    <row r="171" spans="1:9" x14ac:dyDescent="0.25">
      <c r="A171" s="50">
        <f>'A) Base RI'!A173</f>
        <v>5680</v>
      </c>
      <c r="B171" s="33" t="str">
        <f>'A) Base RI'!B173</f>
        <v>Ogens</v>
      </c>
      <c r="C171" s="99">
        <f>'A) Base RI'!V173</f>
        <v>304</v>
      </c>
      <c r="D171" s="115">
        <f>'D) Ecrêtage'!E171</f>
        <v>24.356890322762034</v>
      </c>
      <c r="E171" s="35">
        <f t="shared" si="11"/>
        <v>20.86399425535992</v>
      </c>
      <c r="F171" s="291">
        <f t="shared" si="12"/>
        <v>133576.29858143549</v>
      </c>
      <c r="G171" s="34">
        <f>+'A) Base RI'!U173</f>
        <v>78</v>
      </c>
      <c r="H171" s="292">
        <f t="shared" si="13"/>
        <v>1.1498958385634439</v>
      </c>
      <c r="I171" s="58">
        <f t="shared" si="14"/>
        <v>153598.82986950074</v>
      </c>
    </row>
    <row r="172" spans="1:9" x14ac:dyDescent="0.25">
      <c r="A172" s="50">
        <f>'A) Base RI'!A174</f>
        <v>5683</v>
      </c>
      <c r="B172" s="33" t="str">
        <f>'A) Base RI'!B174</f>
        <v>Prévonloup</v>
      </c>
      <c r="C172" s="99">
        <f>'A) Base RI'!V174</f>
        <v>160</v>
      </c>
      <c r="D172" s="115">
        <f>'D) Ecrêtage'!E172</f>
        <v>24.226059966216216</v>
      </c>
      <c r="E172" s="35">
        <f t="shared" si="11"/>
        <v>20.994824611905738</v>
      </c>
      <c r="F172" s="291">
        <f t="shared" si="12"/>
        <v>67116.255319340271</v>
      </c>
      <c r="G172" s="34">
        <f>+'A) Base RI'!U174</f>
        <v>74</v>
      </c>
      <c r="H172" s="292">
        <f t="shared" si="13"/>
        <v>1.090926821201216</v>
      </c>
      <c r="I172" s="58">
        <f t="shared" si="14"/>
        <v>73218.923066457079</v>
      </c>
    </row>
    <row r="173" spans="1:9" x14ac:dyDescent="0.25">
      <c r="A173" s="50">
        <f>'A) Base RI'!A175</f>
        <v>5684</v>
      </c>
      <c r="B173" s="33" t="str">
        <f>'A) Base RI'!B175</f>
        <v>Rossenges</v>
      </c>
      <c r="C173" s="99">
        <f>'A) Base RI'!V175</f>
        <v>63</v>
      </c>
      <c r="D173" s="115">
        <f>'D) Ecrêtage'!E173</f>
        <v>46.583780423280423</v>
      </c>
      <c r="E173" s="35">
        <f t="shared" si="11"/>
        <v>0</v>
      </c>
      <c r="F173" s="291">
        <f t="shared" si="12"/>
        <v>0</v>
      </c>
      <c r="G173" s="34">
        <f>+'A) Base RI'!U175</f>
        <v>60</v>
      </c>
      <c r="H173" s="292">
        <f t="shared" si="13"/>
        <v>0.88453526043341835</v>
      </c>
      <c r="I173" s="58">
        <f t="shared" si="14"/>
        <v>0</v>
      </c>
    </row>
    <row r="174" spans="1:9" x14ac:dyDescent="0.25">
      <c r="A174" s="50">
        <f>'A) Base RI'!A176</f>
        <v>5688</v>
      </c>
      <c r="B174" s="33" t="str">
        <f>'A) Base RI'!B176</f>
        <v>Syens</v>
      </c>
      <c r="C174" s="99">
        <f>'A) Base RI'!V176</f>
        <v>150</v>
      </c>
      <c r="D174" s="115">
        <f>'D) Ecrêtage'!E174</f>
        <v>40.531259259259272</v>
      </c>
      <c r="E174" s="35">
        <f t="shared" si="11"/>
        <v>4.6896253188626815</v>
      </c>
      <c r="F174" s="291">
        <f t="shared" si="12"/>
        <v>14358.694801293759</v>
      </c>
      <c r="G174" s="34">
        <f>+'A) Base RI'!U176</f>
        <v>75.599999999999994</v>
      </c>
      <c r="H174" s="292">
        <f t="shared" si="13"/>
        <v>1.114514428146107</v>
      </c>
      <c r="I174" s="58">
        <f t="shared" si="14"/>
        <v>16002.972525388393</v>
      </c>
    </row>
    <row r="175" spans="1:9" x14ac:dyDescent="0.25">
      <c r="A175" s="50">
        <f>'A) Base RI'!A177</f>
        <v>5690</v>
      </c>
      <c r="B175" s="33" t="str">
        <f>'A) Base RI'!B177</f>
        <v>Villars-le-Comte</v>
      </c>
      <c r="C175" s="99">
        <f>'A) Base RI'!V177</f>
        <v>142</v>
      </c>
      <c r="D175" s="115">
        <f>'D) Ecrêtage'!E175</f>
        <v>25.249969986586184</v>
      </c>
      <c r="E175" s="35">
        <f t="shared" si="11"/>
        <v>19.97091459153577</v>
      </c>
      <c r="F175" s="291">
        <f t="shared" si="12"/>
        <v>53597.940580763701</v>
      </c>
      <c r="G175" s="34">
        <f>+'A) Base RI'!U177</f>
        <v>70</v>
      </c>
      <c r="H175" s="292">
        <f t="shared" si="13"/>
        <v>1.0319578038389881</v>
      </c>
      <c r="I175" s="58">
        <f t="shared" si="14"/>
        <v>55310.813052017482</v>
      </c>
    </row>
    <row r="176" spans="1:9" x14ac:dyDescent="0.25">
      <c r="A176" s="50">
        <f>'A) Base RI'!A178</f>
        <v>5692</v>
      </c>
      <c r="B176" s="33" t="str">
        <f>'A) Base RI'!B178</f>
        <v>Vucherens</v>
      </c>
      <c r="C176" s="99">
        <f>'A) Base RI'!V178</f>
        <v>583</v>
      </c>
      <c r="D176" s="115">
        <f>'D) Ecrêtage'!E176</f>
        <v>29.608842086979173</v>
      </c>
      <c r="E176" s="35">
        <f t="shared" si="11"/>
        <v>15.61204249114278</v>
      </c>
      <c r="F176" s="291">
        <f t="shared" si="12"/>
        <v>194141.83707393205</v>
      </c>
      <c r="G176" s="34">
        <f>+'A) Base RI'!U178</f>
        <v>79</v>
      </c>
      <c r="H176" s="292">
        <f t="shared" si="13"/>
        <v>1.1646380929040008</v>
      </c>
      <c r="I176" s="58">
        <f t="shared" si="14"/>
        <v>226104.97888266345</v>
      </c>
    </row>
    <row r="177" spans="1:9" x14ac:dyDescent="0.25">
      <c r="A177" s="50">
        <f>'A) Base RI'!A179</f>
        <v>5693</v>
      </c>
      <c r="B177" s="33" t="str">
        <f>'A) Base RI'!B179</f>
        <v>Montanaire</v>
      </c>
      <c r="C177" s="99">
        <f>'A) Base RI'!V179</f>
        <v>2606</v>
      </c>
      <c r="D177" s="115">
        <f>'D) Ecrêtage'!E177</f>
        <v>26.923905996844891</v>
      </c>
      <c r="E177" s="35">
        <f t="shared" si="11"/>
        <v>18.296978581277063</v>
      </c>
      <c r="F177" s="291">
        <f t="shared" si="12"/>
        <v>926936.6449937881</v>
      </c>
      <c r="G177" s="34">
        <f>+'A) Base RI'!U179</f>
        <v>72</v>
      </c>
      <c r="H177" s="292">
        <f t="shared" si="13"/>
        <v>1.061442312520102</v>
      </c>
      <c r="I177" s="58">
        <f t="shared" si="14"/>
        <v>983889.77602183132</v>
      </c>
    </row>
    <row r="178" spans="1:9" x14ac:dyDescent="0.25">
      <c r="A178" s="50">
        <f>'A) Base RI'!A180</f>
        <v>5701</v>
      </c>
      <c r="B178" s="33" t="str">
        <f>'A) Base RI'!B180</f>
        <v>Arnex-sur-Nyon</v>
      </c>
      <c r="C178" s="99">
        <f>'A) Base RI'!V180</f>
        <v>224</v>
      </c>
      <c r="D178" s="115">
        <f>'D) Ecrêtage'!E178</f>
        <v>64.669268494897963</v>
      </c>
      <c r="E178" s="35">
        <f t="shared" si="11"/>
        <v>0</v>
      </c>
      <c r="F178" s="291">
        <f t="shared" si="12"/>
        <v>0</v>
      </c>
      <c r="G178" s="34">
        <f>+'A) Base RI'!U180</f>
        <v>70</v>
      </c>
      <c r="H178" s="292">
        <f t="shared" si="13"/>
        <v>1.0319578038389881</v>
      </c>
      <c r="I178" s="58">
        <f t="shared" si="14"/>
        <v>0</v>
      </c>
    </row>
    <row r="179" spans="1:9" x14ac:dyDescent="0.25">
      <c r="A179" s="50">
        <f>'A) Base RI'!A181</f>
        <v>5702</v>
      </c>
      <c r="B179" s="33" t="str">
        <f>'A) Base RI'!B181</f>
        <v>Arzier-Le Muids</v>
      </c>
      <c r="C179" s="99">
        <f>'A) Base RI'!V181</f>
        <v>2653</v>
      </c>
      <c r="D179" s="115">
        <f>'D) Ecrêtage'!E179</f>
        <v>58.633474486430472</v>
      </c>
      <c r="E179" s="35">
        <f t="shared" si="11"/>
        <v>0</v>
      </c>
      <c r="F179" s="291">
        <f t="shared" si="12"/>
        <v>0</v>
      </c>
      <c r="G179" s="34">
        <f>+'A) Base RI'!U181</f>
        <v>64</v>
      </c>
      <c r="H179" s="292">
        <f t="shared" si="13"/>
        <v>0.94350427779564627</v>
      </c>
      <c r="I179" s="58">
        <f t="shared" si="14"/>
        <v>0</v>
      </c>
    </row>
    <row r="180" spans="1:9" x14ac:dyDescent="0.25">
      <c r="A180" s="50">
        <f>'A) Base RI'!A182</f>
        <v>5703</v>
      </c>
      <c r="B180" s="33" t="str">
        <f>'A) Base RI'!B182</f>
        <v>Bassins</v>
      </c>
      <c r="C180" s="99">
        <f>'A) Base RI'!V182</f>
        <v>1356</v>
      </c>
      <c r="D180" s="115">
        <f>'D) Ecrêtage'!E180</f>
        <v>41.755003274450175</v>
      </c>
      <c r="E180" s="35">
        <f t="shared" si="11"/>
        <v>3.4658813036717788</v>
      </c>
      <c r="F180" s="291">
        <f t="shared" si="12"/>
        <v>93900.706254623074</v>
      </c>
      <c r="G180" s="34">
        <f>+'A) Base RI'!U182</f>
        <v>74</v>
      </c>
      <c r="H180" s="292">
        <f t="shared" si="13"/>
        <v>1.090926821201216</v>
      </c>
      <c r="I180" s="58">
        <f t="shared" si="14"/>
        <v>102438.79898290509</v>
      </c>
    </row>
    <row r="181" spans="1:9" x14ac:dyDescent="0.25">
      <c r="A181" s="50">
        <f>'A) Base RI'!A183</f>
        <v>5704</v>
      </c>
      <c r="B181" s="33" t="str">
        <f>'A) Base RI'!B183</f>
        <v>Begnins</v>
      </c>
      <c r="C181" s="99">
        <f>'A) Base RI'!V183</f>
        <v>1910</v>
      </c>
      <c r="D181" s="115">
        <f>'D) Ecrêtage'!E181</f>
        <v>66.587314292412287</v>
      </c>
      <c r="E181" s="35">
        <f t="shared" si="11"/>
        <v>0</v>
      </c>
      <c r="F181" s="291">
        <f t="shared" si="12"/>
        <v>0</v>
      </c>
      <c r="G181" s="34">
        <f>+'A) Base RI'!U183</f>
        <v>67</v>
      </c>
      <c r="H181" s="292">
        <f t="shared" si="13"/>
        <v>0.98773104081731722</v>
      </c>
      <c r="I181" s="58">
        <f t="shared" si="14"/>
        <v>0</v>
      </c>
    </row>
    <row r="182" spans="1:9" x14ac:dyDescent="0.25">
      <c r="A182" s="50">
        <f>'A) Base RI'!A184</f>
        <v>5705</v>
      </c>
      <c r="B182" s="33" t="str">
        <f>'A) Base RI'!B184</f>
        <v>Bogis-Bossey</v>
      </c>
      <c r="C182" s="99">
        <f>'A) Base RI'!V184</f>
        <v>893</v>
      </c>
      <c r="D182" s="115">
        <f>'D) Ecrêtage'!E182</f>
        <v>61.5520190369541</v>
      </c>
      <c r="E182" s="35">
        <f t="shared" si="11"/>
        <v>0</v>
      </c>
      <c r="F182" s="291">
        <f t="shared" si="12"/>
        <v>0</v>
      </c>
      <c r="G182" s="34">
        <f>+'A) Base RI'!U184</f>
        <v>70</v>
      </c>
      <c r="H182" s="292">
        <f t="shared" si="13"/>
        <v>1.0319578038389881</v>
      </c>
      <c r="I182" s="58">
        <f t="shared" si="14"/>
        <v>0</v>
      </c>
    </row>
    <row r="183" spans="1:9" x14ac:dyDescent="0.25">
      <c r="A183" s="50">
        <f>'A) Base RI'!A185</f>
        <v>5706</v>
      </c>
      <c r="B183" s="33" t="str">
        <f>'A) Base RI'!B185</f>
        <v>Borex</v>
      </c>
      <c r="C183" s="99">
        <f>'A) Base RI'!V185</f>
        <v>1126</v>
      </c>
      <c r="D183" s="115">
        <f>'D) Ecrêtage'!E183</f>
        <v>63.816220013882933</v>
      </c>
      <c r="E183" s="35">
        <f t="shared" si="11"/>
        <v>0</v>
      </c>
      <c r="F183" s="291">
        <f t="shared" si="12"/>
        <v>0</v>
      </c>
      <c r="G183" s="34">
        <f>+'A) Base RI'!U185</f>
        <v>58</v>
      </c>
      <c r="H183" s="292">
        <f t="shared" si="13"/>
        <v>0.85505075175230438</v>
      </c>
      <c r="I183" s="58">
        <f t="shared" si="14"/>
        <v>0</v>
      </c>
    </row>
    <row r="184" spans="1:9" x14ac:dyDescent="0.25">
      <c r="A184" s="50">
        <f>'A) Base RI'!A186</f>
        <v>5707</v>
      </c>
      <c r="B184" s="33" t="str">
        <f>'A) Base RI'!B186</f>
        <v>Chavannes-de-Bogis</v>
      </c>
      <c r="C184" s="99">
        <f>'A) Base RI'!V186</f>
        <v>1290</v>
      </c>
      <c r="D184" s="115">
        <f>'D) Ecrêtage'!E184</f>
        <v>65.184256164323571</v>
      </c>
      <c r="E184" s="35">
        <f t="shared" si="11"/>
        <v>0</v>
      </c>
      <c r="F184" s="291">
        <f t="shared" si="12"/>
        <v>0</v>
      </c>
      <c r="G184" s="34">
        <f>+'A) Base RI'!U186</f>
        <v>59</v>
      </c>
      <c r="H184" s="292">
        <f t="shared" si="13"/>
        <v>0.86979300609286136</v>
      </c>
      <c r="I184" s="58">
        <f t="shared" si="14"/>
        <v>0</v>
      </c>
    </row>
    <row r="185" spans="1:9" x14ac:dyDescent="0.25">
      <c r="A185" s="50">
        <f>'A) Base RI'!A187</f>
        <v>5708</v>
      </c>
      <c r="B185" s="33" t="str">
        <f>'A) Base RI'!B187</f>
        <v>Chavannes-des-Bois</v>
      </c>
      <c r="C185" s="99">
        <f>'A) Base RI'!V187</f>
        <v>942</v>
      </c>
      <c r="D185" s="115">
        <f>'D) Ecrêtage'!E185</f>
        <v>61.099188527834748</v>
      </c>
      <c r="E185" s="35">
        <f t="shared" si="11"/>
        <v>0</v>
      </c>
      <c r="F185" s="291">
        <f t="shared" si="12"/>
        <v>0</v>
      </c>
      <c r="G185" s="34">
        <f>+'A) Base RI'!U187</f>
        <v>59</v>
      </c>
      <c r="H185" s="292">
        <f t="shared" si="13"/>
        <v>0.86979300609286136</v>
      </c>
      <c r="I185" s="58">
        <f t="shared" si="14"/>
        <v>0</v>
      </c>
    </row>
    <row r="186" spans="1:9" x14ac:dyDescent="0.25">
      <c r="A186" s="50">
        <f>'A) Base RI'!A188</f>
        <v>5709</v>
      </c>
      <c r="B186" s="33" t="str">
        <f>'A) Base RI'!B188</f>
        <v>Chéserex</v>
      </c>
      <c r="C186" s="99">
        <f>'A) Base RI'!V188</f>
        <v>1219</v>
      </c>
      <c r="D186" s="115">
        <f>'D) Ecrêtage'!E186</f>
        <v>62.86070117870559</v>
      </c>
      <c r="E186" s="35">
        <f t="shared" si="11"/>
        <v>0</v>
      </c>
      <c r="F186" s="291">
        <f t="shared" si="12"/>
        <v>0</v>
      </c>
      <c r="G186" s="34">
        <f>+'A) Base RI'!U188</f>
        <v>57</v>
      </c>
      <c r="H186" s="292">
        <f t="shared" si="13"/>
        <v>0.8403084974117474</v>
      </c>
      <c r="I186" s="58">
        <f t="shared" si="14"/>
        <v>0</v>
      </c>
    </row>
    <row r="187" spans="1:9" x14ac:dyDescent="0.25">
      <c r="A187" s="50">
        <f>'A) Base RI'!A189</f>
        <v>5710</v>
      </c>
      <c r="B187" s="33" t="str">
        <f>'A) Base RI'!B189</f>
        <v>Coinsins</v>
      </c>
      <c r="C187" s="99">
        <f>'A) Base RI'!V189</f>
        <v>484</v>
      </c>
      <c r="D187" s="115">
        <f>'D) Ecrêtage'!E187</f>
        <v>192.67621171609144</v>
      </c>
      <c r="E187" s="35">
        <f t="shared" si="11"/>
        <v>0</v>
      </c>
      <c r="F187" s="291">
        <f t="shared" si="12"/>
        <v>0</v>
      </c>
      <c r="G187" s="34">
        <f>+'A) Base RI'!U189</f>
        <v>51</v>
      </c>
      <c r="H187" s="292">
        <f t="shared" si="13"/>
        <v>0.75185497136840562</v>
      </c>
      <c r="I187" s="58">
        <f t="shared" si="14"/>
        <v>0</v>
      </c>
    </row>
    <row r="188" spans="1:9" x14ac:dyDescent="0.25">
      <c r="A188" s="50">
        <f>'A) Base RI'!A190</f>
        <v>5711</v>
      </c>
      <c r="B188" s="33" t="str">
        <f>'A) Base RI'!B190</f>
        <v>Commugny</v>
      </c>
      <c r="C188" s="99">
        <f>'A) Base RI'!V190</f>
        <v>2858</v>
      </c>
      <c r="D188" s="115">
        <f>'D) Ecrêtage'!E188</f>
        <v>88.427254698084496</v>
      </c>
      <c r="E188" s="35">
        <f t="shared" si="11"/>
        <v>0</v>
      </c>
      <c r="F188" s="291">
        <f t="shared" si="12"/>
        <v>0</v>
      </c>
      <c r="G188" s="34">
        <f>+'A) Base RI'!U190</f>
        <v>57</v>
      </c>
      <c r="H188" s="292">
        <f t="shared" si="13"/>
        <v>0.8403084974117474</v>
      </c>
      <c r="I188" s="58">
        <f t="shared" si="14"/>
        <v>0</v>
      </c>
    </row>
    <row r="189" spans="1:9" x14ac:dyDescent="0.25">
      <c r="A189" s="50">
        <f>'A) Base RI'!A191</f>
        <v>5712</v>
      </c>
      <c r="B189" s="33" t="str">
        <f>'A) Base RI'!B191</f>
        <v>Coppet</v>
      </c>
      <c r="C189" s="99">
        <f>'A) Base RI'!V191</f>
        <v>3123</v>
      </c>
      <c r="D189" s="115">
        <f>'D) Ecrêtage'!E189</f>
        <v>104.08538133587886</v>
      </c>
      <c r="E189" s="35">
        <f t="shared" si="11"/>
        <v>0</v>
      </c>
      <c r="F189" s="291">
        <f t="shared" si="12"/>
        <v>0</v>
      </c>
      <c r="G189" s="34">
        <f>+'A) Base RI'!U191</f>
        <v>53</v>
      </c>
      <c r="H189" s="292">
        <f t="shared" si="13"/>
        <v>0.78133948004951959</v>
      </c>
      <c r="I189" s="58">
        <f t="shared" si="14"/>
        <v>0</v>
      </c>
    </row>
    <row r="190" spans="1:9" x14ac:dyDescent="0.25">
      <c r="A190" s="50">
        <f>'A) Base RI'!A192</f>
        <v>5713</v>
      </c>
      <c r="B190" s="33" t="str">
        <f>'A) Base RI'!B192</f>
        <v>Crans-près-Céligny</v>
      </c>
      <c r="C190" s="99">
        <f>'A) Base RI'!V192</f>
        <v>2177</v>
      </c>
      <c r="D190" s="115">
        <f>'D) Ecrêtage'!E190</f>
        <v>109.77603166899229</v>
      </c>
      <c r="E190" s="35">
        <f t="shared" si="11"/>
        <v>0</v>
      </c>
      <c r="F190" s="291">
        <f t="shared" si="12"/>
        <v>0</v>
      </c>
      <c r="G190" s="34">
        <f>+'A) Base RI'!U192</f>
        <v>53</v>
      </c>
      <c r="H190" s="292">
        <f t="shared" si="13"/>
        <v>0.78133948004951959</v>
      </c>
      <c r="I190" s="58">
        <f t="shared" si="14"/>
        <v>0</v>
      </c>
    </row>
    <row r="191" spans="1:9" x14ac:dyDescent="0.25">
      <c r="A191" s="50">
        <f>'A) Base RI'!A193</f>
        <v>5714</v>
      </c>
      <c r="B191" s="33" t="str">
        <f>'A) Base RI'!B193</f>
        <v>Crassier</v>
      </c>
      <c r="C191" s="99">
        <f>'A) Base RI'!V193</f>
        <v>1161</v>
      </c>
      <c r="D191" s="115">
        <f>'D) Ecrêtage'!E191</f>
        <v>70.094146748492676</v>
      </c>
      <c r="E191" s="35">
        <f t="shared" si="11"/>
        <v>0</v>
      </c>
      <c r="F191" s="291">
        <f t="shared" si="12"/>
        <v>0</v>
      </c>
      <c r="G191" s="34">
        <f>+'A) Base RI'!U193</f>
        <v>64</v>
      </c>
      <c r="H191" s="292">
        <f t="shared" si="13"/>
        <v>0.94350427779564627</v>
      </c>
      <c r="I191" s="58">
        <f t="shared" si="14"/>
        <v>0</v>
      </c>
    </row>
    <row r="192" spans="1:9" x14ac:dyDescent="0.25">
      <c r="A192" s="50">
        <f>'A) Base RI'!A194</f>
        <v>5715</v>
      </c>
      <c r="B192" s="33" t="str">
        <f>'A) Base RI'!B194</f>
        <v>Duillier</v>
      </c>
      <c r="C192" s="99">
        <f>'A) Base RI'!V194</f>
        <v>1078</v>
      </c>
      <c r="D192" s="115">
        <f>'D) Ecrêtage'!E192</f>
        <v>54.93585371338618</v>
      </c>
      <c r="E192" s="35">
        <f t="shared" si="11"/>
        <v>0</v>
      </c>
      <c r="F192" s="291">
        <f t="shared" si="12"/>
        <v>0</v>
      </c>
      <c r="G192" s="34">
        <f>+'A) Base RI'!U194</f>
        <v>66</v>
      </c>
      <c r="H192" s="292">
        <f t="shared" si="13"/>
        <v>0.97298878647676024</v>
      </c>
      <c r="I192" s="58">
        <f t="shared" si="14"/>
        <v>0</v>
      </c>
    </row>
    <row r="193" spans="1:9" x14ac:dyDescent="0.25">
      <c r="A193" s="50">
        <f>'A) Base RI'!A195</f>
        <v>5716</v>
      </c>
      <c r="B193" s="33" t="str">
        <f>'A) Base RI'!B195</f>
        <v>Eysins</v>
      </c>
      <c r="C193" s="99">
        <f>'A) Base RI'!V195</f>
        <v>1603</v>
      </c>
      <c r="D193" s="115">
        <f>'D) Ecrêtage'!E193</f>
        <v>77.44973073029054</v>
      </c>
      <c r="E193" s="35">
        <f t="shared" si="11"/>
        <v>0</v>
      </c>
      <c r="F193" s="291">
        <f t="shared" si="12"/>
        <v>0</v>
      </c>
      <c r="G193" s="34">
        <f>+'A) Base RI'!U195</f>
        <v>61</v>
      </c>
      <c r="H193" s="292">
        <f t="shared" si="13"/>
        <v>0.89927751477397533</v>
      </c>
      <c r="I193" s="58">
        <f t="shared" si="14"/>
        <v>0</v>
      </c>
    </row>
    <row r="194" spans="1:9" x14ac:dyDescent="0.25">
      <c r="A194" s="50">
        <f>'A) Base RI'!A196</f>
        <v>5717</v>
      </c>
      <c r="B194" s="33" t="str">
        <f>'A) Base RI'!B196</f>
        <v>Founex</v>
      </c>
      <c r="C194" s="99">
        <f>'A) Base RI'!V196</f>
        <v>3788</v>
      </c>
      <c r="D194" s="115">
        <f>'D) Ecrêtage'!E194</f>
        <v>89.583636692046909</v>
      </c>
      <c r="E194" s="35">
        <f t="shared" si="11"/>
        <v>0</v>
      </c>
      <c r="F194" s="291">
        <f t="shared" si="12"/>
        <v>0</v>
      </c>
      <c r="G194" s="34">
        <f>+'A) Base RI'!U196</f>
        <v>57</v>
      </c>
      <c r="H194" s="292">
        <f t="shared" si="13"/>
        <v>0.8403084974117474</v>
      </c>
      <c r="I194" s="58">
        <f t="shared" si="14"/>
        <v>0</v>
      </c>
    </row>
    <row r="195" spans="1:9" x14ac:dyDescent="0.25">
      <c r="A195" s="50">
        <f>'A) Base RI'!A197</f>
        <v>5718</v>
      </c>
      <c r="B195" s="33" t="str">
        <f>'A) Base RI'!B197</f>
        <v>Genolier</v>
      </c>
      <c r="C195" s="99">
        <f>'A) Base RI'!V197</f>
        <v>1945</v>
      </c>
      <c r="D195" s="115">
        <f>'D) Ecrêtage'!E195</f>
        <v>90.834165646179031</v>
      </c>
      <c r="E195" s="35">
        <f t="shared" si="11"/>
        <v>0</v>
      </c>
      <c r="F195" s="291">
        <f t="shared" si="12"/>
        <v>0</v>
      </c>
      <c r="G195" s="34">
        <f>+'A) Base RI'!U197</f>
        <v>55</v>
      </c>
      <c r="H195" s="292">
        <f t="shared" si="13"/>
        <v>0.81082398873063355</v>
      </c>
      <c r="I195" s="58">
        <f t="shared" si="14"/>
        <v>0</v>
      </c>
    </row>
    <row r="196" spans="1:9" x14ac:dyDescent="0.25">
      <c r="A196" s="50">
        <f>'A) Base RI'!A198</f>
        <v>5719</v>
      </c>
      <c r="B196" s="33" t="str">
        <f>'A) Base RI'!B198</f>
        <v>Gingins</v>
      </c>
      <c r="C196" s="99">
        <f>'A) Base RI'!V198</f>
        <v>1212</v>
      </c>
      <c r="D196" s="115">
        <f>'D) Ecrêtage'!E196</f>
        <v>107.94172495319707</v>
      </c>
      <c r="E196" s="35">
        <f t="shared" si="11"/>
        <v>0</v>
      </c>
      <c r="F196" s="291">
        <f t="shared" si="12"/>
        <v>0</v>
      </c>
      <c r="G196" s="34">
        <f>+'A) Base RI'!U198</f>
        <v>57</v>
      </c>
      <c r="H196" s="292">
        <f t="shared" si="13"/>
        <v>0.8403084974117474</v>
      </c>
      <c r="I196" s="58">
        <f t="shared" si="14"/>
        <v>0</v>
      </c>
    </row>
    <row r="197" spans="1:9" x14ac:dyDescent="0.25">
      <c r="A197" s="50">
        <f>'A) Base RI'!A199</f>
        <v>5720</v>
      </c>
      <c r="B197" s="33" t="str">
        <f>'A) Base RI'!B199</f>
        <v>Givrins</v>
      </c>
      <c r="C197" s="99">
        <f>'A) Base RI'!V199</f>
        <v>995</v>
      </c>
      <c r="D197" s="115">
        <f>'D) Ecrêtage'!E197</f>
        <v>73.008016677192884</v>
      </c>
      <c r="E197" s="35">
        <f t="shared" si="11"/>
        <v>0</v>
      </c>
      <c r="F197" s="291">
        <f t="shared" si="12"/>
        <v>0</v>
      </c>
      <c r="G197" s="34">
        <f>+'A) Base RI'!U199</f>
        <v>61</v>
      </c>
      <c r="H197" s="292">
        <f t="shared" si="13"/>
        <v>0.89927751477397533</v>
      </c>
      <c r="I197" s="58">
        <f t="shared" si="14"/>
        <v>0</v>
      </c>
    </row>
    <row r="198" spans="1:9" x14ac:dyDescent="0.25">
      <c r="A198" s="50">
        <f>'A) Base RI'!A200</f>
        <v>5721</v>
      </c>
      <c r="B198" s="33" t="str">
        <f>'A) Base RI'!B200</f>
        <v>Gland</v>
      </c>
      <c r="C198" s="99">
        <f>'A) Base RI'!V200</f>
        <v>13081</v>
      </c>
      <c r="D198" s="115">
        <f>'D) Ecrêtage'!E198</f>
        <v>45.808237327421459</v>
      </c>
      <c r="E198" s="35">
        <f t="shared" ref="E198:E261" si="15">IF($D$314-D198&lt;0,0,$D$314-D198)</f>
        <v>0</v>
      </c>
      <c r="F198" s="291">
        <f t="shared" ref="F198:F261" si="16">(C198*E198*G198)*$E$4</f>
        <v>0</v>
      </c>
      <c r="G198" s="34">
        <f>+'A) Base RI'!U200</f>
        <v>62.5</v>
      </c>
      <c r="H198" s="292">
        <f t="shared" ref="H198:H261" si="17">G198/$G$314</f>
        <v>0.92139089628481075</v>
      </c>
      <c r="I198" s="58">
        <f t="shared" ref="I198:I261" si="18">F198*H198</f>
        <v>0</v>
      </c>
    </row>
    <row r="199" spans="1:9" x14ac:dyDescent="0.25">
      <c r="A199" s="50">
        <f>'A) Base RI'!A201</f>
        <v>5722</v>
      </c>
      <c r="B199" s="33" t="str">
        <f>'A) Base RI'!B201</f>
        <v>Grens</v>
      </c>
      <c r="C199" s="99">
        <f>'A) Base RI'!V201</f>
        <v>382</v>
      </c>
      <c r="D199" s="115">
        <f>'D) Ecrêtage'!E199</f>
        <v>66.183842678601607</v>
      </c>
      <c r="E199" s="35">
        <f t="shared" si="15"/>
        <v>0</v>
      </c>
      <c r="F199" s="291">
        <f t="shared" si="16"/>
        <v>0</v>
      </c>
      <c r="G199" s="34">
        <f>+'A) Base RI'!U201</f>
        <v>62</v>
      </c>
      <c r="H199" s="292">
        <f t="shared" si="17"/>
        <v>0.91401976911453231</v>
      </c>
      <c r="I199" s="58">
        <f t="shared" si="18"/>
        <v>0</v>
      </c>
    </row>
    <row r="200" spans="1:9" x14ac:dyDescent="0.25">
      <c r="A200" s="50">
        <f>'A) Base RI'!A202</f>
        <v>5723</v>
      </c>
      <c r="B200" s="33" t="str">
        <f>'A) Base RI'!B202</f>
        <v>Mies</v>
      </c>
      <c r="C200" s="99">
        <f>'A) Base RI'!V202</f>
        <v>2037</v>
      </c>
      <c r="D200" s="115">
        <f>'D) Ecrêtage'!E200</f>
        <v>217.16128870988746</v>
      </c>
      <c r="E200" s="35">
        <f t="shared" si="15"/>
        <v>0</v>
      </c>
      <c r="F200" s="291">
        <f t="shared" si="16"/>
        <v>0</v>
      </c>
      <c r="G200" s="34">
        <f>+'A) Base RI'!U202</f>
        <v>49</v>
      </c>
      <c r="H200" s="292">
        <f t="shared" si="17"/>
        <v>0.72237046268729166</v>
      </c>
      <c r="I200" s="58">
        <f t="shared" si="18"/>
        <v>0</v>
      </c>
    </row>
    <row r="201" spans="1:9" x14ac:dyDescent="0.25">
      <c r="A201" s="50">
        <f>'A) Base RI'!A203</f>
        <v>5724</v>
      </c>
      <c r="B201" s="33" t="str">
        <f>'A) Base RI'!B203</f>
        <v>Nyon</v>
      </c>
      <c r="C201" s="99">
        <f>'A) Base RI'!V203</f>
        <v>20551</v>
      </c>
      <c r="D201" s="115">
        <f>'D) Ecrêtage'!E201</f>
        <v>63.055154315751118</v>
      </c>
      <c r="E201" s="35">
        <f t="shared" si="15"/>
        <v>0</v>
      </c>
      <c r="F201" s="291">
        <f t="shared" si="16"/>
        <v>0</v>
      </c>
      <c r="G201" s="34">
        <f>+'A) Base RI'!U203</f>
        <v>61</v>
      </c>
      <c r="H201" s="292">
        <f t="shared" si="17"/>
        <v>0.89927751477397533</v>
      </c>
      <c r="I201" s="58">
        <f t="shared" si="18"/>
        <v>0</v>
      </c>
    </row>
    <row r="202" spans="1:9" x14ac:dyDescent="0.25">
      <c r="A202" s="50">
        <f>'A) Base RI'!A204</f>
        <v>5725</v>
      </c>
      <c r="B202" s="33" t="str">
        <f>'A) Base RI'!B204</f>
        <v>Prangins</v>
      </c>
      <c r="C202" s="99">
        <f>'A) Base RI'!V204</f>
        <v>4069</v>
      </c>
      <c r="D202" s="115">
        <f>'D) Ecrêtage'!E202</f>
        <v>73.176858439369838</v>
      </c>
      <c r="E202" s="35">
        <f t="shared" si="15"/>
        <v>0</v>
      </c>
      <c r="F202" s="291">
        <f t="shared" si="16"/>
        <v>0</v>
      </c>
      <c r="G202" s="34">
        <f>+'A) Base RI'!U204</f>
        <v>56</v>
      </c>
      <c r="H202" s="292">
        <f t="shared" si="17"/>
        <v>0.82556624307119053</v>
      </c>
      <c r="I202" s="58">
        <f t="shared" si="18"/>
        <v>0</v>
      </c>
    </row>
    <row r="203" spans="1:9" x14ac:dyDescent="0.25">
      <c r="A203" s="50">
        <f>'A) Base RI'!A205</f>
        <v>5726</v>
      </c>
      <c r="B203" s="33" t="str">
        <f>'A) Base RI'!B205</f>
        <v>La Rippe</v>
      </c>
      <c r="C203" s="99">
        <f>'A) Base RI'!V205</f>
        <v>1164</v>
      </c>
      <c r="D203" s="115">
        <f>'D) Ecrêtage'!E203</f>
        <v>48.815974226804123</v>
      </c>
      <c r="E203" s="35">
        <f t="shared" si="15"/>
        <v>0</v>
      </c>
      <c r="F203" s="291">
        <f t="shared" si="16"/>
        <v>0</v>
      </c>
      <c r="G203" s="34">
        <f>+'A) Base RI'!U205</f>
        <v>65</v>
      </c>
      <c r="H203" s="292">
        <f t="shared" si="17"/>
        <v>0.95824653213620326</v>
      </c>
      <c r="I203" s="58">
        <f t="shared" si="18"/>
        <v>0</v>
      </c>
    </row>
    <row r="204" spans="1:9" x14ac:dyDescent="0.25">
      <c r="A204" s="50">
        <f>'A) Base RI'!A206</f>
        <v>5727</v>
      </c>
      <c r="B204" s="33" t="str">
        <f>'A) Base RI'!B206</f>
        <v>Saint-Cergue</v>
      </c>
      <c r="C204" s="99">
        <f>'A) Base RI'!V206</f>
        <v>2559</v>
      </c>
      <c r="D204" s="115">
        <f>'D) Ecrêtage'!E204</f>
        <v>39.221359037818594</v>
      </c>
      <c r="E204" s="35">
        <f t="shared" si="15"/>
        <v>5.9995255403033596</v>
      </c>
      <c r="F204" s="291">
        <f t="shared" si="16"/>
        <v>273586.64398307883</v>
      </c>
      <c r="G204" s="34">
        <f>+'A) Base RI'!U206</f>
        <v>66</v>
      </c>
      <c r="H204" s="292">
        <f t="shared" si="17"/>
        <v>0.97298878647676024</v>
      </c>
      <c r="I204" s="58">
        <f t="shared" si="18"/>
        <v>266196.73672534531</v>
      </c>
    </row>
    <row r="205" spans="1:9" x14ac:dyDescent="0.25">
      <c r="A205" s="50">
        <f>'A) Base RI'!A207</f>
        <v>5728</v>
      </c>
      <c r="B205" s="33" t="str">
        <f>'A) Base RI'!B207</f>
        <v>Signy-Avenex</v>
      </c>
      <c r="C205" s="99">
        <f>'A) Base RI'!V207</f>
        <v>567</v>
      </c>
      <c r="D205" s="115">
        <f>'D) Ecrêtage'!E205</f>
        <v>64.463061789211224</v>
      </c>
      <c r="E205" s="35">
        <f t="shared" si="15"/>
        <v>0</v>
      </c>
      <c r="F205" s="291">
        <f t="shared" si="16"/>
        <v>0</v>
      </c>
      <c r="G205" s="34">
        <f>+'A) Base RI'!U207</f>
        <v>58</v>
      </c>
      <c r="H205" s="292">
        <f t="shared" si="17"/>
        <v>0.85505075175230438</v>
      </c>
      <c r="I205" s="58">
        <f t="shared" si="18"/>
        <v>0</v>
      </c>
    </row>
    <row r="206" spans="1:9" x14ac:dyDescent="0.25">
      <c r="A206" s="50">
        <f>'A) Base RI'!A208</f>
        <v>5729</v>
      </c>
      <c r="B206" s="33" t="str">
        <f>'A) Base RI'!B208</f>
        <v>Tannay</v>
      </c>
      <c r="C206" s="99">
        <f>'A) Base RI'!V208</f>
        <v>1585</v>
      </c>
      <c r="D206" s="115">
        <f>'D) Ecrêtage'!E206</f>
        <v>109.03674475530502</v>
      </c>
      <c r="E206" s="35">
        <f t="shared" si="15"/>
        <v>0</v>
      </c>
      <c r="F206" s="291">
        <f t="shared" si="16"/>
        <v>0</v>
      </c>
      <c r="G206" s="34">
        <f>+'A) Base RI'!U208</f>
        <v>61</v>
      </c>
      <c r="H206" s="292">
        <f t="shared" si="17"/>
        <v>0.89927751477397533</v>
      </c>
      <c r="I206" s="58">
        <f t="shared" si="18"/>
        <v>0</v>
      </c>
    </row>
    <row r="207" spans="1:9" x14ac:dyDescent="0.25">
      <c r="A207" s="50">
        <f>'A) Base RI'!A209</f>
        <v>5730</v>
      </c>
      <c r="B207" s="33" t="str">
        <f>'A) Base RI'!B209</f>
        <v>Trélex</v>
      </c>
      <c r="C207" s="99">
        <f>'A) Base RI'!V209</f>
        <v>1405</v>
      </c>
      <c r="D207" s="115">
        <f>'D) Ecrêtage'!E207</f>
        <v>73.441639036301694</v>
      </c>
      <c r="E207" s="35">
        <f t="shared" si="15"/>
        <v>0</v>
      </c>
      <c r="F207" s="291">
        <f t="shared" si="16"/>
        <v>0</v>
      </c>
      <c r="G207" s="34">
        <f>+'A) Base RI'!U209</f>
        <v>57</v>
      </c>
      <c r="H207" s="292">
        <f t="shared" si="17"/>
        <v>0.8403084974117474</v>
      </c>
      <c r="I207" s="58">
        <f t="shared" si="18"/>
        <v>0</v>
      </c>
    </row>
    <row r="208" spans="1:9" x14ac:dyDescent="0.25">
      <c r="A208" s="50">
        <f>'A) Base RI'!A210</f>
        <v>5731</v>
      </c>
      <c r="B208" s="33" t="str">
        <f>'A) Base RI'!B210</f>
        <v>Le Vaud</v>
      </c>
      <c r="C208" s="99">
        <f>'A) Base RI'!V210</f>
        <v>1283</v>
      </c>
      <c r="D208" s="115">
        <f>'D) Ecrêtage'!E208</f>
        <v>39.617584827227851</v>
      </c>
      <c r="E208" s="35">
        <f t="shared" si="15"/>
        <v>5.6032997508941023</v>
      </c>
      <c r="F208" s="291">
        <f t="shared" si="16"/>
        <v>145577.93000304195</v>
      </c>
      <c r="G208" s="34">
        <f>+'A) Base RI'!U210</f>
        <v>75</v>
      </c>
      <c r="H208" s="292">
        <f t="shared" si="17"/>
        <v>1.1056690755417729</v>
      </c>
      <c r="I208" s="58">
        <f t="shared" si="18"/>
        <v>160961.01528574832</v>
      </c>
    </row>
    <row r="209" spans="1:9" x14ac:dyDescent="0.25">
      <c r="A209" s="50">
        <f>'A) Base RI'!A211</f>
        <v>5732</v>
      </c>
      <c r="B209" s="33" t="str">
        <f>'A) Base RI'!B211</f>
        <v>Vich</v>
      </c>
      <c r="C209" s="99">
        <f>'A) Base RI'!V211</f>
        <v>1026</v>
      </c>
      <c r="D209" s="115">
        <f>'D) Ecrêtage'!E209</f>
        <v>59.490712504299964</v>
      </c>
      <c r="E209" s="35">
        <f t="shared" si="15"/>
        <v>0</v>
      </c>
      <c r="F209" s="291">
        <f t="shared" si="16"/>
        <v>0</v>
      </c>
      <c r="G209" s="34">
        <f>+'A) Base RI'!U211</f>
        <v>68</v>
      </c>
      <c r="H209" s="292">
        <f t="shared" si="17"/>
        <v>1.0024732951578741</v>
      </c>
      <c r="I209" s="58">
        <f t="shared" si="18"/>
        <v>0</v>
      </c>
    </row>
    <row r="210" spans="1:9" x14ac:dyDescent="0.25">
      <c r="A210" s="50">
        <f>'A) Base RI'!A212</f>
        <v>5741</v>
      </c>
      <c r="B210" s="33" t="str">
        <f>'A) Base RI'!B212</f>
        <v>L'Abergement</v>
      </c>
      <c r="C210" s="99">
        <f>'A) Base RI'!V212</f>
        <v>237</v>
      </c>
      <c r="D210" s="115">
        <f>'D) Ecrêtage'!E210</f>
        <v>27.930595579170355</v>
      </c>
      <c r="E210" s="35">
        <f t="shared" si="15"/>
        <v>17.290288998951599</v>
      </c>
      <c r="F210" s="291">
        <f t="shared" si="16"/>
        <v>89618.85303647595</v>
      </c>
      <c r="G210" s="34">
        <f>+'A) Base RI'!U212</f>
        <v>81</v>
      </c>
      <c r="H210" s="292">
        <f t="shared" si="17"/>
        <v>1.1941226015851147</v>
      </c>
      <c r="I210" s="58">
        <f t="shared" si="18"/>
        <v>107015.89793899072</v>
      </c>
    </row>
    <row r="211" spans="1:9" x14ac:dyDescent="0.25">
      <c r="A211" s="50">
        <f>'A) Base RI'!A213</f>
        <v>5742</v>
      </c>
      <c r="B211" s="33" t="str">
        <f>'A) Base RI'!B213</f>
        <v>Agiez</v>
      </c>
      <c r="C211" s="99">
        <f>'A) Base RI'!V213</f>
        <v>314</v>
      </c>
      <c r="D211" s="115">
        <f>'D) Ecrêtage'!E211</f>
        <v>29.790706922561185</v>
      </c>
      <c r="E211" s="35">
        <f t="shared" si="15"/>
        <v>15.430177655560769</v>
      </c>
      <c r="F211" s="291">
        <f t="shared" si="16"/>
        <v>99420.955084521585</v>
      </c>
      <c r="G211" s="34">
        <f>+'A) Base RI'!U213</f>
        <v>76</v>
      </c>
      <c r="H211" s="292">
        <f t="shared" si="17"/>
        <v>1.1204113298823299</v>
      </c>
      <c r="I211" s="58">
        <f t="shared" si="18"/>
        <v>111392.36450442023</v>
      </c>
    </row>
    <row r="212" spans="1:9" x14ac:dyDescent="0.25">
      <c r="A212" s="50">
        <f>'A) Base RI'!A214</f>
        <v>5743</v>
      </c>
      <c r="B212" s="33" t="str">
        <f>'A) Base RI'!B214</f>
        <v>Arnex-sur-Orbe</v>
      </c>
      <c r="C212" s="99">
        <f>'A) Base RI'!V214</f>
        <v>642</v>
      </c>
      <c r="D212" s="115">
        <f>'D) Ecrêtage'!E212</f>
        <v>27.4049905048436</v>
      </c>
      <c r="E212" s="35">
        <f t="shared" si="15"/>
        <v>17.815894073278354</v>
      </c>
      <c r="F212" s="291">
        <f t="shared" si="16"/>
        <v>225439.11674233113</v>
      </c>
      <c r="G212" s="34">
        <f>+'A) Base RI'!U214</f>
        <v>73</v>
      </c>
      <c r="H212" s="292">
        <f t="shared" si="17"/>
        <v>1.0761845668606591</v>
      </c>
      <c r="I212" s="58">
        <f t="shared" si="18"/>
        <v>242614.09820479518</v>
      </c>
    </row>
    <row r="213" spans="1:9" x14ac:dyDescent="0.25">
      <c r="A213" s="50">
        <f>'A) Base RI'!A215</f>
        <v>5744</v>
      </c>
      <c r="B213" s="33" t="str">
        <f>'A) Base RI'!B215</f>
        <v>Ballaigues</v>
      </c>
      <c r="C213" s="99">
        <f>'A) Base RI'!V215</f>
        <v>1095</v>
      </c>
      <c r="D213" s="115">
        <f>'D) Ecrêtage'!E213</f>
        <v>45.471633181126336</v>
      </c>
      <c r="E213" s="35">
        <f t="shared" si="15"/>
        <v>0</v>
      </c>
      <c r="F213" s="291">
        <f t="shared" si="16"/>
        <v>0</v>
      </c>
      <c r="G213" s="34">
        <f>+'A) Base RI'!U215</f>
        <v>66</v>
      </c>
      <c r="H213" s="292">
        <f t="shared" si="17"/>
        <v>0.97298878647676024</v>
      </c>
      <c r="I213" s="58">
        <f t="shared" si="18"/>
        <v>0</v>
      </c>
    </row>
    <row r="214" spans="1:9" x14ac:dyDescent="0.25">
      <c r="A214" s="50">
        <f>'A) Base RI'!A216</f>
        <v>5745</v>
      </c>
      <c r="B214" s="33" t="str">
        <f>'A) Base RI'!B216</f>
        <v>Baulmes</v>
      </c>
      <c r="C214" s="99">
        <f>'A) Base RI'!V216</f>
        <v>1053</v>
      </c>
      <c r="D214" s="115">
        <f>'D) Ecrêtage'!E214</f>
        <v>24.098552365646384</v>
      </c>
      <c r="E214" s="35">
        <f t="shared" si="15"/>
        <v>21.12233221247557</v>
      </c>
      <c r="F214" s="291">
        <f t="shared" si="16"/>
        <v>468412.64116365649</v>
      </c>
      <c r="G214" s="34">
        <f>+'A) Base RI'!U216</f>
        <v>78</v>
      </c>
      <c r="H214" s="292">
        <f t="shared" si="17"/>
        <v>1.1498958385634439</v>
      </c>
      <c r="I214" s="58">
        <f t="shared" si="18"/>
        <v>538625.74680460035</v>
      </c>
    </row>
    <row r="215" spans="1:9" x14ac:dyDescent="0.25">
      <c r="A215" s="50">
        <f>'A) Base RI'!A217</f>
        <v>5746</v>
      </c>
      <c r="B215" s="33" t="str">
        <f>'A) Base RI'!B217</f>
        <v>Bavois</v>
      </c>
      <c r="C215" s="99">
        <f>'A) Base RI'!V217</f>
        <v>928</v>
      </c>
      <c r="D215" s="115">
        <f>'D) Ecrêtage'!E215</f>
        <v>27.487078708077469</v>
      </c>
      <c r="E215" s="35">
        <f t="shared" si="15"/>
        <v>17.733805870044485</v>
      </c>
      <c r="F215" s="291">
        <f t="shared" si="16"/>
        <v>324366.9151122793</v>
      </c>
      <c r="G215" s="34">
        <f>+'A) Base RI'!U217</f>
        <v>73</v>
      </c>
      <c r="H215" s="292">
        <f t="shared" si="17"/>
        <v>1.0761845668606591</v>
      </c>
      <c r="I215" s="58">
        <f t="shared" si="18"/>
        <v>349078.66804403649</v>
      </c>
    </row>
    <row r="216" spans="1:9" x14ac:dyDescent="0.25">
      <c r="A216" s="50">
        <f>'A) Base RI'!A218</f>
        <v>5747</v>
      </c>
      <c r="B216" s="33" t="str">
        <f>'A) Base RI'!B218</f>
        <v>Bofflens</v>
      </c>
      <c r="C216" s="99">
        <f>'A) Base RI'!V218</f>
        <v>191</v>
      </c>
      <c r="D216" s="115">
        <f>'D) Ecrêtage'!E216</f>
        <v>28.283878898247206</v>
      </c>
      <c r="E216" s="35">
        <f t="shared" si="15"/>
        <v>16.937005679874748</v>
      </c>
      <c r="F216" s="291">
        <f t="shared" si="16"/>
        <v>60267.455420868719</v>
      </c>
      <c r="G216" s="34">
        <f>+'A) Base RI'!U218</f>
        <v>69</v>
      </c>
      <c r="H216" s="292">
        <f t="shared" si="17"/>
        <v>1.0172155494984312</v>
      </c>
      <c r="I216" s="58">
        <f t="shared" si="18"/>
        <v>61304.992782811176</v>
      </c>
    </row>
    <row r="217" spans="1:9" x14ac:dyDescent="0.25">
      <c r="A217" s="50">
        <f>'A) Base RI'!A219</f>
        <v>5748</v>
      </c>
      <c r="B217" s="33" t="str">
        <f>'A) Base RI'!B219</f>
        <v>Bretonnières</v>
      </c>
      <c r="C217" s="99">
        <f>'A) Base RI'!V219</f>
        <v>262</v>
      </c>
      <c r="D217" s="115">
        <f>'D) Ecrêtage'!E217</f>
        <v>29.240641080011311</v>
      </c>
      <c r="E217" s="35">
        <f t="shared" si="15"/>
        <v>15.980243498110642</v>
      </c>
      <c r="F217" s="291">
        <f t="shared" si="16"/>
        <v>81391.854604056993</v>
      </c>
      <c r="G217" s="34">
        <f>+'A) Base RI'!U219</f>
        <v>72</v>
      </c>
      <c r="H217" s="292">
        <f t="shared" si="17"/>
        <v>1.061442312520102</v>
      </c>
      <c r="I217" s="58">
        <f t="shared" si="18"/>
        <v>86392.758371230171</v>
      </c>
    </row>
    <row r="218" spans="1:9" x14ac:dyDescent="0.25">
      <c r="A218" s="50">
        <f>'A) Base RI'!A220</f>
        <v>5749</v>
      </c>
      <c r="B218" s="33" t="str">
        <f>'A) Base RI'!B220</f>
        <v>Chavornay</v>
      </c>
      <c r="C218" s="99">
        <f>'A) Base RI'!V220</f>
        <v>4908</v>
      </c>
      <c r="D218" s="115">
        <f>'D) Ecrêtage'!E218</f>
        <v>27.453266229944102</v>
      </c>
      <c r="E218" s="35">
        <f t="shared" si="15"/>
        <v>17.767618348177852</v>
      </c>
      <c r="F218" s="291">
        <f t="shared" si="16"/>
        <v>1695235.4733795382</v>
      </c>
      <c r="G218" s="34">
        <f>+'A) Base RI'!U220</f>
        <v>72</v>
      </c>
      <c r="H218" s="292">
        <f t="shared" si="17"/>
        <v>1.061442312520102</v>
      </c>
      <c r="I218" s="58">
        <f t="shared" si="18"/>
        <v>1799394.6611300868</v>
      </c>
    </row>
    <row r="219" spans="1:9" x14ac:dyDescent="0.25">
      <c r="A219" s="50">
        <f>'A) Base RI'!A221</f>
        <v>5750</v>
      </c>
      <c r="B219" s="33" t="str">
        <f>'A) Base RI'!B221</f>
        <v>Les Clées</v>
      </c>
      <c r="C219" s="99">
        <f>'A) Base RI'!V221</f>
        <v>181</v>
      </c>
      <c r="D219" s="115">
        <f>'D) Ecrêtage'!E219</f>
        <v>27.739419659300186</v>
      </c>
      <c r="E219" s="35">
        <f t="shared" si="15"/>
        <v>17.481464918821768</v>
      </c>
      <c r="F219" s="291">
        <f t="shared" si="16"/>
        <v>68345.535246625586</v>
      </c>
      <c r="G219" s="34">
        <f>+'A) Base RI'!U221</f>
        <v>80</v>
      </c>
      <c r="H219" s="292">
        <f t="shared" si="17"/>
        <v>1.1793803472445579</v>
      </c>
      <c r="I219" s="58">
        <f t="shared" si="18"/>
        <v>80605.381091780451</v>
      </c>
    </row>
    <row r="220" spans="1:9" x14ac:dyDescent="0.25">
      <c r="A220" s="50">
        <f>'A) Base RI'!A222</f>
        <v>5752</v>
      </c>
      <c r="B220" s="33" t="str">
        <f>'A) Base RI'!B222</f>
        <v>Croy</v>
      </c>
      <c r="C220" s="99">
        <f>'A) Base RI'!V222</f>
        <v>379</v>
      </c>
      <c r="D220" s="115">
        <f>'D) Ecrêtage'!E220</f>
        <v>29.395505241389145</v>
      </c>
      <c r="E220" s="35">
        <f t="shared" si="15"/>
        <v>15.825379336732809</v>
      </c>
      <c r="F220" s="291">
        <f t="shared" si="16"/>
        <v>119836.41899706227</v>
      </c>
      <c r="G220" s="34">
        <f>+'A) Base RI'!U222</f>
        <v>74</v>
      </c>
      <c r="H220" s="292">
        <f t="shared" si="17"/>
        <v>1.090926821201216</v>
      </c>
      <c r="I220" s="58">
        <f t="shared" si="18"/>
        <v>130732.76364060215</v>
      </c>
    </row>
    <row r="221" spans="1:9" x14ac:dyDescent="0.25">
      <c r="A221" s="50">
        <f>'A) Base RI'!A223</f>
        <v>5754</v>
      </c>
      <c r="B221" s="33" t="str">
        <f>'A) Base RI'!B223</f>
        <v>Juriens</v>
      </c>
      <c r="C221" s="99">
        <f>'A) Base RI'!V223</f>
        <v>309</v>
      </c>
      <c r="D221" s="115">
        <f>'D) Ecrêtage'!E221</f>
        <v>26.338150092409819</v>
      </c>
      <c r="E221" s="35">
        <f t="shared" si="15"/>
        <v>18.882734485712135</v>
      </c>
      <c r="F221" s="291">
        <f t="shared" si="16"/>
        <v>124455.53651329412</v>
      </c>
      <c r="G221" s="34">
        <f>+'A) Base RI'!U223</f>
        <v>79</v>
      </c>
      <c r="H221" s="292">
        <f t="shared" si="17"/>
        <v>1.1646380929040008</v>
      </c>
      <c r="I221" s="58">
        <f t="shared" si="18"/>
        <v>144945.65869618711</v>
      </c>
    </row>
    <row r="222" spans="1:9" x14ac:dyDescent="0.25">
      <c r="A222" s="50">
        <f>'A) Base RI'!A224</f>
        <v>5755</v>
      </c>
      <c r="B222" s="33" t="str">
        <f>'A) Base RI'!B224</f>
        <v>Lignerolle</v>
      </c>
      <c r="C222" s="99">
        <f>'A) Base RI'!V224</f>
        <v>417</v>
      </c>
      <c r="D222" s="115">
        <f>'D) Ecrêtage'!E222</f>
        <v>22.35093079162781</v>
      </c>
      <c r="E222" s="35">
        <f t="shared" si="15"/>
        <v>22.869953786494143</v>
      </c>
      <c r="F222" s="291">
        <f t="shared" si="16"/>
        <v>205994.24774571005</v>
      </c>
      <c r="G222" s="34">
        <f>+'A) Base RI'!U224</f>
        <v>80</v>
      </c>
      <c r="H222" s="292">
        <f t="shared" si="17"/>
        <v>1.1793803472445579</v>
      </c>
      <c r="I222" s="58">
        <f t="shared" si="18"/>
        <v>242945.56743671698</v>
      </c>
    </row>
    <row r="223" spans="1:9" x14ac:dyDescent="0.25">
      <c r="A223" s="50">
        <f>'A) Base RI'!A225</f>
        <v>5756</v>
      </c>
      <c r="B223" s="33" t="str">
        <f>'A) Base RI'!B225</f>
        <v>Montcherand</v>
      </c>
      <c r="C223" s="99">
        <f>'A) Base RI'!V225</f>
        <v>482</v>
      </c>
      <c r="D223" s="115">
        <f>'D) Ecrêtage'!E223</f>
        <v>38.25027391855307</v>
      </c>
      <c r="E223" s="35">
        <f t="shared" si="15"/>
        <v>6.9706106595688837</v>
      </c>
      <c r="F223" s="291">
        <f t="shared" si="16"/>
        <v>65315.179529013214</v>
      </c>
      <c r="G223" s="34">
        <f>+'A) Base RI'!U225</f>
        <v>72</v>
      </c>
      <c r="H223" s="292">
        <f t="shared" si="17"/>
        <v>1.061442312520102</v>
      </c>
      <c r="I223" s="58">
        <f t="shared" si="18"/>
        <v>69328.295201941408</v>
      </c>
    </row>
    <row r="224" spans="1:9" x14ac:dyDescent="0.25">
      <c r="A224" s="50">
        <f>'A) Base RI'!A226</f>
        <v>5757</v>
      </c>
      <c r="B224" s="33" t="str">
        <f>'A) Base RI'!B226</f>
        <v>Orbe</v>
      </c>
      <c r="C224" s="99">
        <f>'A) Base RI'!V226</f>
        <v>6985</v>
      </c>
      <c r="D224" s="115">
        <f>'D) Ecrêtage'!E224</f>
        <v>27.967160848124919</v>
      </c>
      <c r="E224" s="35">
        <f t="shared" si="15"/>
        <v>17.253723729997034</v>
      </c>
      <c r="F224" s="291">
        <f t="shared" si="16"/>
        <v>2505553.8406812688</v>
      </c>
      <c r="G224" s="34">
        <f>+'A) Base RI'!U226</f>
        <v>77</v>
      </c>
      <c r="H224" s="292">
        <f t="shared" si="17"/>
        <v>1.1351535842228868</v>
      </c>
      <c r="I224" s="58">
        <f t="shared" si="18"/>
        <v>2844188.4227127624</v>
      </c>
    </row>
    <row r="225" spans="1:9" x14ac:dyDescent="0.25">
      <c r="A225" s="50">
        <f>'A) Base RI'!A227</f>
        <v>5758</v>
      </c>
      <c r="B225" s="33" t="str">
        <f>'A) Base RI'!B227</f>
        <v>La Praz</v>
      </c>
      <c r="C225" s="99">
        <f>'A) Base RI'!V227</f>
        <v>160</v>
      </c>
      <c r="D225" s="115">
        <f>'D) Ecrêtage'!E225</f>
        <v>20.106772128259585</v>
      </c>
      <c r="E225" s="35">
        <f t="shared" si="15"/>
        <v>25.114112449862368</v>
      </c>
      <c r="F225" s="291">
        <f t="shared" si="16"/>
        <v>90049.161600226522</v>
      </c>
      <c r="G225" s="34">
        <f>+'A) Base RI'!U227</f>
        <v>83</v>
      </c>
      <c r="H225" s="292">
        <f t="shared" si="17"/>
        <v>1.2236071102662287</v>
      </c>
      <c r="I225" s="58">
        <f t="shared" si="18"/>
        <v>110184.79440754982</v>
      </c>
    </row>
    <row r="226" spans="1:9" x14ac:dyDescent="0.25">
      <c r="A226" s="50">
        <f>'A) Base RI'!A228</f>
        <v>5759</v>
      </c>
      <c r="B226" s="33" t="str">
        <f>'A) Base RI'!B228</f>
        <v>Premier</v>
      </c>
      <c r="C226" s="99">
        <f>'A) Base RI'!V228</f>
        <v>210</v>
      </c>
      <c r="D226" s="115">
        <f>'D) Ecrêtage'!E226</f>
        <v>22.52427470831082</v>
      </c>
      <c r="E226" s="35">
        <f t="shared" si="15"/>
        <v>22.696609869811134</v>
      </c>
      <c r="F226" s="291">
        <f t="shared" si="16"/>
        <v>104238.72014908161</v>
      </c>
      <c r="G226" s="34">
        <f>+'A) Base RI'!U228</f>
        <v>81</v>
      </c>
      <c r="H226" s="292">
        <f t="shared" si="17"/>
        <v>1.1941226015851147</v>
      </c>
      <c r="I226" s="58">
        <f t="shared" si="18"/>
        <v>124473.81169032404</v>
      </c>
    </row>
    <row r="227" spans="1:9" x14ac:dyDescent="0.25">
      <c r="A227" s="50">
        <f>'A) Base RI'!A229</f>
        <v>5760</v>
      </c>
      <c r="B227" s="33" t="str">
        <f>'A) Base RI'!B229</f>
        <v>Rances</v>
      </c>
      <c r="C227" s="99">
        <f>'A) Base RI'!V229</f>
        <v>485</v>
      </c>
      <c r="D227" s="115">
        <f>'D) Ecrêtage'!E227</f>
        <v>21.500481081890094</v>
      </c>
      <c r="E227" s="35">
        <f t="shared" si="15"/>
        <v>23.72040349623186</v>
      </c>
      <c r="F227" s="291">
        <f t="shared" si="16"/>
        <v>242282.57335086187</v>
      </c>
      <c r="G227" s="34">
        <f>+'A) Base RI'!U229</f>
        <v>78</v>
      </c>
      <c r="H227" s="292">
        <f t="shared" si="17"/>
        <v>1.1498958385634439</v>
      </c>
      <c r="I227" s="58">
        <f t="shared" si="18"/>
        <v>278599.72285259841</v>
      </c>
    </row>
    <row r="228" spans="1:9" x14ac:dyDescent="0.25">
      <c r="A228" s="50">
        <f>'A) Base RI'!A230</f>
        <v>5761</v>
      </c>
      <c r="B228" s="33" t="str">
        <f>'A) Base RI'!B230</f>
        <v>Romainmôtier-Envy</v>
      </c>
      <c r="C228" s="99">
        <f>'A) Base RI'!V230</f>
        <v>551</v>
      </c>
      <c r="D228" s="115">
        <f>'D) Ecrêtage'!E228</f>
        <v>23.276709308350998</v>
      </c>
      <c r="E228" s="35">
        <f t="shared" si="15"/>
        <v>21.944175269770955</v>
      </c>
      <c r="F228" s="291">
        <f t="shared" si="16"/>
        <v>264435.43134558981</v>
      </c>
      <c r="G228" s="34">
        <f>+'A) Base RI'!U230</f>
        <v>81</v>
      </c>
      <c r="H228" s="292">
        <f t="shared" si="17"/>
        <v>1.1941226015851147</v>
      </c>
      <c r="I228" s="58">
        <f t="shared" si="18"/>
        <v>315768.32522967772</v>
      </c>
    </row>
    <row r="229" spans="1:9" x14ac:dyDescent="0.25">
      <c r="A229" s="50">
        <f>'A) Base RI'!A231</f>
        <v>5762</v>
      </c>
      <c r="B229" s="33" t="str">
        <f>'A) Base RI'!B231</f>
        <v>Sergey</v>
      </c>
      <c r="C229" s="99">
        <f>'A) Base RI'!V231</f>
        <v>137</v>
      </c>
      <c r="D229" s="115">
        <f>'D) Ecrêtage'!E229</f>
        <v>29.092256059187026</v>
      </c>
      <c r="E229" s="35">
        <f t="shared" si="15"/>
        <v>16.128628518934928</v>
      </c>
      <c r="F229" s="291">
        <f t="shared" si="16"/>
        <v>46534.641575401438</v>
      </c>
      <c r="G229" s="34">
        <f>+'A) Base RI'!U231</f>
        <v>78</v>
      </c>
      <c r="H229" s="292">
        <f t="shared" si="17"/>
        <v>1.1498958385634439</v>
      </c>
      <c r="I229" s="58">
        <f t="shared" si="18"/>
        <v>53509.990696595538</v>
      </c>
    </row>
    <row r="230" spans="1:9" x14ac:dyDescent="0.25">
      <c r="A230" s="50">
        <f>'A) Base RI'!A232</f>
        <v>5763</v>
      </c>
      <c r="B230" s="33" t="str">
        <f>'A) Base RI'!B232</f>
        <v>Valeyres-sous-Rances</v>
      </c>
      <c r="C230" s="99">
        <f>'A) Base RI'!V232</f>
        <v>631</v>
      </c>
      <c r="D230" s="115">
        <f>'D) Ecrêtage'!E230</f>
        <v>31.877683143860892</v>
      </c>
      <c r="E230" s="35">
        <f t="shared" si="15"/>
        <v>13.343201434261061</v>
      </c>
      <c r="F230" s="291">
        <f t="shared" si="16"/>
        <v>147763.27984307875</v>
      </c>
      <c r="G230" s="34">
        <f>+'A) Base RI'!U232</f>
        <v>65</v>
      </c>
      <c r="H230" s="292">
        <f t="shared" si="17"/>
        <v>0.95824653213620326</v>
      </c>
      <c r="I230" s="58">
        <f t="shared" si="18"/>
        <v>141593.65048670155</v>
      </c>
    </row>
    <row r="231" spans="1:9" x14ac:dyDescent="0.25">
      <c r="A231" s="50">
        <f>'A) Base RI'!A233</f>
        <v>5764</v>
      </c>
      <c r="B231" s="33" t="str">
        <f>'A) Base RI'!B233</f>
        <v>Vallorbe</v>
      </c>
      <c r="C231" s="99">
        <f>'A) Base RI'!V233</f>
        <v>3851</v>
      </c>
      <c r="D231" s="115">
        <f>'D) Ecrêtage'!E231</f>
        <v>21.094380121936918</v>
      </c>
      <c r="E231" s="35">
        <f t="shared" si="15"/>
        <v>24.126504456185035</v>
      </c>
      <c r="F231" s="291">
        <f t="shared" si="16"/>
        <v>1831279.1343037488</v>
      </c>
      <c r="G231" s="34">
        <f>+'A) Base RI'!U233</f>
        <v>73</v>
      </c>
      <c r="H231" s="292">
        <f t="shared" si="17"/>
        <v>1.0761845668606591</v>
      </c>
      <c r="I231" s="58">
        <f t="shared" si="18"/>
        <v>1970794.3419516427</v>
      </c>
    </row>
    <row r="232" spans="1:9" x14ac:dyDescent="0.25">
      <c r="A232" s="50">
        <f>'A) Base RI'!A234</f>
        <v>5765</v>
      </c>
      <c r="B232" s="33" t="str">
        <f>'A) Base RI'!B234</f>
        <v>Vaulion</v>
      </c>
      <c r="C232" s="99">
        <f>'A) Base RI'!V234</f>
        <v>482</v>
      </c>
      <c r="D232" s="115">
        <f>'D) Ecrêtage'!E232</f>
        <v>19.855160889710611</v>
      </c>
      <c r="E232" s="35">
        <f t="shared" si="15"/>
        <v>25.365723688411343</v>
      </c>
      <c r="F232" s="291">
        <f t="shared" si="16"/>
        <v>267388.71774559806</v>
      </c>
      <c r="G232" s="34">
        <f>+'A) Base RI'!U234</f>
        <v>81</v>
      </c>
      <c r="H232" s="292">
        <f t="shared" si="17"/>
        <v>1.1941226015851147</v>
      </c>
      <c r="I232" s="58">
        <f t="shared" si="18"/>
        <v>319294.91126888146</v>
      </c>
    </row>
    <row r="233" spans="1:9" x14ac:dyDescent="0.25">
      <c r="A233" s="50">
        <f>'A) Base RI'!A235</f>
        <v>5766</v>
      </c>
      <c r="B233" s="33" t="str">
        <f>'A) Base RI'!B235</f>
        <v>Vuiteboeuf</v>
      </c>
      <c r="C233" s="99">
        <f>'A) Base RI'!V235</f>
        <v>574</v>
      </c>
      <c r="D233" s="115">
        <f>'D) Ecrêtage'!E233</f>
        <v>22.46306889941841</v>
      </c>
      <c r="E233" s="35">
        <f t="shared" si="15"/>
        <v>22.757815678703544</v>
      </c>
      <c r="F233" s="291">
        <f t="shared" si="16"/>
        <v>271579.48308918159</v>
      </c>
      <c r="G233" s="34">
        <f>+'A) Base RI'!U235</f>
        <v>77</v>
      </c>
      <c r="H233" s="292">
        <f t="shared" si="17"/>
        <v>1.1351535842228868</v>
      </c>
      <c r="I233" s="58">
        <f t="shared" si="18"/>
        <v>308284.42363008339</v>
      </c>
    </row>
    <row r="234" spans="1:9" x14ac:dyDescent="0.25">
      <c r="A234" s="50">
        <f>'A) Base RI'!A236</f>
        <v>5785</v>
      </c>
      <c r="B234" s="33" t="str">
        <f>'A) Base RI'!B236</f>
        <v>Corcelles-le-Jorat</v>
      </c>
      <c r="C234" s="99">
        <f>'A) Base RI'!V236</f>
        <v>460</v>
      </c>
      <c r="D234" s="115">
        <f>'D) Ecrêtage'!E234</f>
        <v>33.630885892995394</v>
      </c>
      <c r="E234" s="35">
        <f t="shared" si="15"/>
        <v>11.58999868512656</v>
      </c>
      <c r="F234" s="291">
        <f t="shared" si="16"/>
        <v>110839.79342533935</v>
      </c>
      <c r="G234" s="34">
        <f>+'A) Base RI'!U236</f>
        <v>77</v>
      </c>
      <c r="H234" s="292">
        <f t="shared" si="17"/>
        <v>1.1351535842228868</v>
      </c>
      <c r="I234" s="58">
        <f t="shared" si="18"/>
        <v>125820.18878129832</v>
      </c>
    </row>
    <row r="235" spans="1:9" x14ac:dyDescent="0.25">
      <c r="A235" s="50">
        <f>'A) Base RI'!A237</f>
        <v>5788</v>
      </c>
      <c r="B235" s="33" t="str">
        <f>'A) Base RI'!B237</f>
        <v>Essertes</v>
      </c>
      <c r="C235" s="99">
        <f>'A) Base RI'!V237</f>
        <v>346</v>
      </c>
      <c r="D235" s="115">
        <f>'D) Ecrêtage'!E235</f>
        <v>33.347611522830761</v>
      </c>
      <c r="E235" s="35">
        <f t="shared" si="15"/>
        <v>11.873273055291193</v>
      </c>
      <c r="F235" s="291">
        <f t="shared" si="16"/>
        <v>79862.484155421844</v>
      </c>
      <c r="G235" s="34">
        <f>+'A) Base RI'!U237</f>
        <v>72</v>
      </c>
      <c r="H235" s="292">
        <f t="shared" si="17"/>
        <v>1.061442312520102</v>
      </c>
      <c r="I235" s="58">
        <f t="shared" si="18"/>
        <v>84769.419865530974</v>
      </c>
    </row>
    <row r="236" spans="1:9" x14ac:dyDescent="0.25">
      <c r="A236" s="50">
        <f>'A) Base RI'!A238</f>
        <v>5790</v>
      </c>
      <c r="B236" s="33" t="str">
        <f>'A) Base RI'!B238</f>
        <v>Maracon</v>
      </c>
      <c r="C236" s="99">
        <f>'A) Base RI'!V238</f>
        <v>477</v>
      </c>
      <c r="D236" s="115">
        <f>'D) Ecrêtage'!E236</f>
        <v>25.375686777456899</v>
      </c>
      <c r="E236" s="35">
        <f t="shared" si="15"/>
        <v>19.845197800665055</v>
      </c>
      <c r="F236" s="291">
        <f t="shared" si="16"/>
        <v>194245.58988082159</v>
      </c>
      <c r="G236" s="34">
        <f>+'A) Base RI'!U238</f>
        <v>76</v>
      </c>
      <c r="H236" s="292">
        <f t="shared" si="17"/>
        <v>1.1204113298823299</v>
      </c>
      <c r="I236" s="58">
        <f t="shared" si="18"/>
        <v>217634.95968214897</v>
      </c>
    </row>
    <row r="237" spans="1:9" x14ac:dyDescent="0.25">
      <c r="A237" s="50">
        <f>'A) Base RI'!A239</f>
        <v>5792</v>
      </c>
      <c r="B237" s="33" t="str">
        <f>'A) Base RI'!B239</f>
        <v>Montpreveyres</v>
      </c>
      <c r="C237" s="99">
        <f>'A) Base RI'!V239</f>
        <v>648</v>
      </c>
      <c r="D237" s="115">
        <f>'D) Ecrêtage'!E237</f>
        <v>26.836308272960341</v>
      </c>
      <c r="E237" s="35">
        <f t="shared" si="15"/>
        <v>18.384576305161612</v>
      </c>
      <c r="F237" s="291">
        <f t="shared" si="16"/>
        <v>247675.54121703285</v>
      </c>
      <c r="G237" s="34">
        <f>+'A) Base RI'!U239</f>
        <v>77</v>
      </c>
      <c r="H237" s="292">
        <f t="shared" si="17"/>
        <v>1.1351535842228868</v>
      </c>
      <c r="I237" s="58">
        <f t="shared" si="18"/>
        <v>281149.77833685814</v>
      </c>
    </row>
    <row r="238" spans="1:9" x14ac:dyDescent="0.25">
      <c r="A238" s="50">
        <f>'A) Base RI'!A240</f>
        <v>5798</v>
      </c>
      <c r="B238" s="33" t="str">
        <f>'A) Base RI'!B240</f>
        <v>Ropraz</v>
      </c>
      <c r="C238" s="99">
        <f>'A) Base RI'!V240</f>
        <v>450</v>
      </c>
      <c r="D238" s="115">
        <f>'D) Ecrêtage'!E238</f>
        <v>31.093790628121514</v>
      </c>
      <c r="E238" s="35">
        <f t="shared" si="15"/>
        <v>14.12709395000044</v>
      </c>
      <c r="F238" s="291">
        <f t="shared" si="16"/>
        <v>133024.24840669165</v>
      </c>
      <c r="G238" s="34">
        <f>+'A) Base RI'!U240</f>
        <v>77.5</v>
      </c>
      <c r="H238" s="292">
        <f t="shared" si="17"/>
        <v>1.1425247113931654</v>
      </c>
      <c r="I238" s="58">
        <f t="shared" si="18"/>
        <v>151983.49101914812</v>
      </c>
    </row>
    <row r="239" spans="1:9" x14ac:dyDescent="0.25">
      <c r="A239" s="50">
        <f>'A) Base RI'!A241</f>
        <v>5799</v>
      </c>
      <c r="B239" s="33" t="str">
        <f>'A) Base RI'!B241</f>
        <v>Servion</v>
      </c>
      <c r="C239" s="99">
        <f>'A) Base RI'!V241</f>
        <v>1904</v>
      </c>
      <c r="D239" s="115">
        <f>'D) Ecrêtage'!E239</f>
        <v>34.275242998537202</v>
      </c>
      <c r="E239" s="35">
        <f t="shared" si="15"/>
        <v>10.945641579584752</v>
      </c>
      <c r="F239" s="291">
        <f t="shared" si="16"/>
        <v>388258.5442030722</v>
      </c>
      <c r="G239" s="34">
        <f>+'A) Base RI'!U241</f>
        <v>69</v>
      </c>
      <c r="H239" s="292">
        <f t="shared" si="17"/>
        <v>1.0172155494984312</v>
      </c>
      <c r="I239" s="58">
        <f t="shared" si="18"/>
        <v>394942.62838898902</v>
      </c>
    </row>
    <row r="240" spans="1:9" x14ac:dyDescent="0.25">
      <c r="A240" s="50">
        <f>'A) Base RI'!A242</f>
        <v>5803</v>
      </c>
      <c r="B240" s="33" t="str">
        <f>'A) Base RI'!B242</f>
        <v>Vulliens</v>
      </c>
      <c r="C240" s="99">
        <f>'A) Base RI'!V242</f>
        <v>515</v>
      </c>
      <c r="D240" s="115">
        <f>'D) Ecrêtage'!E240</f>
        <v>30.129846579734703</v>
      </c>
      <c r="E240" s="35">
        <f t="shared" si="15"/>
        <v>15.09103799838725</v>
      </c>
      <c r="F240" s="291">
        <f t="shared" si="16"/>
        <v>163675.88902670829</v>
      </c>
      <c r="G240" s="34">
        <f>+'A) Base RI'!U242</f>
        <v>78</v>
      </c>
      <c r="H240" s="292">
        <f t="shared" si="17"/>
        <v>1.1498958385634439</v>
      </c>
      <c r="I240" s="58">
        <f t="shared" si="18"/>
        <v>188210.2236649839</v>
      </c>
    </row>
    <row r="241" spans="1:9" x14ac:dyDescent="0.25">
      <c r="A241" s="50">
        <f>'A) Base RI'!A243</f>
        <v>5804</v>
      </c>
      <c r="B241" s="33" t="str">
        <f>'A) Base RI'!B243</f>
        <v>Jorat-Menthue</v>
      </c>
      <c r="C241" s="99">
        <f>'A) Base RI'!V243</f>
        <v>1532</v>
      </c>
      <c r="D241" s="115">
        <f>'D) Ecrêtage'!E241</f>
        <v>30.685764289069922</v>
      </c>
      <c r="E241" s="35">
        <f t="shared" si="15"/>
        <v>14.535120289052031</v>
      </c>
      <c r="F241" s="291">
        <f t="shared" si="16"/>
        <v>432886.1152581707</v>
      </c>
      <c r="G241" s="34">
        <f>+'A) Base RI'!U243</f>
        <v>72</v>
      </c>
      <c r="H241" s="292">
        <f t="shared" si="17"/>
        <v>1.061442312520102</v>
      </c>
      <c r="I241" s="58">
        <f t="shared" si="18"/>
        <v>459483.63923747611</v>
      </c>
    </row>
    <row r="242" spans="1:9" x14ac:dyDescent="0.25">
      <c r="A242" s="50">
        <f>'A) Base RI'!A244</f>
        <v>5805</v>
      </c>
      <c r="B242" s="33" t="str">
        <f>'A) Base RI'!B244</f>
        <v>Oron</v>
      </c>
      <c r="C242" s="99">
        <f>'A) Base RI'!V244</f>
        <v>5463</v>
      </c>
      <c r="D242" s="115">
        <f>'D) Ecrêtage'!E242</f>
        <v>26.603204998379681</v>
      </c>
      <c r="E242" s="35">
        <f t="shared" si="15"/>
        <v>18.617679579742273</v>
      </c>
      <c r="F242" s="291">
        <f t="shared" si="16"/>
        <v>1894827.18542718</v>
      </c>
      <c r="G242" s="34">
        <f>+'A) Base RI'!U244</f>
        <v>69</v>
      </c>
      <c r="H242" s="292">
        <f t="shared" si="17"/>
        <v>1.0172155494984312</v>
      </c>
      <c r="I242" s="58">
        <f t="shared" si="18"/>
        <v>1927447.6766288746</v>
      </c>
    </row>
    <row r="243" spans="1:9" x14ac:dyDescent="0.25">
      <c r="A243" s="50">
        <f>'A) Base RI'!A245</f>
        <v>5806</v>
      </c>
      <c r="B243" s="33" t="str">
        <f>'A) Base RI'!B245</f>
        <v>Jorat-Mézières</v>
      </c>
      <c r="C243" s="99">
        <f>'A) Base RI'!V245</f>
        <v>2850</v>
      </c>
      <c r="D243" s="115">
        <f>'D) Ecrêtage'!E243</f>
        <v>29.855306509695282</v>
      </c>
      <c r="E243" s="35">
        <f t="shared" si="15"/>
        <v>15.365578068426672</v>
      </c>
      <c r="F243" s="291">
        <f t="shared" si="16"/>
        <v>898609.73659772868</v>
      </c>
      <c r="G243" s="34">
        <f>+'A) Base RI'!U245</f>
        <v>76</v>
      </c>
      <c r="H243" s="292">
        <f t="shared" si="17"/>
        <v>1.1204113298823299</v>
      </c>
      <c r="I243" s="58">
        <f t="shared" si="18"/>
        <v>1006812.5300266714</v>
      </c>
    </row>
    <row r="244" spans="1:9" x14ac:dyDescent="0.25">
      <c r="A244" s="50">
        <f>'A) Base RI'!A246</f>
        <v>5812</v>
      </c>
      <c r="B244" s="33" t="str">
        <f>'A) Base RI'!B246</f>
        <v>Champtauroz</v>
      </c>
      <c r="C244" s="99">
        <f>'A) Base RI'!V246</f>
        <v>128</v>
      </c>
      <c r="D244" s="115">
        <f>'D) Ecrêtage'!E244</f>
        <v>18.865328596741531</v>
      </c>
      <c r="E244" s="35">
        <f t="shared" si="15"/>
        <v>26.355555981380423</v>
      </c>
      <c r="F244" s="291">
        <f t="shared" si="16"/>
        <v>70135.297133171072</v>
      </c>
      <c r="G244" s="34">
        <f>+'A) Base RI'!U246</f>
        <v>77</v>
      </c>
      <c r="H244" s="292">
        <f t="shared" si="17"/>
        <v>1.1351535842228868</v>
      </c>
      <c r="I244" s="58">
        <f t="shared" si="18"/>
        <v>79614.333921256301</v>
      </c>
    </row>
    <row r="245" spans="1:9" x14ac:dyDescent="0.25">
      <c r="A245" s="50">
        <f>'A) Base RI'!A247</f>
        <v>5813</v>
      </c>
      <c r="B245" s="33" t="str">
        <f>'A) Base RI'!B247</f>
        <v>Chevroux</v>
      </c>
      <c r="C245" s="99">
        <f>'A) Base RI'!V247</f>
        <v>470</v>
      </c>
      <c r="D245" s="115">
        <f>'D) Ecrêtage'!E245</f>
        <v>27.90100311570745</v>
      </c>
      <c r="E245" s="35">
        <f t="shared" si="15"/>
        <v>17.319881462414504</v>
      </c>
      <c r="F245" s="291">
        <f t="shared" si="16"/>
        <v>153852.50703062804</v>
      </c>
      <c r="G245" s="34">
        <f>+'A) Base RI'!U247</f>
        <v>70</v>
      </c>
      <c r="H245" s="292">
        <f t="shared" si="17"/>
        <v>1.0319578038389881</v>
      </c>
      <c r="I245" s="58">
        <f t="shared" si="18"/>
        <v>158769.29527044939</v>
      </c>
    </row>
    <row r="246" spans="1:9" x14ac:dyDescent="0.25">
      <c r="A246" s="50">
        <f>'A) Base RI'!A248</f>
        <v>5816</v>
      </c>
      <c r="B246" s="33" t="str">
        <f>'A) Base RI'!B248</f>
        <v>Corcelles-près-Payerne</v>
      </c>
      <c r="C246" s="99">
        <f>'A) Base RI'!V248</f>
        <v>2448</v>
      </c>
      <c r="D246" s="115">
        <f>'D) Ecrêtage'!E246</f>
        <v>23.070159263878004</v>
      </c>
      <c r="E246" s="35">
        <f t="shared" si="15"/>
        <v>22.15072531424395</v>
      </c>
      <c r="F246" s="291">
        <f t="shared" si="16"/>
        <v>1054133.5250665932</v>
      </c>
      <c r="G246" s="34">
        <f>+'A) Base RI'!U248</f>
        <v>72</v>
      </c>
      <c r="H246" s="292">
        <f t="shared" si="17"/>
        <v>1.061442312520102</v>
      </c>
      <c r="I246" s="58">
        <f t="shared" si="18"/>
        <v>1118901.9265516517</v>
      </c>
    </row>
    <row r="247" spans="1:9" x14ac:dyDescent="0.25">
      <c r="A247" s="50">
        <f>'A) Base RI'!A249</f>
        <v>5817</v>
      </c>
      <c r="B247" s="33" t="str">
        <f>'A) Base RI'!B249</f>
        <v>Grandcour</v>
      </c>
      <c r="C247" s="99">
        <f>'A) Base RI'!V249</f>
        <v>890</v>
      </c>
      <c r="D247" s="115">
        <f>'D) Ecrêtage'!E247</f>
        <v>24.811816334802536</v>
      </c>
      <c r="E247" s="35">
        <f t="shared" si="15"/>
        <v>20.409068243319417</v>
      </c>
      <c r="F247" s="291">
        <f t="shared" si="16"/>
        <v>389891.77836013766</v>
      </c>
      <c r="G247" s="34">
        <f>+'A) Base RI'!U249</f>
        <v>79.5</v>
      </c>
      <c r="H247" s="292">
        <f t="shared" si="17"/>
        <v>1.1720092200742793</v>
      </c>
      <c r="I247" s="58">
        <f t="shared" si="18"/>
        <v>456956.75906923873</v>
      </c>
    </row>
    <row r="248" spans="1:9" x14ac:dyDescent="0.25">
      <c r="A248" s="50">
        <f>'A) Base RI'!A250</f>
        <v>5819</v>
      </c>
      <c r="B248" s="33" t="str">
        <f>'A) Base RI'!B250</f>
        <v>Henniez</v>
      </c>
      <c r="C248" s="99">
        <f>'A) Base RI'!V250</f>
        <v>359</v>
      </c>
      <c r="D248" s="115">
        <f>'D) Ecrêtage'!E248</f>
        <v>38.283739842832723</v>
      </c>
      <c r="E248" s="35">
        <f t="shared" si="15"/>
        <v>6.9371447352892304</v>
      </c>
      <c r="F248" s="291">
        <f t="shared" si="16"/>
        <v>46396.803304219371</v>
      </c>
      <c r="G248" s="34">
        <f>+'A) Base RI'!U250</f>
        <v>69</v>
      </c>
      <c r="H248" s="292">
        <f t="shared" si="17"/>
        <v>1.0172155494984312</v>
      </c>
      <c r="I248" s="58">
        <f t="shared" si="18"/>
        <v>47195.549768072138</v>
      </c>
    </row>
    <row r="249" spans="1:9" x14ac:dyDescent="0.25">
      <c r="A249" s="50">
        <f>'A) Base RI'!A251</f>
        <v>5821</v>
      </c>
      <c r="B249" s="33" t="str">
        <f>'A) Base RI'!B251</f>
        <v>Missy</v>
      </c>
      <c r="C249" s="99">
        <f>'A) Base RI'!V251</f>
        <v>352</v>
      </c>
      <c r="D249" s="115">
        <f>'D) Ecrêtage'!E249</f>
        <v>21.699044346104483</v>
      </c>
      <c r="E249" s="35">
        <f t="shared" si="15"/>
        <v>23.521840232017471</v>
      </c>
      <c r="F249" s="291">
        <f t="shared" si="16"/>
        <v>160957.13008686772</v>
      </c>
      <c r="G249" s="34">
        <f>+'A) Base RI'!U251</f>
        <v>72</v>
      </c>
      <c r="H249" s="292">
        <f t="shared" si="17"/>
        <v>1.061442312520102</v>
      </c>
      <c r="I249" s="58">
        <f t="shared" si="18"/>
        <v>170846.70837600375</v>
      </c>
    </row>
    <row r="250" spans="1:9" x14ac:dyDescent="0.25">
      <c r="A250" s="50">
        <f>'A) Base RI'!A252</f>
        <v>5822</v>
      </c>
      <c r="B250" s="33" t="str">
        <f>'A) Base RI'!B252</f>
        <v>Payerne</v>
      </c>
      <c r="C250" s="99">
        <f>'A) Base RI'!V252</f>
        <v>9716</v>
      </c>
      <c r="D250" s="115">
        <f>'D) Ecrêtage'!E250</f>
        <v>24.305939090784335</v>
      </c>
      <c r="E250" s="35">
        <f t="shared" si="15"/>
        <v>20.914945487337619</v>
      </c>
      <c r="F250" s="291">
        <f t="shared" si="16"/>
        <v>4114994.6096881893</v>
      </c>
      <c r="G250" s="34">
        <f>+'A) Base RI'!U252</f>
        <v>75</v>
      </c>
      <c r="H250" s="292">
        <f t="shared" si="17"/>
        <v>1.1056690755417729</v>
      </c>
      <c r="I250" s="58">
        <f t="shared" si="18"/>
        <v>4549822.2859533187</v>
      </c>
    </row>
    <row r="251" spans="1:9" x14ac:dyDescent="0.25">
      <c r="A251" s="50">
        <f>'A) Base RI'!A253</f>
        <v>5827</v>
      </c>
      <c r="B251" s="33" t="str">
        <f>'A) Base RI'!B253</f>
        <v>Trey</v>
      </c>
      <c r="C251" s="99">
        <f>'A) Base RI'!V253</f>
        <v>268</v>
      </c>
      <c r="D251" s="115">
        <f>'D) Ecrêtage'!E251</f>
        <v>24.963427960367181</v>
      </c>
      <c r="E251" s="35">
        <f t="shared" si="15"/>
        <v>20.257456617754773</v>
      </c>
      <c r="F251" s="291">
        <f t="shared" si="16"/>
        <v>117266.36486885884</v>
      </c>
      <c r="G251" s="34">
        <f>+'A) Base RI'!U253</f>
        <v>80</v>
      </c>
      <c r="H251" s="292">
        <f t="shared" si="17"/>
        <v>1.1793803472445579</v>
      </c>
      <c r="I251" s="58">
        <f t="shared" si="18"/>
        <v>138301.64611914178</v>
      </c>
    </row>
    <row r="252" spans="1:9" x14ac:dyDescent="0.25">
      <c r="A252" s="50">
        <f>'A) Base RI'!A254</f>
        <v>5828</v>
      </c>
      <c r="B252" s="33" t="str">
        <f>'A) Base RI'!B254</f>
        <v>Treytorrens (Payerne)</v>
      </c>
      <c r="C252" s="99">
        <f>'A) Base RI'!V254</f>
        <v>122</v>
      </c>
      <c r="D252" s="115">
        <f>'D) Ecrêtage'!E252</f>
        <v>18.685890796482166</v>
      </c>
      <c r="E252" s="35">
        <f t="shared" si="15"/>
        <v>26.534993781639788</v>
      </c>
      <c r="F252" s="291">
        <f t="shared" si="16"/>
        <v>73421.266394046019</v>
      </c>
      <c r="G252" s="34">
        <f>+'A) Base RI'!U254</f>
        <v>84</v>
      </c>
      <c r="H252" s="292">
        <f t="shared" si="17"/>
        <v>1.2383493646067858</v>
      </c>
      <c r="I252" s="58">
        <f t="shared" si="18"/>
        <v>90921.17858769244</v>
      </c>
    </row>
    <row r="253" spans="1:9" x14ac:dyDescent="0.25">
      <c r="A253" s="50">
        <f>'A) Base RI'!A255</f>
        <v>5830</v>
      </c>
      <c r="B253" s="33" t="str">
        <f>'A) Base RI'!B255</f>
        <v>Villarzel</v>
      </c>
      <c r="C253" s="99">
        <f>'A) Base RI'!V255</f>
        <v>417</v>
      </c>
      <c r="D253" s="115">
        <f>'D) Ecrêtage'!E253</f>
        <v>25.052874209559857</v>
      </c>
      <c r="E253" s="35">
        <f t="shared" si="15"/>
        <v>20.168010368562097</v>
      </c>
      <c r="F253" s="291">
        <f t="shared" si="16"/>
        <v>179386.58670431614</v>
      </c>
      <c r="G253" s="34">
        <f>+'A) Base RI'!U255</f>
        <v>79</v>
      </c>
      <c r="H253" s="292">
        <f t="shared" si="17"/>
        <v>1.1646380929040008</v>
      </c>
      <c r="I253" s="58">
        <f t="shared" si="18"/>
        <v>208920.45223187294</v>
      </c>
    </row>
    <row r="254" spans="1:9" x14ac:dyDescent="0.25">
      <c r="A254" s="50">
        <f>'A) Base RI'!A256</f>
        <v>5831</v>
      </c>
      <c r="B254" s="33" t="str">
        <f>'A) Base RI'!B256</f>
        <v>Valbroye</v>
      </c>
      <c r="C254" s="99">
        <f>'A) Base RI'!V256</f>
        <v>3035</v>
      </c>
      <c r="D254" s="115">
        <f>'D) Ecrêtage'!E254</f>
        <v>26.488885292278614</v>
      </c>
      <c r="E254" s="35">
        <f t="shared" si="15"/>
        <v>18.73199928584334</v>
      </c>
      <c r="F254" s="291">
        <f t="shared" si="16"/>
        <v>1120545.3874792559</v>
      </c>
      <c r="G254" s="34">
        <f>+'A) Base RI'!U256</f>
        <v>73</v>
      </c>
      <c r="H254" s="292">
        <f t="shared" si="17"/>
        <v>1.0761845668606591</v>
      </c>
      <c r="I254" s="58">
        <f t="shared" si="18"/>
        <v>1205913.6524720725</v>
      </c>
    </row>
    <row r="255" spans="1:9" x14ac:dyDescent="0.25">
      <c r="A255" s="50">
        <f>'A) Base RI'!A257</f>
        <v>5841</v>
      </c>
      <c r="B255" s="33" t="str">
        <f>'A) Base RI'!B257</f>
        <v>Château-d'Oex</v>
      </c>
      <c r="C255" s="99">
        <f>'A) Base RI'!V257</f>
        <v>3433</v>
      </c>
      <c r="D255" s="115">
        <f>'D) Ecrêtage'!E255</f>
        <v>32.75268775476826</v>
      </c>
      <c r="E255" s="35">
        <f t="shared" si="15"/>
        <v>12.468196823353694</v>
      </c>
      <c r="F255" s="291">
        <f t="shared" si="16"/>
        <v>959222.39435538615</v>
      </c>
      <c r="G255" s="34">
        <f>+'A) Base RI'!U257</f>
        <v>83</v>
      </c>
      <c r="H255" s="292">
        <f t="shared" si="17"/>
        <v>1.2236071102662287</v>
      </c>
      <c r="I255" s="58">
        <f t="shared" si="18"/>
        <v>1173711.342059847</v>
      </c>
    </row>
    <row r="256" spans="1:9" x14ac:dyDescent="0.25">
      <c r="A256" s="50">
        <f>'A) Base RI'!A258</f>
        <v>5842</v>
      </c>
      <c r="B256" s="33" t="str">
        <f>'A) Base RI'!B258</f>
        <v>Rossinière</v>
      </c>
      <c r="C256" s="99">
        <f>'A) Base RI'!V258</f>
        <v>545</v>
      </c>
      <c r="D256" s="115">
        <f>'D) Ecrêtage'!E256</f>
        <v>22.869465479949408</v>
      </c>
      <c r="E256" s="35">
        <f t="shared" si="15"/>
        <v>22.351419098172546</v>
      </c>
      <c r="F256" s="291">
        <f t="shared" si="16"/>
        <v>266409.91694398335</v>
      </c>
      <c r="G256" s="34">
        <f>+'A) Base RI'!U258</f>
        <v>81</v>
      </c>
      <c r="H256" s="292">
        <f t="shared" si="17"/>
        <v>1.1941226015851147</v>
      </c>
      <c r="I256" s="58">
        <f t="shared" si="18"/>
        <v>318126.10310922371</v>
      </c>
    </row>
    <row r="257" spans="1:9" x14ac:dyDescent="0.25">
      <c r="A257" s="50">
        <f>'A) Base RI'!A259</f>
        <v>5843</v>
      </c>
      <c r="B257" s="33" t="str">
        <f>'A) Base RI'!B259</f>
        <v>Rougemont</v>
      </c>
      <c r="C257" s="99">
        <f>'A) Base RI'!V259</f>
        <v>882</v>
      </c>
      <c r="D257" s="115">
        <f>'D) Ecrêtage'!E257</f>
        <v>98.759462905872368</v>
      </c>
      <c r="E257" s="35">
        <f t="shared" si="15"/>
        <v>0</v>
      </c>
      <c r="F257" s="291">
        <f t="shared" si="16"/>
        <v>0</v>
      </c>
      <c r="G257" s="34">
        <f>+'A) Base RI'!U259</f>
        <v>74</v>
      </c>
      <c r="H257" s="292">
        <f t="shared" si="17"/>
        <v>1.090926821201216</v>
      </c>
      <c r="I257" s="58">
        <f t="shared" si="18"/>
        <v>0</v>
      </c>
    </row>
    <row r="258" spans="1:9" x14ac:dyDescent="0.25">
      <c r="A258" s="50">
        <f>'A) Base RI'!A260</f>
        <v>5851</v>
      </c>
      <c r="B258" s="33" t="str">
        <f>'A) Base RI'!B260</f>
        <v>Allaman</v>
      </c>
      <c r="C258" s="99">
        <f>'A) Base RI'!V260</f>
        <v>442</v>
      </c>
      <c r="D258" s="115">
        <f>'D) Ecrêtage'!E258</f>
        <v>62.863208104139716</v>
      </c>
      <c r="E258" s="35">
        <f t="shared" si="15"/>
        <v>0</v>
      </c>
      <c r="F258" s="291">
        <f t="shared" si="16"/>
        <v>0</v>
      </c>
      <c r="G258" s="34">
        <f>+'A) Base RI'!U260</f>
        <v>62</v>
      </c>
      <c r="H258" s="292">
        <f t="shared" si="17"/>
        <v>0.91401976911453231</v>
      </c>
      <c r="I258" s="58">
        <f t="shared" si="18"/>
        <v>0</v>
      </c>
    </row>
    <row r="259" spans="1:9" x14ac:dyDescent="0.25">
      <c r="A259" s="50">
        <f>'A) Base RI'!A261</f>
        <v>5852</v>
      </c>
      <c r="B259" s="33" t="str">
        <f>'A) Base RI'!B261</f>
        <v>Bursinel</v>
      </c>
      <c r="C259" s="99">
        <f>'A) Base RI'!V261</f>
        <v>488</v>
      </c>
      <c r="D259" s="115">
        <f>'D) Ecrêtage'!E259</f>
        <v>79.385506203504207</v>
      </c>
      <c r="E259" s="35">
        <f t="shared" si="15"/>
        <v>0</v>
      </c>
      <c r="F259" s="291">
        <f t="shared" si="16"/>
        <v>0</v>
      </c>
      <c r="G259" s="34">
        <f>+'A) Base RI'!U261</f>
        <v>65.5</v>
      </c>
      <c r="H259" s="292">
        <f t="shared" si="17"/>
        <v>0.96561765930648169</v>
      </c>
      <c r="I259" s="58">
        <f t="shared" si="18"/>
        <v>0</v>
      </c>
    </row>
    <row r="260" spans="1:9" x14ac:dyDescent="0.25">
      <c r="A260" s="50">
        <f>'A) Base RI'!A262</f>
        <v>5853</v>
      </c>
      <c r="B260" s="33" t="str">
        <f>'A) Base RI'!B262</f>
        <v>Bursins</v>
      </c>
      <c r="C260" s="99">
        <f>'A) Base RI'!V262</f>
        <v>745</v>
      </c>
      <c r="D260" s="115">
        <f>'D) Ecrêtage'!E260</f>
        <v>48.231435935772325</v>
      </c>
      <c r="E260" s="35">
        <f t="shared" si="15"/>
        <v>0</v>
      </c>
      <c r="F260" s="291">
        <f t="shared" si="16"/>
        <v>0</v>
      </c>
      <c r="G260" s="34">
        <f>+'A) Base RI'!U262</f>
        <v>71</v>
      </c>
      <c r="H260" s="292">
        <f t="shared" si="17"/>
        <v>1.0467000581795451</v>
      </c>
      <c r="I260" s="58">
        <f t="shared" si="18"/>
        <v>0</v>
      </c>
    </row>
    <row r="261" spans="1:9" x14ac:dyDescent="0.25">
      <c r="A261" s="50">
        <f>'A) Base RI'!A263</f>
        <v>5854</v>
      </c>
      <c r="B261" s="33" t="str">
        <f>'A) Base RI'!B263</f>
        <v>Burtigny</v>
      </c>
      <c r="C261" s="99">
        <f>'A) Base RI'!V263</f>
        <v>361</v>
      </c>
      <c r="D261" s="115">
        <f>'D) Ecrêtage'!E261</f>
        <v>27.294390876361238</v>
      </c>
      <c r="E261" s="35">
        <f t="shared" si="15"/>
        <v>17.926493701760716</v>
      </c>
      <c r="F261" s="291">
        <f t="shared" si="16"/>
        <v>139783.62728884935</v>
      </c>
      <c r="G261" s="34">
        <f>+'A) Base RI'!U263</f>
        <v>80</v>
      </c>
      <c r="H261" s="292">
        <f t="shared" si="17"/>
        <v>1.1793803472445579</v>
      </c>
      <c r="I261" s="58">
        <f t="shared" si="18"/>
        <v>164858.06289102702</v>
      </c>
    </row>
    <row r="262" spans="1:9" x14ac:dyDescent="0.25">
      <c r="A262" s="50">
        <f>'A) Base RI'!A264</f>
        <v>5855</v>
      </c>
      <c r="B262" s="33" t="str">
        <f>'A) Base RI'!B264</f>
        <v>Dully</v>
      </c>
      <c r="C262" s="99">
        <f>'A) Base RI'!V264</f>
        <v>640</v>
      </c>
      <c r="D262" s="115">
        <f>'D) Ecrêtage'!E262</f>
        <v>122.27979074721273</v>
      </c>
      <c r="E262" s="35">
        <f t="shared" ref="E262:E313" si="19">IF($D$314-D262&lt;0,0,$D$314-D262)</f>
        <v>0</v>
      </c>
      <c r="F262" s="291">
        <f t="shared" ref="F262:F313" si="20">(C262*E262*G262)*$E$4</f>
        <v>0</v>
      </c>
      <c r="G262" s="34">
        <f>+'A) Base RI'!U264</f>
        <v>49</v>
      </c>
      <c r="H262" s="292">
        <f t="shared" ref="H262:H313" si="21">G262/$G$314</f>
        <v>0.72237046268729166</v>
      </c>
      <c r="I262" s="58">
        <f t="shared" ref="I262:I313" si="22">F262*H262</f>
        <v>0</v>
      </c>
    </row>
    <row r="263" spans="1:9" x14ac:dyDescent="0.25">
      <c r="A263" s="50">
        <f>'A) Base RI'!A265</f>
        <v>5856</v>
      </c>
      <c r="B263" s="33" t="str">
        <f>'A) Base RI'!B265</f>
        <v>Essertines-sur-Rolle</v>
      </c>
      <c r="C263" s="99">
        <f>'A) Base RI'!V265</f>
        <v>696</v>
      </c>
      <c r="D263" s="115">
        <f>'D) Ecrêtage'!E263</f>
        <v>49.365851389411219</v>
      </c>
      <c r="E263" s="35">
        <f t="shared" si="19"/>
        <v>0</v>
      </c>
      <c r="F263" s="291">
        <f t="shared" si="20"/>
        <v>0</v>
      </c>
      <c r="G263" s="34">
        <f>+'A) Base RI'!U265</f>
        <v>68</v>
      </c>
      <c r="H263" s="292">
        <f t="shared" si="21"/>
        <v>1.0024732951578741</v>
      </c>
      <c r="I263" s="58">
        <f t="shared" si="22"/>
        <v>0</v>
      </c>
    </row>
    <row r="264" spans="1:9" x14ac:dyDescent="0.25">
      <c r="A264" s="50">
        <f>'A) Base RI'!A266</f>
        <v>5857</v>
      </c>
      <c r="B264" s="33" t="str">
        <f>'A) Base RI'!B266</f>
        <v>Gilly</v>
      </c>
      <c r="C264" s="99">
        <f>'A) Base RI'!V266</f>
        <v>1294</v>
      </c>
      <c r="D264" s="115">
        <f>'D) Ecrêtage'!E264</f>
        <v>59.124002490073146</v>
      </c>
      <c r="E264" s="35">
        <f t="shared" si="19"/>
        <v>0</v>
      </c>
      <c r="F264" s="291">
        <f t="shared" si="20"/>
        <v>0</v>
      </c>
      <c r="G264" s="34">
        <f>+'A) Base RI'!U266</f>
        <v>66</v>
      </c>
      <c r="H264" s="292">
        <f t="shared" si="21"/>
        <v>0.97298878647676024</v>
      </c>
      <c r="I264" s="58">
        <f t="shared" si="22"/>
        <v>0</v>
      </c>
    </row>
    <row r="265" spans="1:9" x14ac:dyDescent="0.25">
      <c r="A265" s="50">
        <f>'A) Base RI'!A267</f>
        <v>5858</v>
      </c>
      <c r="B265" s="33" t="str">
        <f>'A) Base RI'!B267</f>
        <v>Luins</v>
      </c>
      <c r="C265" s="99">
        <f>'A) Base RI'!V267</f>
        <v>608</v>
      </c>
      <c r="D265" s="115">
        <f>'D) Ecrêtage'!E265</f>
        <v>56.377650829735771</v>
      </c>
      <c r="E265" s="35">
        <f t="shared" si="19"/>
        <v>0</v>
      </c>
      <c r="F265" s="291">
        <f t="shared" si="20"/>
        <v>0</v>
      </c>
      <c r="G265" s="34">
        <f>+'A) Base RI'!U267</f>
        <v>60</v>
      </c>
      <c r="H265" s="292">
        <f t="shared" si="21"/>
        <v>0.88453526043341835</v>
      </c>
      <c r="I265" s="58">
        <f t="shared" si="22"/>
        <v>0</v>
      </c>
    </row>
    <row r="266" spans="1:9" x14ac:dyDescent="0.25">
      <c r="A266" s="50">
        <f>'A) Base RI'!A268</f>
        <v>5859</v>
      </c>
      <c r="B266" s="33" t="str">
        <f>'A) Base RI'!B268</f>
        <v>Mont-sur-Rolle</v>
      </c>
      <c r="C266" s="99">
        <f>'A) Base RI'!V268</f>
        <v>2701</v>
      </c>
      <c r="D266" s="115">
        <f>'D) Ecrêtage'!E266</f>
        <v>50.449911385281013</v>
      </c>
      <c r="E266" s="35">
        <f t="shared" si="19"/>
        <v>0</v>
      </c>
      <c r="F266" s="291">
        <f t="shared" si="20"/>
        <v>0</v>
      </c>
      <c r="G266" s="34">
        <f>+'A) Base RI'!U268</f>
        <v>64</v>
      </c>
      <c r="H266" s="292">
        <f t="shared" si="21"/>
        <v>0.94350427779564627</v>
      </c>
      <c r="I266" s="58">
        <f t="shared" si="22"/>
        <v>0</v>
      </c>
    </row>
    <row r="267" spans="1:9" x14ac:dyDescent="0.25">
      <c r="A267" s="50">
        <f>'A) Base RI'!A269</f>
        <v>5860</v>
      </c>
      <c r="B267" s="33" t="str">
        <f>'A) Base RI'!B269</f>
        <v>Perroy</v>
      </c>
      <c r="C267" s="99">
        <f>'A) Base RI'!V269</f>
        <v>1514</v>
      </c>
      <c r="D267" s="115">
        <f>'D) Ecrêtage'!E267</f>
        <v>57.837673896498849</v>
      </c>
      <c r="E267" s="35">
        <f t="shared" si="19"/>
        <v>0</v>
      </c>
      <c r="F267" s="291">
        <f t="shared" si="20"/>
        <v>0</v>
      </c>
      <c r="G267" s="34">
        <f>+'A) Base RI'!U269</f>
        <v>60</v>
      </c>
      <c r="H267" s="292">
        <f t="shared" si="21"/>
        <v>0.88453526043341835</v>
      </c>
      <c r="I267" s="58">
        <f t="shared" si="22"/>
        <v>0</v>
      </c>
    </row>
    <row r="268" spans="1:9" x14ac:dyDescent="0.25">
      <c r="A268" s="50">
        <f>'A) Base RI'!A270</f>
        <v>5861</v>
      </c>
      <c r="B268" s="33" t="str">
        <f>'A) Base RI'!B270</f>
        <v>Rolle</v>
      </c>
      <c r="C268" s="99">
        <f>'A) Base RI'!V270</f>
        <v>6225</v>
      </c>
      <c r="D268" s="115">
        <f>'D) Ecrêtage'!E268</f>
        <v>124.33008373223784</v>
      </c>
      <c r="E268" s="35">
        <f t="shared" si="19"/>
        <v>0</v>
      </c>
      <c r="F268" s="291">
        <f t="shared" si="20"/>
        <v>0</v>
      </c>
      <c r="G268" s="34">
        <f>+'A) Base RI'!U270</f>
        <v>59.5</v>
      </c>
      <c r="H268" s="292">
        <f t="shared" si="21"/>
        <v>0.87716413326313991</v>
      </c>
      <c r="I268" s="58">
        <f t="shared" si="22"/>
        <v>0</v>
      </c>
    </row>
    <row r="269" spans="1:9" x14ac:dyDescent="0.25">
      <c r="A269" s="50">
        <f>'A) Base RI'!A271</f>
        <v>5862</v>
      </c>
      <c r="B269" s="33" t="str">
        <f>'A) Base RI'!B271</f>
        <v>Tartegnin</v>
      </c>
      <c r="C269" s="99">
        <f>'A) Base RI'!V271</f>
        <v>235</v>
      </c>
      <c r="D269" s="115">
        <f>'D) Ecrêtage'!E269</f>
        <v>45.060619814505024</v>
      </c>
      <c r="E269" s="35">
        <f t="shared" si="19"/>
        <v>0.16026476361692943</v>
      </c>
      <c r="F269" s="291">
        <f t="shared" si="20"/>
        <v>823.672739371028</v>
      </c>
      <c r="G269" s="34">
        <f>+'A) Base RI'!U271</f>
        <v>81</v>
      </c>
      <c r="H269" s="292">
        <f t="shared" si="21"/>
        <v>1.1941226015851147</v>
      </c>
      <c r="I269" s="58">
        <f t="shared" si="22"/>
        <v>983.56623439247016</v>
      </c>
    </row>
    <row r="270" spans="1:9" x14ac:dyDescent="0.25">
      <c r="A270" s="50">
        <f>'A) Base RI'!A272</f>
        <v>5863</v>
      </c>
      <c r="B270" s="33" t="str">
        <f>'A) Base RI'!B272</f>
        <v>Vinzel</v>
      </c>
      <c r="C270" s="99">
        <f>'A) Base RI'!V272</f>
        <v>371</v>
      </c>
      <c r="D270" s="115">
        <f>'D) Ecrêtage'!E270</f>
        <v>61.395977631074146</v>
      </c>
      <c r="E270" s="35">
        <f t="shared" si="19"/>
        <v>0</v>
      </c>
      <c r="F270" s="291">
        <f t="shared" si="20"/>
        <v>0</v>
      </c>
      <c r="G270" s="34">
        <f>+'A) Base RI'!U272</f>
        <v>67</v>
      </c>
      <c r="H270" s="292">
        <f t="shared" si="21"/>
        <v>0.98773104081731722</v>
      </c>
      <c r="I270" s="58">
        <f t="shared" si="22"/>
        <v>0</v>
      </c>
    </row>
    <row r="271" spans="1:9" x14ac:dyDescent="0.25">
      <c r="A271" s="50">
        <f>'A) Base RI'!A273</f>
        <v>5871</v>
      </c>
      <c r="B271" s="33" t="str">
        <f>'A) Base RI'!B273</f>
        <v>L'Abbaye</v>
      </c>
      <c r="C271" s="99">
        <f>'A) Base RI'!V273</f>
        <v>1492</v>
      </c>
      <c r="D271" s="115">
        <f>'D) Ecrêtage'!E271</f>
        <v>31.141978163015484</v>
      </c>
      <c r="E271" s="35">
        <f t="shared" si="19"/>
        <v>14.07890641510647</v>
      </c>
      <c r="F271" s="291">
        <f t="shared" si="20"/>
        <v>438410.55683821323</v>
      </c>
      <c r="G271" s="34">
        <f>+'A) Base RI'!U273</f>
        <v>77.3</v>
      </c>
      <c r="H271" s="292">
        <f t="shared" si="21"/>
        <v>1.1395762605250539</v>
      </c>
      <c r="I271" s="58">
        <f t="shared" si="22"/>
        <v>499602.26293639763</v>
      </c>
    </row>
    <row r="272" spans="1:9" x14ac:dyDescent="0.25">
      <c r="A272" s="50">
        <f>'A) Base RI'!A274</f>
        <v>5872</v>
      </c>
      <c r="B272" s="33" t="str">
        <f>'A) Base RI'!B274</f>
        <v>Le Chenit</v>
      </c>
      <c r="C272" s="99">
        <f>'A) Base RI'!V274</f>
        <v>4612</v>
      </c>
      <c r="D272" s="115">
        <f>'D) Ecrêtage'!E272</f>
        <v>44.118578171907899</v>
      </c>
      <c r="E272" s="35">
        <f t="shared" si="19"/>
        <v>1.1023064062140548</v>
      </c>
      <c r="F272" s="291">
        <f t="shared" si="20"/>
        <v>95480.562196298721</v>
      </c>
      <c r="G272" s="34">
        <f>+'A) Base RI'!U274</f>
        <v>69.56</v>
      </c>
      <c r="H272" s="292">
        <f t="shared" si="21"/>
        <v>1.0254712119291431</v>
      </c>
      <c r="I272" s="58">
        <f t="shared" si="22"/>
        <v>97912.567831114386</v>
      </c>
    </row>
    <row r="273" spans="1:9" x14ac:dyDescent="0.25">
      <c r="A273" s="50">
        <f>'A) Base RI'!A275</f>
        <v>5873</v>
      </c>
      <c r="B273" s="33" t="str">
        <f>'A) Base RI'!B275</f>
        <v>Le Lieu</v>
      </c>
      <c r="C273" s="99">
        <f>'A) Base RI'!V275</f>
        <v>869</v>
      </c>
      <c r="D273" s="115">
        <f>'D) Ecrêtage'!E273</f>
        <v>36.874715699796951</v>
      </c>
      <c r="E273" s="35">
        <f t="shared" si="19"/>
        <v>8.3461688783250025</v>
      </c>
      <c r="F273" s="291">
        <f t="shared" si="20"/>
        <v>127287.00425489071</v>
      </c>
      <c r="G273" s="34">
        <f>+'A) Base RI'!U275</f>
        <v>65</v>
      </c>
      <c r="H273" s="292">
        <f t="shared" si="21"/>
        <v>0.95824653213620326</v>
      </c>
      <c r="I273" s="58">
        <f t="shared" si="22"/>
        <v>121972.33041325517</v>
      </c>
    </row>
    <row r="274" spans="1:9" x14ac:dyDescent="0.25">
      <c r="A274" s="50">
        <f>'A) Base RI'!A276</f>
        <v>5881</v>
      </c>
      <c r="B274" s="33" t="str">
        <f>'A) Base RI'!B276</f>
        <v>Blonay</v>
      </c>
      <c r="C274" s="99">
        <f>'A) Base RI'!V276</f>
        <v>6183</v>
      </c>
      <c r="D274" s="115">
        <f>'D) Ecrêtage'!E274</f>
        <v>54.612123809843133</v>
      </c>
      <c r="E274" s="35">
        <f t="shared" si="19"/>
        <v>0</v>
      </c>
      <c r="F274" s="291">
        <f t="shared" si="20"/>
        <v>0</v>
      </c>
      <c r="G274" s="34">
        <f>+'A) Base RI'!U276</f>
        <v>70</v>
      </c>
      <c r="H274" s="292">
        <f t="shared" si="21"/>
        <v>1.0319578038389881</v>
      </c>
      <c r="I274" s="58">
        <f t="shared" si="22"/>
        <v>0</v>
      </c>
    </row>
    <row r="275" spans="1:9" x14ac:dyDescent="0.25">
      <c r="A275" s="50">
        <f>'A) Base RI'!A277</f>
        <v>5882</v>
      </c>
      <c r="B275" s="33" t="str">
        <f>'A) Base RI'!B277</f>
        <v>Chardonne</v>
      </c>
      <c r="C275" s="99">
        <f>'A) Base RI'!V277</f>
        <v>2921</v>
      </c>
      <c r="D275" s="115">
        <f>'D) Ecrêtage'!E275</f>
        <v>53.57119475281884</v>
      </c>
      <c r="E275" s="35">
        <f t="shared" si="19"/>
        <v>0</v>
      </c>
      <c r="F275" s="291">
        <f t="shared" si="20"/>
        <v>0</v>
      </c>
      <c r="G275" s="34">
        <f>+'A) Base RI'!U277</f>
        <v>68</v>
      </c>
      <c r="H275" s="292">
        <f t="shared" si="21"/>
        <v>1.0024732951578741</v>
      </c>
      <c r="I275" s="58">
        <f t="shared" si="22"/>
        <v>0</v>
      </c>
    </row>
    <row r="276" spans="1:9" x14ac:dyDescent="0.25">
      <c r="A276" s="50">
        <f>'A) Base RI'!A278</f>
        <v>5883</v>
      </c>
      <c r="B276" s="33" t="str">
        <f>'A) Base RI'!B278</f>
        <v>Corseaux</v>
      </c>
      <c r="C276" s="99">
        <f>'A) Base RI'!V278</f>
        <v>2289</v>
      </c>
      <c r="D276" s="115">
        <f>'D) Ecrêtage'!E276</f>
        <v>65.593949057748915</v>
      </c>
      <c r="E276" s="35">
        <f t="shared" si="19"/>
        <v>0</v>
      </c>
      <c r="F276" s="291">
        <f t="shared" si="20"/>
        <v>0</v>
      </c>
      <c r="G276" s="34">
        <f>+'A) Base RI'!U278</f>
        <v>69</v>
      </c>
      <c r="H276" s="292">
        <f t="shared" si="21"/>
        <v>1.0172155494984312</v>
      </c>
      <c r="I276" s="58">
        <f t="shared" si="22"/>
        <v>0</v>
      </c>
    </row>
    <row r="277" spans="1:9" x14ac:dyDescent="0.25">
      <c r="A277" s="50">
        <f>'A) Base RI'!A279</f>
        <v>5884</v>
      </c>
      <c r="B277" s="33" t="str">
        <f>'A) Base RI'!B279</f>
        <v>Corsier-sur-Vevey</v>
      </c>
      <c r="C277" s="99">
        <f>'A) Base RI'!V279</f>
        <v>3396</v>
      </c>
      <c r="D277" s="115">
        <f>'D) Ecrêtage'!E277</f>
        <v>35.507109483869058</v>
      </c>
      <c r="E277" s="35">
        <f t="shared" si="19"/>
        <v>9.7137750942528953</v>
      </c>
      <c r="F277" s="291">
        <f t="shared" si="20"/>
        <v>587845.80752187618</v>
      </c>
      <c r="G277" s="34">
        <f>+'A) Base RI'!U279</f>
        <v>66</v>
      </c>
      <c r="H277" s="292">
        <f t="shared" si="21"/>
        <v>0.97298878647676024</v>
      </c>
      <c r="I277" s="58">
        <f t="shared" si="22"/>
        <v>571967.37889616145</v>
      </c>
    </row>
    <row r="278" spans="1:9" x14ac:dyDescent="0.25">
      <c r="A278" s="50">
        <f>'A) Base RI'!A280</f>
        <v>5885</v>
      </c>
      <c r="B278" s="33" t="str">
        <f>'A) Base RI'!B280</f>
        <v>Jongny</v>
      </c>
      <c r="C278" s="99">
        <f>'A) Base RI'!V280</f>
        <v>1549</v>
      </c>
      <c r="D278" s="115">
        <f>'D) Ecrêtage'!E278</f>
        <v>59.804918209920004</v>
      </c>
      <c r="E278" s="35">
        <f t="shared" si="19"/>
        <v>0</v>
      </c>
      <c r="F278" s="291">
        <f t="shared" si="20"/>
        <v>0</v>
      </c>
      <c r="G278" s="34">
        <f>+'A) Base RI'!U280</f>
        <v>71</v>
      </c>
      <c r="H278" s="292">
        <f t="shared" si="21"/>
        <v>1.0467000581795451</v>
      </c>
      <c r="I278" s="58">
        <f t="shared" si="22"/>
        <v>0</v>
      </c>
    </row>
    <row r="279" spans="1:9" x14ac:dyDescent="0.25">
      <c r="A279" s="50">
        <f>'A) Base RI'!A281</f>
        <v>5886</v>
      </c>
      <c r="B279" s="33" t="str">
        <f>'A) Base RI'!B281</f>
        <v>Montreux</v>
      </c>
      <c r="C279" s="99">
        <f>'A) Base RI'!V281</f>
        <v>26653</v>
      </c>
      <c r="D279" s="115">
        <f>'D) Ecrêtage'!E279</f>
        <v>42.057454289687108</v>
      </c>
      <c r="E279" s="35">
        <f t="shared" si="19"/>
        <v>3.1634302884348457</v>
      </c>
      <c r="F279" s="291">
        <f t="shared" si="20"/>
        <v>1479726.6262328268</v>
      </c>
      <c r="G279" s="34">
        <f>+'A) Base RI'!U281</f>
        <v>65</v>
      </c>
      <c r="H279" s="292">
        <f t="shared" si="21"/>
        <v>0.95824653213620326</v>
      </c>
      <c r="I279" s="58">
        <f t="shared" si="22"/>
        <v>1417942.9080972101</v>
      </c>
    </row>
    <row r="280" spans="1:9" x14ac:dyDescent="0.25">
      <c r="A280" s="50">
        <f>'A) Base RI'!A282</f>
        <v>5888</v>
      </c>
      <c r="B280" s="33" t="str">
        <f>'A) Base RI'!B282</f>
        <v>Saint-Légier-La Chiésaz</v>
      </c>
      <c r="C280" s="99">
        <f>'A) Base RI'!V282</f>
        <v>5167</v>
      </c>
      <c r="D280" s="115">
        <f>'D) Ecrêtage'!E280</f>
        <v>56.340983958639157</v>
      </c>
      <c r="E280" s="35">
        <f t="shared" si="19"/>
        <v>0</v>
      </c>
      <c r="F280" s="291">
        <f t="shared" si="20"/>
        <v>0</v>
      </c>
      <c r="G280" s="34">
        <f>+'A) Base RI'!U282</f>
        <v>67</v>
      </c>
      <c r="H280" s="292">
        <f t="shared" si="21"/>
        <v>0.98773104081731722</v>
      </c>
      <c r="I280" s="58">
        <f t="shared" si="22"/>
        <v>0</v>
      </c>
    </row>
    <row r="281" spans="1:9" x14ac:dyDescent="0.25">
      <c r="A281" s="50">
        <f>'A) Base RI'!A283</f>
        <v>5889</v>
      </c>
      <c r="B281" s="33" t="str">
        <f>'A) Base RI'!B283</f>
        <v>La Tour-de-Peilz</v>
      </c>
      <c r="C281" s="99">
        <f>'A) Base RI'!V283</f>
        <v>11779</v>
      </c>
      <c r="D281" s="115">
        <f>'D) Ecrêtage'!E281</f>
        <v>57.26557644190946</v>
      </c>
      <c r="E281" s="35">
        <f t="shared" si="19"/>
        <v>0</v>
      </c>
      <c r="F281" s="291">
        <f t="shared" si="20"/>
        <v>0</v>
      </c>
      <c r="G281" s="34">
        <f>+'A) Base RI'!U283</f>
        <v>64</v>
      </c>
      <c r="H281" s="292">
        <f t="shared" si="21"/>
        <v>0.94350427779564627</v>
      </c>
      <c r="I281" s="58">
        <f t="shared" si="22"/>
        <v>0</v>
      </c>
    </row>
    <row r="282" spans="1:9" x14ac:dyDescent="0.25">
      <c r="A282" s="50">
        <f>'A) Base RI'!A284</f>
        <v>5890</v>
      </c>
      <c r="B282" s="33" t="str">
        <f>'A) Base RI'!B284</f>
        <v>Vevey</v>
      </c>
      <c r="C282" s="99">
        <f>'A) Base RI'!V284</f>
        <v>19829</v>
      </c>
      <c r="D282" s="115">
        <f>'D) Ecrêtage'!E282</f>
        <v>48.073423502931675</v>
      </c>
      <c r="E282" s="35">
        <f t="shared" si="19"/>
        <v>0</v>
      </c>
      <c r="F282" s="291">
        <f t="shared" si="20"/>
        <v>0</v>
      </c>
      <c r="G282" s="34">
        <f>+'A) Base RI'!U284</f>
        <v>73</v>
      </c>
      <c r="H282" s="292">
        <f t="shared" si="21"/>
        <v>1.0761845668606591</v>
      </c>
      <c r="I282" s="58">
        <f t="shared" si="22"/>
        <v>0</v>
      </c>
    </row>
    <row r="283" spans="1:9" x14ac:dyDescent="0.25">
      <c r="A283" s="50">
        <f>'A) Base RI'!A285</f>
        <v>5891</v>
      </c>
      <c r="B283" s="33" t="str">
        <f>'A) Base RI'!B285</f>
        <v>Veytaux</v>
      </c>
      <c r="C283" s="99">
        <f>'A) Base RI'!V285</f>
        <v>870</v>
      </c>
      <c r="D283" s="115">
        <f>'D) Ecrêtage'!E283</f>
        <v>40.390035177313656</v>
      </c>
      <c r="E283" s="35">
        <f t="shared" si="19"/>
        <v>4.8308494008082974</v>
      </c>
      <c r="F283" s="291">
        <f t="shared" si="20"/>
        <v>78298.890173240958</v>
      </c>
      <c r="G283" s="34">
        <f>+'A) Base RI'!U285</f>
        <v>69</v>
      </c>
      <c r="H283" s="292">
        <f t="shared" si="21"/>
        <v>1.0172155494984312</v>
      </c>
      <c r="I283" s="58">
        <f t="shared" si="22"/>
        <v>79646.848592690614</v>
      </c>
    </row>
    <row r="284" spans="1:9" x14ac:dyDescent="0.25">
      <c r="A284" s="50">
        <f>'A) Base RI'!A286</f>
        <v>5902</v>
      </c>
      <c r="B284" s="33" t="str">
        <f>'A) Base RI'!B286</f>
        <v>Belmont-sur-Yverdon</v>
      </c>
      <c r="C284" s="99">
        <f>'A) Base RI'!V286</f>
        <v>378</v>
      </c>
      <c r="D284" s="115">
        <f>'D) Ecrêtage'!E284</f>
        <v>26.164597044106436</v>
      </c>
      <c r="E284" s="35">
        <f t="shared" si="19"/>
        <v>19.056287534015517</v>
      </c>
      <c r="F284" s="291">
        <f t="shared" si="20"/>
        <v>147811.23763484342</v>
      </c>
      <c r="G284" s="34">
        <f>+'A) Base RI'!U286</f>
        <v>76</v>
      </c>
      <c r="H284" s="292">
        <f t="shared" si="21"/>
        <v>1.1204113298823299</v>
      </c>
      <c r="I284" s="58">
        <f t="shared" si="22"/>
        <v>165609.38533000802</v>
      </c>
    </row>
    <row r="285" spans="1:9" x14ac:dyDescent="0.25">
      <c r="A285" s="50">
        <f>'A) Base RI'!A287</f>
        <v>5903</v>
      </c>
      <c r="B285" s="33" t="str">
        <f>'A) Base RI'!B287</f>
        <v>Bioley-Magnoux</v>
      </c>
      <c r="C285" s="99">
        <f>'A) Base RI'!V287</f>
        <v>225</v>
      </c>
      <c r="D285" s="115">
        <f>'D) Ecrêtage'!E285</f>
        <v>26.337119764610129</v>
      </c>
      <c r="E285" s="35">
        <f t="shared" si="19"/>
        <v>18.883764813511824</v>
      </c>
      <c r="F285" s="291">
        <f t="shared" si="20"/>
        <v>84891.964719142401</v>
      </c>
      <c r="G285" s="34">
        <f>+'A) Base RI'!U287</f>
        <v>74</v>
      </c>
      <c r="H285" s="292">
        <f t="shared" si="21"/>
        <v>1.090926821201216</v>
      </c>
      <c r="I285" s="58">
        <f t="shared" si="22"/>
        <v>92610.921216579794</v>
      </c>
    </row>
    <row r="286" spans="1:9" x14ac:dyDescent="0.25">
      <c r="A286" s="50">
        <f>'A) Base RI'!A288</f>
        <v>5904</v>
      </c>
      <c r="B286" s="33" t="str">
        <f>'A) Base RI'!B288</f>
        <v>Chamblon</v>
      </c>
      <c r="C286" s="99">
        <f>'A) Base RI'!V288</f>
        <v>534</v>
      </c>
      <c r="D286" s="115">
        <f>'D) Ecrêtage'!E286</f>
        <v>40.544229721114803</v>
      </c>
      <c r="E286" s="35">
        <f t="shared" si="19"/>
        <v>4.6766548570071507</v>
      </c>
      <c r="F286" s="291">
        <f t="shared" si="20"/>
        <v>44502.486420697212</v>
      </c>
      <c r="G286" s="34">
        <f>+'A) Base RI'!U288</f>
        <v>66</v>
      </c>
      <c r="H286" s="292">
        <f t="shared" si="21"/>
        <v>0.97298878647676024</v>
      </c>
      <c r="I286" s="58">
        <f t="shared" si="22"/>
        <v>43300.420257672682</v>
      </c>
    </row>
    <row r="287" spans="1:9" x14ac:dyDescent="0.25">
      <c r="A287" s="50">
        <f>'A) Base RI'!A289</f>
        <v>5905</v>
      </c>
      <c r="B287" s="33" t="str">
        <f>'A) Base RI'!B289</f>
        <v>Champvent</v>
      </c>
      <c r="C287" s="99">
        <f>'A) Base RI'!V289</f>
        <v>669</v>
      </c>
      <c r="D287" s="115">
        <f>'D) Ecrêtage'!E287</f>
        <v>33.125730976146848</v>
      </c>
      <c r="E287" s="35">
        <f t="shared" si="19"/>
        <v>12.095153601975106</v>
      </c>
      <c r="F287" s="291">
        <f t="shared" si="20"/>
        <v>155117.07925385822</v>
      </c>
      <c r="G287" s="34">
        <f>+'A) Base RI'!U289</f>
        <v>71</v>
      </c>
      <c r="H287" s="292">
        <f t="shared" si="21"/>
        <v>1.0467000581795451</v>
      </c>
      <c r="I287" s="58">
        <f t="shared" si="22"/>
        <v>162361.05587965451</v>
      </c>
    </row>
    <row r="288" spans="1:9" x14ac:dyDescent="0.25">
      <c r="A288" s="50">
        <f>'A) Base RI'!A290</f>
        <v>5907</v>
      </c>
      <c r="B288" s="33" t="str">
        <f>'A) Base RI'!B290</f>
        <v>Chavannes-le-Chêne</v>
      </c>
      <c r="C288" s="99">
        <f>'A) Base RI'!V290</f>
        <v>298</v>
      </c>
      <c r="D288" s="115">
        <f>'D) Ecrêtage'!E288</f>
        <v>28.976083651309526</v>
      </c>
      <c r="E288" s="35">
        <f t="shared" si="19"/>
        <v>16.244800926812427</v>
      </c>
      <c r="F288" s="291">
        <f t="shared" si="20"/>
        <v>101950.42124056356</v>
      </c>
      <c r="G288" s="34">
        <f>+'A) Base RI'!U290</f>
        <v>78</v>
      </c>
      <c r="H288" s="292">
        <f t="shared" si="21"/>
        <v>1.1498958385634439</v>
      </c>
      <c r="I288" s="58">
        <f t="shared" si="22"/>
        <v>117232.36512431418</v>
      </c>
    </row>
    <row r="289" spans="1:9" x14ac:dyDescent="0.25">
      <c r="A289" s="50">
        <f>'A) Base RI'!A291</f>
        <v>5908</v>
      </c>
      <c r="B289" s="33" t="str">
        <f>'A) Base RI'!B291</f>
        <v>Chêne-Pâquier</v>
      </c>
      <c r="C289" s="99">
        <f>'A) Base RI'!V291</f>
        <v>139</v>
      </c>
      <c r="D289" s="115">
        <f>'D) Ecrêtage'!E289</f>
        <v>19.804667485903725</v>
      </c>
      <c r="E289" s="35">
        <f t="shared" si="19"/>
        <v>25.416217092218229</v>
      </c>
      <c r="F289" s="291">
        <f t="shared" si="20"/>
        <v>75355.779570205064</v>
      </c>
      <c r="G289" s="34">
        <f>+'A) Base RI'!U291</f>
        <v>79</v>
      </c>
      <c r="H289" s="292">
        <f t="shared" si="21"/>
        <v>1.1646380929040008</v>
      </c>
      <c r="I289" s="58">
        <f t="shared" si="22"/>
        <v>87762.211407937895</v>
      </c>
    </row>
    <row r="290" spans="1:9" x14ac:dyDescent="0.25">
      <c r="A290" s="50">
        <f>'A) Base RI'!A292</f>
        <v>5909</v>
      </c>
      <c r="B290" s="33" t="str">
        <f>'A) Base RI'!B292</f>
        <v>Cheseaux-Noréaz</v>
      </c>
      <c r="C290" s="99">
        <f>'A) Base RI'!V292</f>
        <v>705</v>
      </c>
      <c r="D290" s="115">
        <f>'D) Ecrêtage'!E290</f>
        <v>39.518636769878334</v>
      </c>
      <c r="E290" s="35">
        <f t="shared" si="19"/>
        <v>5.7022478082436194</v>
      </c>
      <c r="F290" s="291">
        <f t="shared" si="20"/>
        <v>75979.600920942103</v>
      </c>
      <c r="G290" s="34">
        <f>+'A) Base RI'!U292</f>
        <v>70</v>
      </c>
      <c r="H290" s="292">
        <f t="shared" si="21"/>
        <v>1.0319578038389881</v>
      </c>
      <c r="I290" s="58">
        <f t="shared" si="22"/>
        <v>78407.742102938166</v>
      </c>
    </row>
    <row r="291" spans="1:9" x14ac:dyDescent="0.25">
      <c r="A291" s="50">
        <f>'A) Base RI'!A293</f>
        <v>5910</v>
      </c>
      <c r="B291" s="33" t="str">
        <f>'A) Base RI'!B293</f>
        <v>Cronay</v>
      </c>
      <c r="C291" s="99">
        <f>'A) Base RI'!V293</f>
        <v>380</v>
      </c>
      <c r="D291" s="115">
        <f>'D) Ecrêtage'!E291</f>
        <v>26.534009355673398</v>
      </c>
      <c r="E291" s="35">
        <f t="shared" si="19"/>
        <v>18.686875222448556</v>
      </c>
      <c r="F291" s="291">
        <f t="shared" si="20"/>
        <v>151464.59842803451</v>
      </c>
      <c r="G291" s="34">
        <f>+'A) Base RI'!U293</f>
        <v>79</v>
      </c>
      <c r="H291" s="292">
        <f t="shared" si="21"/>
        <v>1.1646380929040008</v>
      </c>
      <c r="I291" s="58">
        <f t="shared" si="22"/>
        <v>176401.44105569643</v>
      </c>
    </row>
    <row r="292" spans="1:9" x14ac:dyDescent="0.25">
      <c r="A292" s="50">
        <f>'A) Base RI'!A294</f>
        <v>5911</v>
      </c>
      <c r="B292" s="33" t="str">
        <f>'A) Base RI'!B294</f>
        <v>Cuarny</v>
      </c>
      <c r="C292" s="99">
        <f>'A) Base RI'!V294</f>
        <v>241</v>
      </c>
      <c r="D292" s="115">
        <f>'D) Ecrêtage'!E292</f>
        <v>29.388976238951784</v>
      </c>
      <c r="E292" s="35">
        <f t="shared" si="19"/>
        <v>15.83190833917017</v>
      </c>
      <c r="F292" s="291">
        <f t="shared" si="20"/>
        <v>81384.399774754434</v>
      </c>
      <c r="G292" s="34">
        <f>+'A) Base RI'!U294</f>
        <v>79</v>
      </c>
      <c r="H292" s="292">
        <f t="shared" si="21"/>
        <v>1.1646380929040008</v>
      </c>
      <c r="I292" s="58">
        <f t="shared" si="22"/>
        <v>94783.372145806788</v>
      </c>
    </row>
    <row r="293" spans="1:9" x14ac:dyDescent="0.25">
      <c r="A293" s="50">
        <f>'A) Base RI'!A295</f>
        <v>5912</v>
      </c>
      <c r="B293" s="33" t="str">
        <f>'A) Base RI'!B295</f>
        <v>Démoret</v>
      </c>
      <c r="C293" s="99">
        <f>'A) Base RI'!V295</f>
        <v>146</v>
      </c>
      <c r="D293" s="115">
        <f>'D) Ecrêtage'!E293</f>
        <v>21.823571783491793</v>
      </c>
      <c r="E293" s="35">
        <f t="shared" si="19"/>
        <v>23.39731279463016</v>
      </c>
      <c r="F293" s="291">
        <f t="shared" si="20"/>
        <v>74708.087699509997</v>
      </c>
      <c r="G293" s="34">
        <f>+'A) Base RI'!U295</f>
        <v>81</v>
      </c>
      <c r="H293" s="292">
        <f t="shared" si="21"/>
        <v>1.1941226015851147</v>
      </c>
      <c r="I293" s="58">
        <f t="shared" si="22"/>
        <v>89210.616043187794</v>
      </c>
    </row>
    <row r="294" spans="1:9" x14ac:dyDescent="0.25">
      <c r="A294" s="50">
        <f>'A) Base RI'!A296</f>
        <v>5913</v>
      </c>
      <c r="B294" s="33" t="str">
        <f>'A) Base RI'!B296</f>
        <v>Donneloye</v>
      </c>
      <c r="C294" s="99">
        <f>'A) Base RI'!V296</f>
        <v>813</v>
      </c>
      <c r="D294" s="115">
        <f>'D) Ecrêtage'!E294</f>
        <v>24.643783926032103</v>
      </c>
      <c r="E294" s="35">
        <f t="shared" si="19"/>
        <v>20.57710065208985</v>
      </c>
      <c r="F294" s="291">
        <f t="shared" si="20"/>
        <v>329732.19358223781</v>
      </c>
      <c r="G294" s="34">
        <f>+'A) Base RI'!U296</f>
        <v>73</v>
      </c>
      <c r="H294" s="292">
        <f t="shared" si="21"/>
        <v>1.0761845668606591</v>
      </c>
      <c r="I294" s="58">
        <f t="shared" si="22"/>
        <v>354852.69793031563</v>
      </c>
    </row>
    <row r="295" spans="1:9" x14ac:dyDescent="0.25">
      <c r="A295" s="50">
        <f>'A) Base RI'!A297</f>
        <v>5914</v>
      </c>
      <c r="B295" s="33" t="str">
        <f>'A) Base RI'!B297</f>
        <v>Ependes</v>
      </c>
      <c r="C295" s="99">
        <f>'A) Base RI'!V297</f>
        <v>361</v>
      </c>
      <c r="D295" s="115">
        <f>'D) Ecrêtage'!E295</f>
        <v>28.172364610089819</v>
      </c>
      <c r="E295" s="35">
        <f t="shared" si="19"/>
        <v>17.048519968032135</v>
      </c>
      <c r="F295" s="291">
        <f t="shared" si="20"/>
        <v>124628.94309630692</v>
      </c>
      <c r="G295" s="34">
        <f>+'A) Base RI'!U297</f>
        <v>75</v>
      </c>
      <c r="H295" s="292">
        <f t="shared" si="21"/>
        <v>1.1056690755417729</v>
      </c>
      <c r="I295" s="58">
        <f t="shared" si="22"/>
        <v>137798.36829904187</v>
      </c>
    </row>
    <row r="296" spans="1:9" x14ac:dyDescent="0.25">
      <c r="A296" s="50">
        <f>'A) Base RI'!A298</f>
        <v>5919</v>
      </c>
      <c r="B296" s="33" t="str">
        <f>'A) Base RI'!B298</f>
        <v>Mathod</v>
      </c>
      <c r="C296" s="99">
        <f>'A) Base RI'!V298</f>
        <v>617</v>
      </c>
      <c r="D296" s="115">
        <f>'D) Ecrêtage'!E296</f>
        <v>25.867661634951649</v>
      </c>
      <c r="E296" s="35">
        <f t="shared" si="19"/>
        <v>19.353222943170305</v>
      </c>
      <c r="F296" s="291">
        <f t="shared" si="20"/>
        <v>232131.84552739738</v>
      </c>
      <c r="G296" s="34">
        <f>+'A) Base RI'!U298</f>
        <v>72</v>
      </c>
      <c r="H296" s="292">
        <f t="shared" si="21"/>
        <v>1.061442312520102</v>
      </c>
      <c r="I296" s="58">
        <f t="shared" si="22"/>
        <v>246394.56292615976</v>
      </c>
    </row>
    <row r="297" spans="1:9" x14ac:dyDescent="0.25">
      <c r="A297" s="50">
        <f>'A) Base RI'!A299</f>
        <v>5921</v>
      </c>
      <c r="B297" s="33" t="str">
        <f>'A) Base RI'!B299</f>
        <v>Molondin</v>
      </c>
      <c r="C297" s="99">
        <f>'A) Base RI'!V299</f>
        <v>232</v>
      </c>
      <c r="D297" s="115">
        <f>'D) Ecrêtage'!E297</f>
        <v>22.946799299836268</v>
      </c>
      <c r="E297" s="35">
        <f t="shared" si="19"/>
        <v>22.274085278285686</v>
      </c>
      <c r="F297" s="291">
        <f t="shared" si="20"/>
        <v>113015.14484837705</v>
      </c>
      <c r="G297" s="34">
        <f>+'A) Base RI'!U299</f>
        <v>81</v>
      </c>
      <c r="H297" s="292">
        <f t="shared" si="21"/>
        <v>1.1941226015851147</v>
      </c>
      <c r="I297" s="58">
        <f t="shared" si="22"/>
        <v>134953.93878486258</v>
      </c>
    </row>
    <row r="298" spans="1:9" x14ac:dyDescent="0.25">
      <c r="A298" s="50">
        <f>'A) Base RI'!A300</f>
        <v>5922</v>
      </c>
      <c r="B298" s="33" t="str">
        <f>'A) Base RI'!B300</f>
        <v>Montagny-près-Yverdon</v>
      </c>
      <c r="C298" s="99">
        <f>'A) Base RI'!V300</f>
        <v>717</v>
      </c>
      <c r="D298" s="115">
        <f>'D) Ecrêtage'!E298</f>
        <v>59.327905064684231</v>
      </c>
      <c r="E298" s="35">
        <f t="shared" si="19"/>
        <v>0</v>
      </c>
      <c r="F298" s="291">
        <f t="shared" si="20"/>
        <v>0</v>
      </c>
      <c r="G298" s="34">
        <f>+'A) Base RI'!U300</f>
        <v>61</v>
      </c>
      <c r="H298" s="292">
        <f t="shared" si="21"/>
        <v>0.89927751477397533</v>
      </c>
      <c r="I298" s="58">
        <f t="shared" si="22"/>
        <v>0</v>
      </c>
    </row>
    <row r="299" spans="1:9" x14ac:dyDescent="0.25">
      <c r="A299" s="50">
        <f>'A) Base RI'!A301</f>
        <v>5923</v>
      </c>
      <c r="B299" s="33" t="str">
        <f>'A) Base RI'!B301</f>
        <v>Oppens</v>
      </c>
      <c r="C299" s="99">
        <f>'A) Base RI'!V301</f>
        <v>187</v>
      </c>
      <c r="D299" s="115">
        <f>'D) Ecrêtage'!E299</f>
        <v>24.765196103663886</v>
      </c>
      <c r="E299" s="35">
        <f t="shared" si="19"/>
        <v>20.455688474458068</v>
      </c>
      <c r="F299" s="291">
        <f t="shared" si="20"/>
        <v>83657.424597106408</v>
      </c>
      <c r="G299" s="34">
        <f>+'A) Base RI'!U301</f>
        <v>81</v>
      </c>
      <c r="H299" s="292">
        <f t="shared" si="21"/>
        <v>1.1941226015851147</v>
      </c>
      <c r="I299" s="58">
        <f t="shared" si="22"/>
        <v>99897.221501807275</v>
      </c>
    </row>
    <row r="300" spans="1:9" x14ac:dyDescent="0.25">
      <c r="A300" s="50">
        <f>'A) Base RI'!A302</f>
        <v>5924</v>
      </c>
      <c r="B300" s="33" t="str">
        <f>'A) Base RI'!B302</f>
        <v>Orges</v>
      </c>
      <c r="C300" s="99">
        <f>'A) Base RI'!V302</f>
        <v>336</v>
      </c>
      <c r="D300" s="115">
        <f>'D) Ecrêtage'!E300</f>
        <v>30.942317341239985</v>
      </c>
      <c r="E300" s="35">
        <f t="shared" si="19"/>
        <v>14.278567236881969</v>
      </c>
      <c r="F300" s="291">
        <f t="shared" si="20"/>
        <v>95856.019860014989</v>
      </c>
      <c r="G300" s="34">
        <f>+'A) Base RI'!U302</f>
        <v>74</v>
      </c>
      <c r="H300" s="292">
        <f t="shared" si="21"/>
        <v>1.090926821201216</v>
      </c>
      <c r="I300" s="58">
        <f t="shared" si="22"/>
        <v>104571.90303888678</v>
      </c>
    </row>
    <row r="301" spans="1:9" x14ac:dyDescent="0.25">
      <c r="A301" s="50">
        <f>'A) Base RI'!A303</f>
        <v>5925</v>
      </c>
      <c r="B301" s="33" t="str">
        <f>'A) Base RI'!B303</f>
        <v>Orzens</v>
      </c>
      <c r="C301" s="99">
        <f>'A) Base RI'!V303</f>
        <v>195</v>
      </c>
      <c r="D301" s="115">
        <f>'D) Ecrêtage'!E301</f>
        <v>24.384746877573775</v>
      </c>
      <c r="E301" s="35">
        <f t="shared" si="19"/>
        <v>20.836137700548178</v>
      </c>
      <c r="F301" s="291">
        <f t="shared" si="20"/>
        <v>86664.789344775083</v>
      </c>
      <c r="G301" s="34">
        <f>+'A) Base RI'!U303</f>
        <v>79</v>
      </c>
      <c r="H301" s="292">
        <f t="shared" si="21"/>
        <v>1.1646380929040008</v>
      </c>
      <c r="I301" s="58">
        <f t="shared" si="22"/>
        <v>100933.11498442582</v>
      </c>
    </row>
    <row r="302" spans="1:9" x14ac:dyDescent="0.25">
      <c r="A302" s="50">
        <f>'A) Base RI'!A304</f>
        <v>5926</v>
      </c>
      <c r="B302" s="33" t="str">
        <f>'A) Base RI'!B304</f>
        <v>Pomy</v>
      </c>
      <c r="C302" s="99">
        <f>'A) Base RI'!V304</f>
        <v>785</v>
      </c>
      <c r="D302" s="115">
        <f>'D) Ecrêtage'!E302</f>
        <v>29.630396425835485</v>
      </c>
      <c r="E302" s="35">
        <f t="shared" si="19"/>
        <v>15.590488152286468</v>
      </c>
      <c r="F302" s="291">
        <f t="shared" si="20"/>
        <v>234612.68143527533</v>
      </c>
      <c r="G302" s="34">
        <f>+'A) Base RI'!U304</f>
        <v>71</v>
      </c>
      <c r="H302" s="292">
        <f t="shared" si="21"/>
        <v>1.0467000581795451</v>
      </c>
      <c r="I302" s="58">
        <f t="shared" si="22"/>
        <v>245569.10730796176</v>
      </c>
    </row>
    <row r="303" spans="1:9" x14ac:dyDescent="0.25">
      <c r="A303" s="50">
        <f>'A) Base RI'!A305</f>
        <v>5928</v>
      </c>
      <c r="B303" s="33" t="str">
        <f>'A) Base RI'!B305</f>
        <v>Rovray</v>
      </c>
      <c r="C303" s="99">
        <f>'A) Base RI'!V305</f>
        <v>187</v>
      </c>
      <c r="D303" s="115">
        <f>'D) Ecrêtage'!E303</f>
        <v>23.991222395996633</v>
      </c>
      <c r="E303" s="35">
        <f t="shared" si="19"/>
        <v>21.22966218212532</v>
      </c>
      <c r="F303" s="291">
        <f t="shared" si="20"/>
        <v>78247.651981012052</v>
      </c>
      <c r="G303" s="34">
        <f>+'A) Base RI'!U305</f>
        <v>73</v>
      </c>
      <c r="H303" s="292">
        <f t="shared" si="21"/>
        <v>1.0761845668606591</v>
      </c>
      <c r="I303" s="58">
        <f t="shared" si="22"/>
        <v>84208.915455049049</v>
      </c>
    </row>
    <row r="304" spans="1:9" x14ac:dyDescent="0.25">
      <c r="A304" s="50">
        <f>'A) Base RI'!A306</f>
        <v>5929</v>
      </c>
      <c r="B304" s="33" t="str">
        <f>'A) Base RI'!B306</f>
        <v>Suchy</v>
      </c>
      <c r="C304" s="99">
        <f>'A) Base RI'!V306</f>
        <v>605</v>
      </c>
      <c r="D304" s="115">
        <f>'D) Ecrêtage'!E304</f>
        <v>28.134241955346944</v>
      </c>
      <c r="E304" s="35">
        <f t="shared" si="19"/>
        <v>17.08664262277501</v>
      </c>
      <c r="F304" s="291">
        <f t="shared" si="20"/>
        <v>195377.21507012084</v>
      </c>
      <c r="G304" s="34">
        <f>+'A) Base RI'!U306</f>
        <v>70</v>
      </c>
      <c r="H304" s="292">
        <f t="shared" si="21"/>
        <v>1.0319578038389881</v>
      </c>
      <c r="I304" s="58">
        <f t="shared" si="22"/>
        <v>201621.04178393955</v>
      </c>
    </row>
    <row r="305" spans="1:9" x14ac:dyDescent="0.25">
      <c r="A305" s="50">
        <f>'A) Base RI'!A307</f>
        <v>5930</v>
      </c>
      <c r="B305" s="33" t="str">
        <f>'A) Base RI'!B307</f>
        <v>Suscévaz</v>
      </c>
      <c r="C305" s="99">
        <f>'A) Base RI'!V307</f>
        <v>200</v>
      </c>
      <c r="D305" s="115">
        <f>'D) Ecrêtage'!E305</f>
        <v>26.818262049424003</v>
      </c>
      <c r="E305" s="35">
        <f t="shared" si="19"/>
        <v>18.40262252869795</v>
      </c>
      <c r="F305" s="291">
        <f t="shared" si="20"/>
        <v>71549.39639157764</v>
      </c>
      <c r="G305" s="34">
        <f>+'A) Base RI'!U307</f>
        <v>72</v>
      </c>
      <c r="H305" s="292">
        <f t="shared" si="21"/>
        <v>1.061442312520102</v>
      </c>
      <c r="I305" s="58">
        <f t="shared" si="22"/>
        <v>75945.556765293615</v>
      </c>
    </row>
    <row r="306" spans="1:9" x14ac:dyDescent="0.25">
      <c r="A306" s="50">
        <f>'A) Base RI'!A308</f>
        <v>5931</v>
      </c>
      <c r="B306" s="33" t="str">
        <f>'A) Base RI'!B308</f>
        <v>Treycovagnes</v>
      </c>
      <c r="C306" s="99">
        <f>'A) Base RI'!V308</f>
        <v>456</v>
      </c>
      <c r="D306" s="115">
        <f>'D) Ecrêtage'!E306</f>
        <v>29.480533396635916</v>
      </c>
      <c r="E306" s="35">
        <f t="shared" si="19"/>
        <v>15.740351181486037</v>
      </c>
      <c r="F306" s="291">
        <f t="shared" si="20"/>
        <v>145346.40280984211</v>
      </c>
      <c r="G306" s="34">
        <f>+'A) Base RI'!U308</f>
        <v>75</v>
      </c>
      <c r="H306" s="292">
        <f t="shared" si="21"/>
        <v>1.1056690755417729</v>
      </c>
      <c r="I306" s="58">
        <f t="shared" si="22"/>
        <v>160705.02282808025</v>
      </c>
    </row>
    <row r="307" spans="1:9" x14ac:dyDescent="0.25">
      <c r="A307" s="50">
        <f>'A) Base RI'!A309</f>
        <v>5932</v>
      </c>
      <c r="B307" s="33" t="str">
        <f>'A) Base RI'!B309</f>
        <v>Ursins</v>
      </c>
      <c r="C307" s="99">
        <f>'A) Base RI'!V309</f>
        <v>218</v>
      </c>
      <c r="D307" s="115">
        <f>'D) Ecrêtage'!E307</f>
        <v>31.44633177481661</v>
      </c>
      <c r="E307" s="35">
        <f t="shared" si="19"/>
        <v>13.774552803305344</v>
      </c>
      <c r="F307" s="291">
        <f t="shared" si="20"/>
        <v>63240.073884199104</v>
      </c>
      <c r="G307" s="34">
        <f>+'A) Base RI'!U309</f>
        <v>78</v>
      </c>
      <c r="H307" s="292">
        <f t="shared" si="21"/>
        <v>1.1498958385634439</v>
      </c>
      <c r="I307" s="58">
        <f t="shared" si="22"/>
        <v>72719.497789885281</v>
      </c>
    </row>
    <row r="308" spans="1:9" x14ac:dyDescent="0.25">
      <c r="A308" s="50">
        <f>'A) Base RI'!A310</f>
        <v>5933</v>
      </c>
      <c r="B308" s="33" t="str">
        <f>'A) Base RI'!B310</f>
        <v>Valeyres-sous-Montagny</v>
      </c>
      <c r="C308" s="99">
        <f>'A) Base RI'!V310</f>
        <v>705</v>
      </c>
      <c r="D308" s="115">
        <f>'D) Ecrêtage'!E308</f>
        <v>29.318328031334147</v>
      </c>
      <c r="E308" s="35">
        <f t="shared" si="19"/>
        <v>15.902556546787807</v>
      </c>
      <c r="F308" s="291">
        <f t="shared" si="20"/>
        <v>217947.71798503626</v>
      </c>
      <c r="G308" s="34">
        <f>+'A) Base RI'!U310</f>
        <v>72</v>
      </c>
      <c r="H308" s="292">
        <f t="shared" si="21"/>
        <v>1.061442312520102</v>
      </c>
      <c r="I308" s="58">
        <f t="shared" si="22"/>
        <v>231338.92978651592</v>
      </c>
    </row>
    <row r="309" spans="1:9" x14ac:dyDescent="0.25">
      <c r="A309" s="50">
        <f>'A) Base RI'!A311</f>
        <v>5934</v>
      </c>
      <c r="B309" s="33" t="str">
        <f>'A) Base RI'!B311</f>
        <v>Valeyres-sous-Ursins</v>
      </c>
      <c r="C309" s="99">
        <f>'A) Base RI'!V311</f>
        <v>238</v>
      </c>
      <c r="D309" s="115">
        <f>'D) Ecrêtage'!E309</f>
        <v>28.536454257862424</v>
      </c>
      <c r="E309" s="35">
        <f t="shared" si="19"/>
        <v>16.68443032025953</v>
      </c>
      <c r="F309" s="291">
        <f t="shared" si="20"/>
        <v>84699.177898010326</v>
      </c>
      <c r="G309" s="34">
        <f>+'A) Base RI'!U311</f>
        <v>79</v>
      </c>
      <c r="H309" s="292">
        <f t="shared" si="21"/>
        <v>1.1646380929040008</v>
      </c>
      <c r="I309" s="58">
        <f t="shared" si="22"/>
        <v>98643.889017675436</v>
      </c>
    </row>
    <row r="310" spans="1:9" x14ac:dyDescent="0.25">
      <c r="A310" s="50">
        <f>'A) Base RI'!A312</f>
        <v>5935</v>
      </c>
      <c r="B310" s="33" t="str">
        <f>'A) Base RI'!B312</f>
        <v>Villars-Epeney</v>
      </c>
      <c r="C310" s="99">
        <f>'A) Base RI'!V312</f>
        <v>106</v>
      </c>
      <c r="D310" s="115">
        <f>'D) Ecrêtage'!E310</f>
        <v>52.166830682603972</v>
      </c>
      <c r="E310" s="35">
        <f t="shared" si="19"/>
        <v>0</v>
      </c>
      <c r="F310" s="291">
        <f t="shared" si="20"/>
        <v>0</v>
      </c>
      <c r="G310" s="34">
        <f>+'A) Base RI'!U312</f>
        <v>60</v>
      </c>
      <c r="H310" s="292">
        <f t="shared" si="21"/>
        <v>0.88453526043341835</v>
      </c>
      <c r="I310" s="58">
        <f t="shared" si="22"/>
        <v>0</v>
      </c>
    </row>
    <row r="311" spans="1:9" x14ac:dyDescent="0.25">
      <c r="A311" s="50">
        <f>'A) Base RI'!A313</f>
        <v>5937</v>
      </c>
      <c r="B311" s="33" t="str">
        <f>'A) Base RI'!B313</f>
        <v>Vugelles-La Mothe</v>
      </c>
      <c r="C311" s="99">
        <f>'A) Base RI'!V313</f>
        <v>122</v>
      </c>
      <c r="D311" s="115">
        <f>'D) Ecrêtage'!E311</f>
        <v>23.490477373449718</v>
      </c>
      <c r="E311" s="35">
        <f t="shared" si="19"/>
        <v>21.730407204672236</v>
      </c>
      <c r="F311" s="291">
        <f t="shared" si="20"/>
        <v>50105.972932533245</v>
      </c>
      <c r="G311" s="34">
        <f>+'A) Base RI'!U313</f>
        <v>70</v>
      </c>
      <c r="H311" s="292">
        <f t="shared" si="21"/>
        <v>1.0319578038389881</v>
      </c>
      <c r="I311" s="58">
        <f t="shared" si="22"/>
        <v>51707.249786672786</v>
      </c>
    </row>
    <row r="312" spans="1:9" x14ac:dyDescent="0.25">
      <c r="A312" s="50">
        <f>'A) Base RI'!A314</f>
        <v>5938</v>
      </c>
      <c r="B312" s="33" t="str">
        <f>'A) Base RI'!B314</f>
        <v>Yverdon-les-Bains</v>
      </c>
      <c r="C312" s="99">
        <f>'A) Base RI'!V314</f>
        <v>30208</v>
      </c>
      <c r="D312" s="115">
        <f>'D) Ecrêtage'!E312</f>
        <v>25.630990899082665</v>
      </c>
      <c r="E312" s="35">
        <f t="shared" si="19"/>
        <v>19.589893679039289</v>
      </c>
      <c r="F312" s="291">
        <f t="shared" si="20"/>
        <v>12223040.503036331</v>
      </c>
      <c r="G312" s="34">
        <f>+'A) Base RI'!U314</f>
        <v>76.5</v>
      </c>
      <c r="H312" s="292">
        <f t="shared" si="21"/>
        <v>1.1277824570526085</v>
      </c>
      <c r="I312" s="58">
        <f t="shared" si="22"/>
        <v>13784930.651167866</v>
      </c>
    </row>
    <row r="313" spans="1:9" x14ac:dyDescent="0.25">
      <c r="A313" s="50">
        <f>'A) Base RI'!A315</f>
        <v>5939</v>
      </c>
      <c r="B313" s="33" t="str">
        <f>'A) Base RI'!B315</f>
        <v>Yvonand</v>
      </c>
      <c r="C313" s="99">
        <f>'A) Base RI'!V315</f>
        <v>3351</v>
      </c>
      <c r="D313" s="115">
        <f>'D) Ecrêtage'!E313</f>
        <v>27.681724056995289</v>
      </c>
      <c r="E313" s="35">
        <f t="shared" si="19"/>
        <v>17.539160521126664</v>
      </c>
      <c r="F313" s="291">
        <f t="shared" si="20"/>
        <v>1158430.1573230834</v>
      </c>
      <c r="G313" s="34">
        <f>+'A) Base RI'!U315</f>
        <v>73</v>
      </c>
      <c r="H313" s="292">
        <f t="shared" si="21"/>
        <v>1.0761845668606591</v>
      </c>
      <c r="I313" s="58">
        <f t="shared" si="22"/>
        <v>1246684.6570970677</v>
      </c>
    </row>
    <row r="314" spans="1:9" x14ac:dyDescent="0.25">
      <c r="A314" s="31"/>
      <c r="B314" s="124">
        <f>COUNTA(B5:B313)</f>
        <v>309</v>
      </c>
      <c r="C314" s="101">
        <f>SUM(C5:C313)</f>
        <v>794384</v>
      </c>
      <c r="D314" s="114">
        <f>'D) Ecrêtage'!E314</f>
        <v>45.220884578121954</v>
      </c>
      <c r="E314" s="289"/>
      <c r="F314" s="11">
        <f>SUM(F5:F313)</f>
        <v>119066233.66607991</v>
      </c>
      <c r="G314" s="293">
        <f>'B) D RI'!S316</f>
        <v>67.832230871836884</v>
      </c>
      <c r="H314" s="290">
        <f>G314/G$314</f>
        <v>1</v>
      </c>
      <c r="I314" s="38">
        <f>SUM(I5:I313)</f>
        <v>129505030.29143624</v>
      </c>
    </row>
  </sheetData>
  <mergeCells count="8">
    <mergeCell ref="A3:A4"/>
    <mergeCell ref="I3:I4"/>
    <mergeCell ref="H3:H4"/>
    <mergeCell ref="G3:G4"/>
    <mergeCell ref="F3:F4"/>
    <mergeCell ref="B3:B4"/>
    <mergeCell ref="C3:C4"/>
    <mergeCell ref="D3:D4"/>
  </mergeCells>
  <phoneticPr fontId="9"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12</vt:i4>
      </vt:variant>
    </vt:vector>
  </HeadingPairs>
  <TitlesOfParts>
    <vt:vector size="28" baseType="lpstr">
      <vt:lpstr>Paramètres</vt:lpstr>
      <vt:lpstr>Recherche</vt:lpstr>
      <vt:lpstr>A) Base RI</vt:lpstr>
      <vt:lpstr>B) D RI</vt:lpstr>
      <vt:lpstr>C) Prél. conj.</vt:lpstr>
      <vt:lpstr>D) Ecrêtage</vt:lpstr>
      <vt:lpstr>E) Fact soc</vt:lpstr>
      <vt:lpstr>F) Population</vt:lpstr>
      <vt:lpstr>G) Solidarité</vt:lpstr>
      <vt:lpstr>H) Péréquation directe</vt:lpstr>
      <vt:lpstr>I) Dépenses thématiques</vt:lpstr>
      <vt:lpstr>J) Plafonnement effort</vt:lpstr>
      <vt:lpstr>K) Plafonnement aide</vt:lpstr>
      <vt:lpstr>L) Plafonnement taux</vt:lpstr>
      <vt:lpstr>M) Police</vt:lpstr>
      <vt:lpstr>Synthèse</vt:lpstr>
      <vt:lpstr>'C) Prél. conj.'!Impression_des_titres</vt:lpstr>
      <vt:lpstr>'E) Fact soc'!Impression_des_titres</vt:lpstr>
      <vt:lpstr>'I) Dépenses thématiques'!Impression_des_titres</vt:lpstr>
      <vt:lpstr>'J) Plafonnement effort'!Impression_des_titres</vt:lpstr>
      <vt:lpstr>'L) Plafonnement taux'!Impression_des_titres</vt:lpstr>
      <vt:lpstr>'M) Police'!Impression_des_titres</vt:lpstr>
      <vt:lpstr>Synthèse!Impression_des_titres</vt:lpstr>
      <vt:lpstr>'H) Péréquation directe'!Zone_d_impression</vt:lpstr>
      <vt:lpstr>'L) Plafonnement taux'!Zone_d_impression</vt:lpstr>
      <vt:lpstr>'M) Police'!Zone_d_impression</vt:lpstr>
      <vt:lpstr>Recherche!Zone_d_impression</vt:lpstr>
      <vt:lpstr>Synthèse!Zone_d_impression</vt:lpstr>
    </vt:vector>
  </TitlesOfParts>
  <Company>Etat de Vaud / ASFiCo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CLERC,Charles Henri</dc:creator>
  <cp:lastModifiedBy>Keusen Yoann</cp:lastModifiedBy>
  <cp:lastPrinted>2019-10-08T12:18:48Z</cp:lastPrinted>
  <dcterms:created xsi:type="dcterms:W3CDTF">2005-06-06T00:37:42Z</dcterms:created>
  <dcterms:modified xsi:type="dcterms:W3CDTF">2019-11-18T13:22:48Z</dcterms:modified>
</cp:coreProperties>
</file>